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2"/>
  </bookViews>
  <sheets>
    <sheet name="Dochody" sheetId="1" r:id="rId1"/>
    <sheet name="Wydatki" sheetId="2" r:id="rId2"/>
    <sheet name="Nadwyżka_Deficyt" sheetId="3" r:id="rId3"/>
  </sheets>
  <definedNames>
    <definedName name="_xlnm.Print_Titles" localSheetId="0">'Dochody'!$3:$6</definedName>
  </definedNames>
  <calcPr fullCalcOnLoad="1"/>
</workbook>
</file>

<file path=xl/sharedStrings.xml><?xml version="1.0" encoding="utf-8"?>
<sst xmlns="http://schemas.openxmlformats.org/spreadsheetml/2006/main" count="2534" uniqueCount="994">
  <si>
    <t>Dotacje celowe otrzymane z budżetu państwa na zadania bieżące z zakresu administracji rządowej oraz inne zadania zlecone ustawami realizowane przez powiat</t>
  </si>
  <si>
    <t>2360</t>
  </si>
  <si>
    <r>
      <t>Dochody jst związane z realizacją zadań z zakresu administracji rządowej oraz innych zadań zleconych ustawami</t>
    </r>
    <r>
      <rPr>
        <i/>
        <sz val="8"/>
        <rFont val="Times New Roman CE"/>
        <family val="0"/>
      </rPr>
      <t xml:space="preserve"> (25%  z majątku Skarbu Państwa)</t>
    </r>
  </si>
  <si>
    <t>70095</t>
  </si>
  <si>
    <t>Wpływy z różnych dochodów</t>
  </si>
  <si>
    <t>710</t>
  </si>
  <si>
    <t>71013</t>
  </si>
  <si>
    <t>Prace geodezyjne i kartograficzne</t>
  </si>
  <si>
    <t>71014</t>
  </si>
  <si>
    <t>71015</t>
  </si>
  <si>
    <t xml:space="preserve">Nadzór  budowlany </t>
  </si>
  <si>
    <t>0920</t>
  </si>
  <si>
    <t xml:space="preserve">Pozostałe odsetki </t>
  </si>
  <si>
    <t>6410</t>
  </si>
  <si>
    <t>Dotacje celowe otrzymane z budżetu państwa na inwestycje i zakupy inwestycyjne z zakresu administracji rządowej oraz inne zadania zlecone ustawami realizowane przez powiat</t>
  </si>
  <si>
    <t>71030</t>
  </si>
  <si>
    <t>Fundusz gospodarki zasobem geodezyjnym i kartograficznym</t>
  </si>
  <si>
    <t>71035</t>
  </si>
  <si>
    <t>2020</t>
  </si>
  <si>
    <t xml:space="preserve">Dotacje celowe otrzymane z budżetu państwa na zadania bieżące realizowane przez gminę na podstawie porozumień z organami administracji rządowej  </t>
  </si>
  <si>
    <t>750</t>
  </si>
  <si>
    <t>ADMINISTRACJA  PUBLICZNA</t>
  </si>
  <si>
    <t>75011</t>
  </si>
  <si>
    <t>Urzędy wojewódzkie</t>
  </si>
  <si>
    <r>
      <t xml:space="preserve">Dochody jst związane z realizacją zadań z zakresu administracji rządowej oraz innych zadań zleconych ustawami </t>
    </r>
    <r>
      <rPr>
        <sz val="7"/>
        <rFont val="Times New Roman CE"/>
        <family val="1"/>
      </rPr>
      <t>(5% za dowody osobiste)</t>
    </r>
  </si>
  <si>
    <t>75020</t>
  </si>
  <si>
    <t>0420</t>
  </si>
  <si>
    <t>Wpływy z opłaty komunikacyjnej</t>
  </si>
  <si>
    <r>
      <t>Wpływy z różnych opłat</t>
    </r>
    <r>
      <rPr>
        <sz val="7"/>
        <rFont val="Times New Roman CE"/>
        <family val="1"/>
      </rPr>
      <t xml:space="preserve"> (za karty wędkarskie)</t>
    </r>
  </si>
  <si>
    <t>75023</t>
  </si>
  <si>
    <t>Urzędy gmin</t>
  </si>
  <si>
    <r>
      <t xml:space="preserve">Wpływy z różnych opłat </t>
    </r>
    <r>
      <rPr>
        <i/>
        <sz val="8"/>
        <rFont val="Times New Roman CE"/>
        <family val="0"/>
      </rPr>
      <t>(czynności egzekucyjne, koszty procesowe, karta parkingowa)</t>
    </r>
  </si>
  <si>
    <t>Dochody z najmu i dzierżawy składników majątkowych Skarbu Państwa, jst lub innych jednostek zaliczanych do sektora fin. publ.</t>
  </si>
  <si>
    <t>Wpływy ze sprzedaży składników majątkowych</t>
  </si>
  <si>
    <r>
      <t xml:space="preserve">Wpływy z różnych dochodów </t>
    </r>
    <r>
      <rPr>
        <i/>
        <sz val="8"/>
        <rFont val="Times New Roman CE"/>
        <family val="0"/>
      </rPr>
      <t>(rozmowy tel., media, recykling, szkolenia, koszty upomnień)</t>
    </r>
  </si>
  <si>
    <t>75045</t>
  </si>
  <si>
    <t>Komisje poborowe</t>
  </si>
  <si>
    <t>2120</t>
  </si>
  <si>
    <t>Dotacje celowe otrzymane z budżetu państwa na zadania bieżące realizowane przez powiat na podstawie porozumień z organami administracji rządowej</t>
  </si>
  <si>
    <t>75075</t>
  </si>
  <si>
    <t>Promocja jadnostek samorządu terytorialnego</t>
  </si>
  <si>
    <t>2705</t>
  </si>
  <si>
    <t xml:space="preserve">Środki na dofinansowanie własnych izadań bieżących gmin, powiatów pozyskane z innych źródeł </t>
  </si>
  <si>
    <t>75095</t>
  </si>
  <si>
    <t>0570</t>
  </si>
  <si>
    <r>
      <t xml:space="preserve">Grzywny, mandaty i inne kary pieniężne od ludności - </t>
    </r>
    <r>
      <rPr>
        <sz val="8"/>
        <rFont val="Times New Roman CE"/>
        <family val="0"/>
      </rPr>
      <t>SM</t>
    </r>
  </si>
  <si>
    <t>0960</t>
  </si>
  <si>
    <t>Otrzymane spadki, zapisy i darowizny w postaci pieniężnej</t>
  </si>
  <si>
    <t>751</t>
  </si>
  <si>
    <t>75101</t>
  </si>
  <si>
    <t>75108</t>
  </si>
  <si>
    <t>754</t>
  </si>
  <si>
    <t>75411</t>
  </si>
  <si>
    <t>Komendy  powiatowe Państwowej Straży Pożarnej</t>
  </si>
  <si>
    <t>Dochody jst związane z realizacją zadań z zakresu administracji rządowej oraz innych zadań zleconych ustawami</t>
  </si>
  <si>
    <t>2710</t>
  </si>
  <si>
    <t>Wpływy z tytułu pomocy finansowejudzielanej miedzy jednostkami samorządu terytorialnego na dofinansowanie własnych zadań bieżących</t>
  </si>
  <si>
    <t>75414</t>
  </si>
  <si>
    <t>Dotacje celowe otrzymane z budżetu państwa na zadania bieżące z zakresu administracji rządowej oraz inne zadania zlecone ustawami realizowane przez gminę</t>
  </si>
  <si>
    <t>756</t>
  </si>
  <si>
    <t xml:space="preserve">DOCHODY OD OSÓB PRAWNYCH, OD OSÓB  FIZYCZNYCH I OD INNYCH JEDNOSTEK NIEPOSIADAJĄCYCH OSOBOWOŚCI PRAWNEJ ORAZ WYDATKI ZWIĄZANE Z ICH POBOREM </t>
  </si>
  <si>
    <t>75601</t>
  </si>
  <si>
    <t>Wpływy z podatku dochodowego od osób fizycznych</t>
  </si>
  <si>
    <t>0350</t>
  </si>
  <si>
    <r>
      <t xml:space="preserve">Podatek od działalności gospodarczej osób fizycznych, opłacanych w formie </t>
    </r>
    <r>
      <rPr>
        <b/>
        <sz val="9"/>
        <rFont val="Times New Roman CE"/>
        <family val="1"/>
      </rPr>
      <t>karty podatkowej</t>
    </r>
  </si>
  <si>
    <t>75615</t>
  </si>
  <si>
    <t>Wpływy z podatku rolnego, podatku leśnego, podatku od czynności cywilnoprawnych, podatków i opłat lokalnych od osób prawnych  i innych jednostek organizacyjnych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</si>
  <si>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</si>
  <si>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</si>
  <si>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</si>
  <si>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</si>
  <si>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</si>
  <si>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</si>
  <si>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</si>
  <si>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</si>
  <si>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</si>
  <si>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0500</t>
  </si>
  <si>
    <t>Podatek od czynności cywilno-prawnych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</si>
  <si>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</si>
  <si>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</si>
  <si>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</si>
  <si>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</si>
  <si>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0560</t>
  </si>
  <si>
    <t>Zaległości z podatków zniesionych</t>
  </si>
  <si>
    <t>0890</t>
  </si>
  <si>
    <t>Odsetki za nieterminowe rozliczenia</t>
  </si>
  <si>
    <t>2440</t>
  </si>
  <si>
    <t>Dotacje otrzymane z funduszy celowych na realizacje zadań bieżących jednostek sektora finansów publicznych</t>
  </si>
  <si>
    <t>75618</t>
  </si>
  <si>
    <t xml:space="preserve">Wpływy z innych opłat stanowiących dochody  j.s.t.  na podstawie ustaw </t>
  </si>
  <si>
    <t>0410</t>
  </si>
  <si>
    <t>Wpływy z opłaty skarbowej</t>
  </si>
  <si>
    <t>0450</t>
  </si>
  <si>
    <t>Wpływy z opłaty administracyjnej za czynności urzędowe</t>
  </si>
  <si>
    <t>0480</t>
  </si>
  <si>
    <t>Wpływy z opłat za zezwolenia na sprzedaż alkoholu</t>
  </si>
  <si>
    <t>0490</t>
  </si>
  <si>
    <r>
      <t xml:space="preserve">Wpływy z innych lokalnych opłat pobieranych przez jednostki samorządu terytorialnego na podstawie odrębnych ustaw </t>
    </r>
    <r>
      <rPr>
        <i/>
        <sz val="7"/>
        <rFont val="Times New Roman CE"/>
        <family val="0"/>
      </rPr>
      <t>(licencje na przewóz osób i rzeczy,wpis do ewid.dział.gosp., opłata prolongacyjna)</t>
    </r>
  </si>
  <si>
    <t>75619</t>
  </si>
  <si>
    <t>Wpływy z różnych rozliczeń</t>
  </si>
  <si>
    <t>0910</t>
  </si>
  <si>
    <t>Odsetki od nieterminowych wpłat z tytułu podatków i opłat</t>
  </si>
  <si>
    <t>75621</t>
  </si>
  <si>
    <t>Udziały gmin w podatkach stanowiących dochód budżetu państwa</t>
  </si>
  <si>
    <t>0010</t>
  </si>
  <si>
    <t xml:space="preserve">Podatek dochodowy od osób fizycznych  </t>
  </si>
  <si>
    <t>0020</t>
  </si>
  <si>
    <t xml:space="preserve">Podatek dochodowy od osób prawnych  </t>
  </si>
  <si>
    <t>75622</t>
  </si>
  <si>
    <t>Udziały  powiatów  w podatkach stanowiących dochód budżetu państwa</t>
  </si>
  <si>
    <t xml:space="preserve">Podatek dochodowy od osób fizycznych </t>
  </si>
  <si>
    <t>75624</t>
  </si>
  <si>
    <t>Dywidendy</t>
  </si>
  <si>
    <t>0740</t>
  </si>
  <si>
    <t>Wpływy z dywidend</t>
  </si>
  <si>
    <t>75647</t>
  </si>
  <si>
    <t>Pobór podatków, opłat i nieopodatkowanych należności budżetowych</t>
  </si>
  <si>
    <t xml:space="preserve">Wpływy z różnych opłat </t>
  </si>
  <si>
    <t>758</t>
  </si>
  <si>
    <t>75801</t>
  </si>
  <si>
    <t>Część oświatowa subwencji ogólnej dla jednostek samorządu terytorialnego</t>
  </si>
  <si>
    <t>2920</t>
  </si>
  <si>
    <t>Subwencje ogólne z budżetu państwa</t>
  </si>
  <si>
    <t>75802</t>
  </si>
  <si>
    <t>Uzupełnienie subwencji ogólnej dla j.s.t.</t>
  </si>
  <si>
    <t>2790</t>
  </si>
  <si>
    <t>Środki na utrzymanie rzecznych przerpaw promowych oraz budowę, modernizację, utrzymanie, ochrone i zarządzanie drogami krajowymi i wojewódzkimi w granicach miast na prawach powiatu</t>
  </si>
  <si>
    <t>75814</t>
  </si>
  <si>
    <t>Różne rozliczenia finansowe</t>
  </si>
  <si>
    <t>890</t>
  </si>
  <si>
    <t>Odsetki za nieterminowe rozliczenia, płacone przez Urząd Skarbowy</t>
  </si>
  <si>
    <r>
      <t xml:space="preserve">Wpływy z różnych dochodów  </t>
    </r>
    <r>
      <rPr>
        <i/>
        <sz val="7"/>
        <rFont val="Times New Roman CE"/>
        <family val="1"/>
      </rPr>
      <t xml:space="preserve"> (szkoły za rozliczenia z ZUS i US, zwroty z rozliczenia dotacji)</t>
    </r>
  </si>
  <si>
    <r>
      <t xml:space="preserve">Dochody jst związane z realizacją zadań z zakresu administracji rządowej oraz innych zadań zleconych ustawami </t>
    </r>
    <r>
      <rPr>
        <i/>
        <sz val="7"/>
        <rFont val="Times New Roman CE"/>
        <family val="1"/>
      </rPr>
      <t>(5% z odsetek od depozytów)</t>
    </r>
  </si>
  <si>
    <t>75831</t>
  </si>
  <si>
    <t>Część równoważąca subwencji ogólnej dla  gmin</t>
  </si>
  <si>
    <t>75832</t>
  </si>
  <si>
    <t>Część równoważąca subwencji ogólnej dla  powiatów</t>
  </si>
  <si>
    <t>801</t>
  </si>
  <si>
    <t>80101</t>
  </si>
  <si>
    <r>
      <t xml:space="preserve">Wpływy z różnych opłat </t>
    </r>
    <r>
      <rPr>
        <sz val="7"/>
        <rFont val="Times New Roman CE"/>
        <family val="1"/>
      </rPr>
      <t>(za legitymacje i inne druki)</t>
    </r>
  </si>
  <si>
    <t>0830</t>
  </si>
  <si>
    <t>Wpływy z usług</t>
  </si>
  <si>
    <t>2030</t>
  </si>
  <si>
    <t>Dotacje celowe przekazane z budżetu państwa na realizację własnych zadań bieżących gmin</t>
  </si>
  <si>
    <t>80102</t>
  </si>
  <si>
    <t>Wpływy z różnych opłat</t>
  </si>
  <si>
    <t>80104</t>
  </si>
  <si>
    <t>Przedszkola</t>
  </si>
  <si>
    <t>Dotacje otrzymane z funduszy celowych na realizację zadań bieżących jednostek sektora finansów publicznych</t>
  </si>
  <si>
    <t>80110</t>
  </si>
  <si>
    <t>80114</t>
  </si>
  <si>
    <t>Zespoły obsługi ekonomiczno-administracyjnej szkół</t>
  </si>
  <si>
    <t>80120</t>
  </si>
  <si>
    <t>80130</t>
  </si>
  <si>
    <r>
      <t>Wpływy z różnych opłat</t>
    </r>
    <r>
      <rPr>
        <sz val="7"/>
        <rFont val="Times New Roman CE"/>
        <family val="1"/>
      </rPr>
      <t xml:space="preserve"> (za legitymacje i inne druki)</t>
    </r>
  </si>
  <si>
    <t>80132</t>
  </si>
  <si>
    <t>Szkoły artystyczne</t>
  </si>
  <si>
    <t>80140</t>
  </si>
  <si>
    <t>Centrum Kształcenia Ustawicznego</t>
  </si>
  <si>
    <t>80195</t>
  </si>
  <si>
    <r>
      <t>Wpływy z usług</t>
    </r>
    <r>
      <rPr>
        <i/>
        <sz val="8"/>
        <rFont val="Times New Roman CE"/>
        <family val="0"/>
      </rPr>
      <t xml:space="preserve"> (ZOEAP)</t>
    </r>
  </si>
  <si>
    <r>
      <t>Dotacje celowe otrzymane z budżetu państwa na zadania bieżące realizowane przez gminę na podstawie porozumień z organami administracji rządowej-</t>
    </r>
    <r>
      <rPr>
        <i/>
        <sz val="8"/>
        <rFont val="Times New Roman CE"/>
        <family val="0"/>
      </rPr>
      <t>Muzealne spotkania z fotografią</t>
    </r>
  </si>
  <si>
    <t>2130</t>
  </si>
  <si>
    <t>Dotacje celowe przekazane z budżetu państwa na realizację bieżących zadan własnych powiatu</t>
  </si>
  <si>
    <t>Dotacje celowe przekazane z budżetu państwa na realizację własnych  zadań bieżących gmin</t>
  </si>
  <si>
    <t>2700</t>
  </si>
  <si>
    <t xml:space="preserve">Środki na dofinansowanie własnych zadań bieżących gmin pozyskane z innych źródeł </t>
  </si>
  <si>
    <t>803</t>
  </si>
  <si>
    <t>SZKOLNICTWO WYŻSZE</t>
  </si>
  <si>
    <t>80309</t>
  </si>
  <si>
    <t>Pomoc materialna dla studentów</t>
  </si>
  <si>
    <t>2888</t>
  </si>
  <si>
    <t xml:space="preserve">Dotacja celowa otrzymana przez jst od innej jst będącej instytucją wdrażającą na zadania bieżące </t>
  </si>
  <si>
    <t>2889</t>
  </si>
  <si>
    <t>851</t>
  </si>
  <si>
    <t>85154</t>
  </si>
  <si>
    <r>
      <t>Wpływy z różnych dochodów</t>
    </r>
    <r>
      <rPr>
        <b/>
        <i/>
        <sz val="9"/>
        <rFont val="Times New Roman CE"/>
        <family val="0"/>
      </rPr>
      <t xml:space="preserve"> (Skate Park) </t>
    </r>
  </si>
  <si>
    <t>85156</t>
  </si>
  <si>
    <t>Składki na ubezpieczenie zdrowotne oraz świadczenia dla osób nieobjętych obowiązkiem ubezpieczenia zdrowotnego</t>
  </si>
  <si>
    <t>85195</t>
  </si>
  <si>
    <t>Wpływy z różnych dochodów (Izby wytrzeźwień)</t>
  </si>
  <si>
    <t>852</t>
  </si>
  <si>
    <t>85201</t>
  </si>
  <si>
    <t>Placówki opiekuńczo-wychowawcze</t>
  </si>
  <si>
    <t>85202</t>
  </si>
  <si>
    <t>85203</t>
  </si>
  <si>
    <r>
      <t>Wpływy z usług</t>
    </r>
    <r>
      <rPr>
        <sz val="7"/>
        <rFont val="Times New Roman CE"/>
        <family val="1"/>
      </rPr>
      <t xml:space="preserve"> (odpłatność za  pobyt w "Złotym Wieku" i  Hotelu dla Bezdomnych)</t>
    </r>
  </si>
  <si>
    <t>Dotacje celowe otrzymane z budżetu państwa na realizację zadań bieżących z zakresu administracji rządowej oraz innych zadań zleconych gminie ustawami</t>
  </si>
  <si>
    <t>6310</t>
  </si>
  <si>
    <t>Dotacje celowe otrzymane z budżetu państwa na inwestycje i zakupy inwestycyjne z zakresu administracji rządowej oraz innych zadań zleconych gminie ustawami</t>
  </si>
  <si>
    <t>85204</t>
  </si>
  <si>
    <t>2320</t>
  </si>
  <si>
    <t>Dotacje celowe otrzymane z powiatu na zadania bieżące realizowane na podstawie porozumień (umów) między jst</t>
  </si>
  <si>
    <t>85212</t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</si>
  <si>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</si>
  <si>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</si>
  <si>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</si>
  <si>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 naturze oraz składki na ubezpieczenia emerytalne i rentowe</t>
  </si>
  <si>
    <r>
      <t xml:space="preserve">Wpływy z różnych dochodów  </t>
    </r>
    <r>
      <rPr>
        <sz val="8"/>
        <rFont val="Times New Roman CE"/>
        <family val="1"/>
      </rPr>
      <t>(spłata pożyczek i zasiłków celowych)</t>
    </r>
  </si>
  <si>
    <t>Dotacje celowe otrzymane z budżetu państwa na realizację własnych zadań bieżących gmin</t>
  </si>
  <si>
    <t>85215</t>
  </si>
  <si>
    <r>
      <t xml:space="preserve">Wpływy z różnych dochodów </t>
    </r>
    <r>
      <rPr>
        <sz val="8"/>
        <rFont val="Times New Roman CE"/>
        <family val="1"/>
      </rPr>
      <t xml:space="preserve"> (zwrot nadpłaconych dodatków)</t>
    </r>
  </si>
  <si>
    <t>85219</t>
  </si>
  <si>
    <t>85220</t>
  </si>
  <si>
    <t xml:space="preserve">Jednostki specjalistycznego poradnictwa, mieszkania chronione i ośrodki interwencji kryzysowej </t>
  </si>
  <si>
    <r>
      <t>Wpływy z usług</t>
    </r>
    <r>
      <rPr>
        <sz val="8"/>
        <rFont val="Times New Roman CE"/>
        <family val="1"/>
      </rPr>
      <t xml:space="preserve"> (odpłatność za pobyt w mieszkaniach chronionych)</t>
    </r>
  </si>
  <si>
    <t>85226</t>
  </si>
  <si>
    <t>Ośrodki opiekuńczo-wychowawcze</t>
  </si>
  <si>
    <t>85228</t>
  </si>
  <si>
    <r>
      <t xml:space="preserve">Wpływy z usług  </t>
    </r>
    <r>
      <rPr>
        <sz val="7"/>
        <rFont val="Times New Roman CE"/>
        <family val="1"/>
      </rPr>
      <t>(odpłatność za usługi opiekuńcze)</t>
    </r>
  </si>
  <si>
    <t>85278</t>
  </si>
  <si>
    <t>85295</t>
  </si>
  <si>
    <r>
      <t>Wpływy z usług  (</t>
    </r>
    <r>
      <rPr>
        <sz val="7"/>
        <rFont val="Times New Roman CE"/>
        <family val="1"/>
      </rPr>
      <t>odpłatność za usługi transportowe)</t>
    </r>
  </si>
  <si>
    <r>
      <t xml:space="preserve">Wpływy z różnych dochodów - </t>
    </r>
    <r>
      <rPr>
        <b/>
        <i/>
        <sz val="8"/>
        <rFont val="Times New Roman CE"/>
        <family val="0"/>
      </rPr>
      <t>prace społecznie-użyteczne</t>
    </r>
  </si>
  <si>
    <t>Dotacje celowe otrzymane z budżetu państwa na zadania bieżące realizowane przez gminę na podstawie porozumień z organami administracji rządowej</t>
  </si>
  <si>
    <t>853</t>
  </si>
  <si>
    <t>POZOSTAŁE ZADANIA W ZAKRESIE POLITYKI SPOŁECZNEJ</t>
  </si>
  <si>
    <t>85305</t>
  </si>
  <si>
    <t>85311</t>
  </si>
  <si>
    <t>85321</t>
  </si>
  <si>
    <t>Zespoły do spraw orzekania o niepełnosprawności</t>
  </si>
  <si>
    <t>Dotacje celowe otrzymane z budżetu państwa na zadania  bieżące z zakresu administracji rządowej  oraz inne zadania zlecone ustawami realizowane przez powiat</t>
  </si>
  <si>
    <t>85324</t>
  </si>
  <si>
    <t>Państwowy Fundusz Rehabilitacji Osób Niepełnosprawnych</t>
  </si>
  <si>
    <t>Wpływy z różnych dochodów (PFRON)</t>
  </si>
  <si>
    <t>854</t>
  </si>
  <si>
    <t>EDUKACYJNA   OPIEKA WYCHOWAWCZA</t>
  </si>
  <si>
    <t>85403</t>
  </si>
  <si>
    <t>Specjalne ośrodki szkolno -wychowawcze</t>
  </si>
  <si>
    <t>85406</t>
  </si>
  <si>
    <t>Poradnia psychologiczno - pedagogiczna</t>
  </si>
  <si>
    <t>Wpływy za sprzedaży składników majątkowych</t>
  </si>
  <si>
    <t>85407</t>
  </si>
  <si>
    <t>Placówki wychowania pozaszkolnego MDK</t>
  </si>
  <si>
    <t>Dochody z najmu i dzierżawy składników majątkowych Skarbu Państwa, jst lub innych jednostek zaliczanych do sektora finansów publicznych oraz innych umów o podobnym charakterze</t>
  </si>
  <si>
    <t>85410</t>
  </si>
  <si>
    <t xml:space="preserve">Wpływy ze sprzedaż składników majątkowych </t>
  </si>
  <si>
    <t>85415</t>
  </si>
  <si>
    <t>Dotacje celowe otrzymane z budzetu państwa na realizazję własnych zadań bieżących gmin</t>
  </si>
  <si>
    <t xml:space="preserve">Dotacja celowa otrzymana przez jst od innej jst będącej instytucją wdrażającą na zadania bieżące realizowane na podstawie porozumień </t>
  </si>
  <si>
    <t>85417</t>
  </si>
  <si>
    <t>Szkolne schroniska młodzieżowe</t>
  </si>
  <si>
    <t>900</t>
  </si>
  <si>
    <t>GOSPODARKA KOMUNALNA I  OCHRONA ŚRODOWISKA</t>
  </si>
  <si>
    <t>90001</t>
  </si>
  <si>
    <t>Gospodarka sciekowa i ochrona wód</t>
  </si>
  <si>
    <t>Środki na dofinansowanie własnych inwestycji gmin, powiatów, pozyskane z innych źródeł</t>
  </si>
  <si>
    <t>90003</t>
  </si>
  <si>
    <t>90004</t>
  </si>
  <si>
    <t>90013</t>
  </si>
  <si>
    <t>Opłaty za schronisko</t>
  </si>
  <si>
    <t>90095</t>
  </si>
  <si>
    <t>Środki na dofinansowanie własnych zadań bieżących gmin, powiatów, pozyskane z innych źródeł</t>
  </si>
  <si>
    <t>6290</t>
  </si>
  <si>
    <t>921</t>
  </si>
  <si>
    <t>92105</t>
  </si>
  <si>
    <r>
      <t>Środki na dofinansowanie własnych zadań bieżących pozyskane z innych źródeł</t>
    </r>
  </si>
  <si>
    <t>92106</t>
  </si>
  <si>
    <t>Teatry dramatyczne i lalkowe</t>
  </si>
  <si>
    <r>
      <t>Środki na dofinansowanie własnych inwestycji gmin, powiatów pozyskane z innych źródeł</t>
    </r>
  </si>
  <si>
    <t>92108</t>
  </si>
  <si>
    <t>Filharmonie, orkiestry, chóre i kapele</t>
  </si>
  <si>
    <t>92116</t>
  </si>
  <si>
    <t>92118</t>
  </si>
  <si>
    <t>92195</t>
  </si>
  <si>
    <t>926</t>
  </si>
  <si>
    <t>92695</t>
  </si>
  <si>
    <t>6260</t>
  </si>
  <si>
    <r>
      <t>Dotacje otrzymane z funduszy celowych na finansowanie lub dofinansowanie kosztów realizacji inwestycji i zakupów inwestycyjnych jednostek sektora finansów publicznych -</t>
    </r>
    <r>
      <rPr>
        <b/>
        <i/>
        <sz val="8"/>
        <rFont val="Times New Roman CE"/>
        <family val="0"/>
      </rPr>
      <t xml:space="preserve"> BAŁTYK</t>
    </r>
  </si>
  <si>
    <t xml:space="preserve">Środki na dofinansowanie własnych inwestycji gmin pozyskane z innych źródeł </t>
  </si>
  <si>
    <t>Bałtyk - euroboiska</t>
  </si>
  <si>
    <t>Centrum Rekreacyjno - Sportowe</t>
  </si>
  <si>
    <t>6299</t>
  </si>
  <si>
    <t>OGÓŁEM DOCHODY</t>
  </si>
  <si>
    <t>NA ZADANIA WŁASNE</t>
  </si>
  <si>
    <t>w tym:</t>
  </si>
  <si>
    <t xml:space="preserve">           porozumienia z jednostkami 
           samorządu terytorialnego</t>
  </si>
  <si>
    <t xml:space="preserve">           porozumienia z organami
           administracji rządowej</t>
  </si>
  <si>
    <t>NA ZADANIA ZLECONE</t>
  </si>
  <si>
    <t>GMINA OGÓŁEM</t>
  </si>
  <si>
    <t>POWIAT OGÓŁEM</t>
  </si>
  <si>
    <t xml:space="preserve">            ROCZNE  SPRAWOZDANIE O NADWYŻCE/DEFICYCIE</t>
  </si>
  <si>
    <t>A. DOCHODY</t>
  </si>
  <si>
    <t>B. WYDATKI (B1+B2)</t>
  </si>
  <si>
    <t>B1. Wydatki bieżące</t>
  </si>
  <si>
    <t>B2. Wydatki majątkowe</t>
  </si>
  <si>
    <t>C. NADWYŻKA/DEFICYT (A-B)</t>
  </si>
  <si>
    <t>D. FINANSOWANIE (D1-D2)</t>
  </si>
  <si>
    <t>D1. Przychody ogółem z tego:</t>
  </si>
  <si>
    <t>D11. Kredyty i pożyczki w tym:</t>
  </si>
  <si>
    <t>D111. na realizacje programów i projektów realizowanych z udziałem środków, o których mowa w art..5 ust. 3 ustawy o finansach publicznych</t>
  </si>
  <si>
    <t>D12.  spłaty pożyczek udzielonych</t>
  </si>
  <si>
    <t>D13.  nadwyżka z lat ubiegłych w tym:</t>
  </si>
  <si>
    <t>D131. Środki na pokrycie deficytu</t>
  </si>
  <si>
    <t>D14. Papiery wartościowe w tym:</t>
  </si>
  <si>
    <t>D141. na realizacje programów i projektów realizowanych z udziałem środków, o których mowa w art..5 ust. 3 ustawy o finansach publicznych</t>
  </si>
  <si>
    <t>D15. Obligacje jednostek samorządowych oraz związków komunalnych w tym:</t>
  </si>
  <si>
    <t>D151. na realizacje programów i projektów realizowanych z udziałem środków, o których mowa w art..5 ust. 3 ustawy o finansach publicznych</t>
  </si>
  <si>
    <t>D16. Prywatyzacja majątku j.s.t</t>
  </si>
  <si>
    <t>D17. Inne źródła w tym:</t>
  </si>
  <si>
    <t>D171. Środki na pokrycie deficytu</t>
  </si>
  <si>
    <t>D2. Rozchody ogółem z tego:</t>
  </si>
  <si>
    <t>D21. Spłaty kredytów i pożyczek w tym:</t>
  </si>
  <si>
    <t xml:space="preserve">D211. na realizację programów i projektów realizowanych z udziałem środków, o których mowa w art..5 ust. 3 ustawy o finansach publicznych </t>
  </si>
  <si>
    <t>D22. Pożyczki (udzielone)</t>
  </si>
  <si>
    <t>D23. Wykup papierów wartościowych w tym:</t>
  </si>
  <si>
    <t xml:space="preserve">D231. na realizację programów i projektów realizowanych z udziałem środków, o których mowa w art..5 ust. 3 ustawy o finansach publicznych  </t>
  </si>
  <si>
    <t>D24. Wykup obligacji samorządowych w tym:</t>
  </si>
  <si>
    <t xml:space="preserve">D241. na realizację programów i projektów realizowanych z udziałem środków, o których mowa w art..5 ust. 3 ustawy o finansach publicznych   </t>
  </si>
  <si>
    <t>D25. Inne cele</t>
  </si>
  <si>
    <t>Wprowadził do BIP: Agnieszka Mioduszewska</t>
  </si>
  <si>
    <t xml:space="preserve">                              za okres od początku roku do dnia 31 marca 2008 r.</t>
  </si>
  <si>
    <t>Autor dokumentu: Małgorzata Liwak</t>
  </si>
  <si>
    <t>Autor dokumentu: Agnieszka Mioduszewska</t>
  </si>
  <si>
    <t>Data wprowadzenia do BIP: 12.05.2008 r.</t>
  </si>
  <si>
    <t>Autor dokumentu: Barbara Hombek</t>
  </si>
  <si>
    <t xml:space="preserve"> WYKONANIE   PLANU   WYDATKÓW   MIASTA   KOSZALINA   ZA  3  MIESIĄCE   2008   ROKU                                                                                                    </t>
  </si>
  <si>
    <t>w złotych</t>
  </si>
  <si>
    <t xml:space="preserve">Dział </t>
  </si>
  <si>
    <t>WYDATKI OGÓŁEM</t>
  </si>
  <si>
    <t>GMINA WŁASNE</t>
  </si>
  <si>
    <t xml:space="preserve">GMINA  ZLECONE </t>
  </si>
  <si>
    <t>POWIAT WŁASNE</t>
  </si>
  <si>
    <t>POWIAT ZLECONE</t>
  </si>
  <si>
    <t>Rozdz  §</t>
  </si>
  <si>
    <t>Wyszczególnienie</t>
  </si>
  <si>
    <t>Plan pierwotny</t>
  </si>
  <si>
    <t xml:space="preserve">Plan po zmianach </t>
  </si>
  <si>
    <t>Wykonanie</t>
  </si>
  <si>
    <t>%         wyk.</t>
  </si>
  <si>
    <t>Plan po zmianach</t>
  </si>
  <si>
    <t>%        wyk.</t>
  </si>
  <si>
    <t>%     wyk.</t>
  </si>
  <si>
    <t>010</t>
  </si>
  <si>
    <t>ROLNICTWO I  ŁOWIECTWO</t>
  </si>
  <si>
    <t>01000</t>
  </si>
  <si>
    <t>Integracja z Unią Europejską</t>
  </si>
  <si>
    <t>4410</t>
  </si>
  <si>
    <t>Podróże służbowe krajowe</t>
  </si>
  <si>
    <t>01021</t>
  </si>
  <si>
    <t>Inspekcja weterynaryjna</t>
  </si>
  <si>
    <t>3020</t>
  </si>
  <si>
    <t>Nagrody i inne wydatki nie zaliczane do wynagrodzeń</t>
  </si>
  <si>
    <t>3030</t>
  </si>
  <si>
    <t>Różne wydatki na rzecz osób fizycznych</t>
  </si>
  <si>
    <t>4010</t>
  </si>
  <si>
    <t>Wynagrodzenia osobowe pracowników</t>
  </si>
  <si>
    <t>4020</t>
  </si>
  <si>
    <t xml:space="preserve">Wynagrodzenia osobowe członków korpusu służby cywilnej 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</si>
  <si>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</si>
  <si>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</si>
  <si>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</si>
  <si>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</si>
  <si>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</si>
  <si>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</si>
  <si>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</si>
  <si>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</si>
  <si>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4230</t>
  </si>
  <si>
    <t>Zakup leków i materiałów medycznych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</si>
  <si>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</si>
  <si>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</si>
  <si>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</si>
  <si>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</si>
  <si>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</si>
  <si>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</si>
  <si>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</si>
  <si>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</si>
  <si>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</si>
  <si>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 na ZFŚS</t>
  </si>
  <si>
    <t>4480</t>
  </si>
  <si>
    <t>Podatek od nieruchomości</t>
  </si>
  <si>
    <t>4550</t>
  </si>
  <si>
    <t>Szkolenia członków korpusu służby cywilnej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</si>
  <si>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</si>
  <si>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</si>
  <si>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</si>
  <si>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</si>
  <si>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</si>
  <si>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</si>
  <si>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4740</t>
  </si>
  <si>
    <t>Zakup materiałów papierniczych do sprzętu drukarskiego i urządzeń kserograficznych</t>
  </si>
  <si>
    <t>020</t>
  </si>
  <si>
    <t>LEŚNICTWO</t>
  </si>
  <si>
    <t>02002</t>
  </si>
  <si>
    <t>Nadzór nad gospodarką leśną</t>
  </si>
  <si>
    <t xml:space="preserve">Zakup usług pozostałych </t>
  </si>
  <si>
    <t xml:space="preserve">HANDEL </t>
  </si>
  <si>
    <r>
      <t xml:space="preserve">Wydatki inwestycyjne jednostek budżetowych - </t>
    </r>
    <r>
      <rPr>
        <i/>
        <sz val="9"/>
        <rFont val="Times New Roman CE"/>
        <family val="1"/>
      </rPr>
      <t>remont targowiska</t>
    </r>
  </si>
  <si>
    <t>TRANSPORT I ŁĄCZNOŚĆ</t>
  </si>
  <si>
    <t>Lokalny transport zbiorowy</t>
  </si>
  <si>
    <t>Wydatki na zakup i objęcie akcji, wniesienie wkładów do spółek prawa handlowego (amfibia)</t>
  </si>
  <si>
    <t>Drogi publiczne w miastach na prawach powiatu</t>
  </si>
  <si>
    <t>Wynagrodzenia bezosobowe</t>
  </si>
  <si>
    <t>Zakup usług obejmujących wykonanie ekspertyz, analiz i opinii</t>
  </si>
  <si>
    <t>Pozostałe odsetki</t>
  </si>
  <si>
    <t>Koszty postępowania sądowego i prokuratorskiego</t>
  </si>
  <si>
    <t>Wydatki inwestycyjne jednostek budżetowych</t>
  </si>
  <si>
    <t>ul. Lechicka (od ul. Słowiańskiej do torów)</t>
  </si>
  <si>
    <t>ul. Mieszka I (od ul. BOWiD do wiaduktu)</t>
  </si>
  <si>
    <t>przebudowa pętli autobusowej przy ul. Szczecińskiej</t>
  </si>
  <si>
    <t>ul. Batalionów Chłopskich z przebudową skrzyżowania ulic: Batalionów Chłopskich - Młyńska</t>
  </si>
  <si>
    <t>ul. Połczyńska - (projekt odcinka od ul. Działkowej do ul. Żytniej)</t>
  </si>
  <si>
    <t>ul. Gnieźnieńska (od 4-go Marca do Połczyńskiej)</t>
  </si>
  <si>
    <t xml:space="preserve">ul. Gnieźnieńska - skrzyżowanie z ul. 4-go Marca </t>
  </si>
  <si>
    <t>ul. Kwiatkowskiego</t>
  </si>
  <si>
    <t>ul. Syrenki</t>
  </si>
  <si>
    <t>ul. Młyńska</t>
  </si>
  <si>
    <t>skrzyżowanie ul.J. Pawła II - Staszica</t>
  </si>
  <si>
    <t>skrzyżowanie ul. A. Krajowej - Bohaterów Warszawy - Morskiej</t>
  </si>
  <si>
    <t>remont obiektów mostowych (ul. Monte Cassino)</t>
  </si>
  <si>
    <t>ul. Waryńskiego ze skrzyżowaniem z ul. Zwycięstwa</t>
  </si>
  <si>
    <t>ul. Zwycięstwa (od Św. Wojciecha do Dębowej)</t>
  </si>
  <si>
    <t>ulica śródmiejska</t>
  </si>
  <si>
    <t>budowa ścieżek rowerowych</t>
  </si>
  <si>
    <t>przebudowa ul. Chałbińskiego</t>
  </si>
  <si>
    <t>budowa parkingu, zatok autobusowych i kanalizacji deszczowej przy ul. Gnieźnieńskiej - etap I</t>
  </si>
  <si>
    <t>remont jezdni przy skrzyżowaniu ulic Monte Cassino - Fałta</t>
  </si>
  <si>
    <t>remont odcinka ul. Zwycięstwa (droga do Maszkowa)</t>
  </si>
  <si>
    <t>remont ul. Kędzierzyńskiej</t>
  </si>
  <si>
    <t xml:space="preserve">Budowa i przebudowa dróg stanowiących zewnętrzny pierścień układu komunikacyjnego </t>
  </si>
  <si>
    <t>Przebudowa miejsc postojowych w ulicy Młyńskiej</t>
  </si>
  <si>
    <t>Dokumentacje pod przyszłe inwestycje i remonty</t>
  </si>
  <si>
    <t>Ewidencja dróg</t>
  </si>
  <si>
    <r>
      <t xml:space="preserve">Wydatki inwestycyjne jednostek budżetowych - </t>
    </r>
    <r>
      <rPr>
        <i/>
        <sz val="9"/>
        <rFont val="Times New Roman CE"/>
        <family val="1"/>
      </rPr>
      <t>budowa ul.Władysława IV</t>
    </r>
  </si>
  <si>
    <t>Wydatki inwestycyjne jednostek budżetowych - ul. Połczyńska</t>
  </si>
  <si>
    <r>
      <t xml:space="preserve">Wydatki inwestycyjne jednostek budżetowych - </t>
    </r>
    <r>
      <rPr>
        <i/>
        <sz val="9"/>
        <rFont val="Times New Roman CE"/>
        <family val="1"/>
      </rPr>
      <t>budowa ulicy Śródmiejskiej</t>
    </r>
  </si>
  <si>
    <r>
      <t xml:space="preserve">Wydatki inwestycyjne jednostek budżetowych </t>
    </r>
    <r>
      <rPr>
        <i/>
        <sz val="9"/>
        <rFont val="Times New Roman CE"/>
        <family val="1"/>
      </rPr>
      <t>- skrzyżowanie ul.Jana Pawła II - Staszica</t>
    </r>
  </si>
  <si>
    <t xml:space="preserve">Drogi publiczne gminne </t>
  </si>
  <si>
    <t xml:space="preserve">Dotacje celowe przekazane gminie na inwestycje i zakupy inwestycyjne realizowane na podstawie porozumień między j.s.t. </t>
  </si>
  <si>
    <t>Osiedle Lipowe - drogi</t>
  </si>
  <si>
    <t>Osiedle Unii Europejskiej - drogi</t>
  </si>
  <si>
    <t>Osiedle Podgórne - Batalionów Chłopskich - drogi</t>
  </si>
  <si>
    <t>ul.Kamieniarska</t>
  </si>
  <si>
    <t>ul. Rzeczna (dojazd do Specj. Oś. Szkolno - Wych.)</t>
  </si>
  <si>
    <t>Osiedle Bukowe - drogi</t>
  </si>
  <si>
    <t>Osiedle Topolowe - drogi</t>
  </si>
  <si>
    <t>ul. Lutyków, ul. Obotrytów, ul. P. Skargi, ul. Łużycka, ul. Poprzeczna</t>
  </si>
  <si>
    <t>ul. Reymonta, ul. Staffa</t>
  </si>
  <si>
    <t>przebudowa ulicy Brzozowej</t>
  </si>
  <si>
    <t>przebudowa ulic: Zawiszy Czarnego, Dąbrówki, Ks. Anastazji, K. Wielkiego</t>
  </si>
  <si>
    <t>przebudowa ulicy Wenedów</t>
  </si>
  <si>
    <t>przebudowa rejonu ulic Gnieźnieńskiej, 4 - go Marca, Połczyńskiej (ul. Sybiraków)</t>
  </si>
  <si>
    <t>ul. Ułańska - Kadetów</t>
  </si>
  <si>
    <t>przebudowa ul. Marynarzy</t>
  </si>
  <si>
    <t>ul. Jarzębinowa - chodniki</t>
  </si>
  <si>
    <t>ul. Krańcowa</t>
  </si>
  <si>
    <t>remont odcinka ul. Bursztynowej</t>
  </si>
  <si>
    <t>Ewidencja dróg - ZDM</t>
  </si>
  <si>
    <t>Drogi wewnętrzne</t>
  </si>
  <si>
    <t xml:space="preserve">Wydatki inwestycyjne jednostek budżetowych </t>
  </si>
  <si>
    <t>Infrastruktura telekomunikacyjna</t>
  </si>
  <si>
    <t>Zakup usług pozostałych - na utrzymanie nieruchomości przejmowanych przez ZDM od WIK</t>
  </si>
  <si>
    <t>ZDM</t>
  </si>
  <si>
    <t>Wydatki osobowe niezaliczane do wynagrodzeń</t>
  </si>
  <si>
    <t>Dodatkowe wynagrodzenie roczne</t>
  </si>
  <si>
    <t>Składki na ubezpieczenie społeczne</t>
  </si>
  <si>
    <t>Składki na  FP</t>
  </si>
  <si>
    <t>Wpłaty na PFRON</t>
  </si>
  <si>
    <t>Zakup usług zdrowotnych</t>
  </si>
  <si>
    <t>Zakup pozostałych usług</t>
  </si>
  <si>
    <t>Zakup usług dostępu do sieci Internet</t>
  </si>
  <si>
    <t xml:space="preserve">Opłaty z tytułu zakupu usług telekomunikacyjnych telefonii komórkowej </t>
  </si>
  <si>
    <t>Opłaty z tytułu zakupu usług telekomunikacyjnych telefonii stacjonarnej</t>
  </si>
  <si>
    <t>Opłaty czynszowe za pomieszczenie biurowe</t>
  </si>
  <si>
    <t>Podróże  służbowe zagraniczne</t>
  </si>
  <si>
    <t xml:space="preserve">Podatek od nieruchomości </t>
  </si>
  <si>
    <t>Szkolenia pracowników niebędących członkami korpusu służby cywilnej</t>
  </si>
  <si>
    <t>Zakup akcesoriów komputerowych, w tym programów i licencji</t>
  </si>
  <si>
    <t xml:space="preserve">Wydatki na zakupy inwestycyjne jednostek budżetowych </t>
  </si>
  <si>
    <r>
      <t xml:space="preserve">Wydatki  inwestycyjne jednostek budżetowych </t>
    </r>
    <r>
      <rPr>
        <i/>
        <sz val="9"/>
        <rFont val="Times New Roman CE"/>
        <family val="1"/>
      </rPr>
      <t xml:space="preserve">- rozbudowę systemu antywłamaniowego </t>
    </r>
  </si>
  <si>
    <t>TURYSTYKA</t>
  </si>
  <si>
    <t>Zdania w zakresie upowszechniania turystyki</t>
  </si>
  <si>
    <t xml:space="preserve">Dotacja celowa z budżetu na finansowanie lub dofinansowanie zadań zleconych do realizacji stowarzyszeniom </t>
  </si>
  <si>
    <t xml:space="preserve">Dotacja celowa z budżetu na finansowanie lub dofinansowanie zadań zleconych do realizacji fundacjom </t>
  </si>
  <si>
    <t>Zakup materiałów i wyposażenia - RWZ</t>
  </si>
  <si>
    <t>Zakup usług pozostałych  - RWZ</t>
  </si>
  <si>
    <t>"Szlak gotyku ceglanego EuRoB II"</t>
  </si>
  <si>
    <t>Podróże służbowe zagraniczne</t>
  </si>
  <si>
    <t>"Transgraniczna wymiana daświadczeń w Euroregionie Pomerania"</t>
  </si>
  <si>
    <t>Zakup usług obejmujących tłumaczenia</t>
  </si>
  <si>
    <t>"Reaktywacja połączenia kolejowego Koszalin - Mielno"</t>
  </si>
  <si>
    <t>Dotacja celowa na pomoc finansową udzielaną między j.s.t. na dofinansowanie własnych zadań bieżących</t>
  </si>
  <si>
    <t>GOSPODARKA MIESZKANIOWA</t>
  </si>
  <si>
    <t>Zakłady gospodarki mieszkaniowej - ZBM</t>
  </si>
  <si>
    <t>Dotacja przedmiotowa z budżetu dla zakładu budżetowego</t>
  </si>
  <si>
    <t>Dotacje celowe z budżetu na finansowanie lub dofinansowanie kosztów realizacji inwestycji i zakupów inwestycyjnych zakładów budżetowych</t>
  </si>
  <si>
    <t>Gospodarka gruntami i nieruchomościami</t>
  </si>
  <si>
    <t>Zakup pozostałych usług - OP</t>
  </si>
  <si>
    <t>Zakup pozostałych usług - KS</t>
  </si>
  <si>
    <t>Zakup pomocy naukowych, dydaktycznych i książek</t>
  </si>
  <si>
    <r>
      <t xml:space="preserve">Zakup pozostałych usług - </t>
    </r>
    <r>
      <rPr>
        <i/>
        <sz val="9"/>
        <rFont val="Times New Roman CE"/>
        <family val="1"/>
      </rPr>
      <t xml:space="preserve">opracowania, podziały geodezyjne, ekspertyzy, wyrysy </t>
    </r>
  </si>
  <si>
    <t xml:space="preserve">Zakup usług obejmujących wykonanie ekspertyz, analiz i opinii </t>
  </si>
  <si>
    <t>Pozostałe podatki na rzecz budżetów jednostek samorządu terytorialnego</t>
  </si>
  <si>
    <t>Opłaty na rzecz budżetów j.s.t.</t>
  </si>
  <si>
    <t>Podatek od towarów i usług VAT</t>
  </si>
  <si>
    <t>Kary i odszkodowania wypłacane na rzecz osób fizycznych</t>
  </si>
  <si>
    <t>Kary i odszkodowania wypłacane na rzecz osób prawnych i innych jednostek organizacyjnych</t>
  </si>
  <si>
    <t>Koszty postępowania sadowego i prokuratorskiego</t>
  </si>
  <si>
    <t>Odsetki od nieterminowych wpłat podatku od towarów i usług VAT</t>
  </si>
  <si>
    <r>
      <t xml:space="preserve">Wydatki na zakupy inw. jednostek budżetowych - </t>
    </r>
    <r>
      <rPr>
        <i/>
        <sz val="9"/>
        <rFont val="Times New Roman CE"/>
        <family val="1"/>
      </rPr>
      <t>pierwokupy nieruchomości, rozwiązywanie umów notarialnych, wykupy gruntów</t>
    </r>
  </si>
  <si>
    <t>Towarzystwa budownictwa społecznego</t>
  </si>
  <si>
    <r>
      <t xml:space="preserve">Wydatki na zakup i objęcie akcji oraz wniesienie wkładów do spółek prawa handlowego - </t>
    </r>
    <r>
      <rPr>
        <i/>
        <sz val="9"/>
        <rFont val="Times New Roman CE"/>
        <family val="1"/>
      </rPr>
      <t>KTBS</t>
    </r>
  </si>
  <si>
    <t>Zakup materiałów i wyposażenia  - RO</t>
  </si>
  <si>
    <t>Zakup pozostałych usług -RO</t>
  </si>
  <si>
    <t>Składki na FP</t>
  </si>
  <si>
    <t xml:space="preserve">Kary i odszkodowania wypłacane na rzecz osób prawnych i innych jednostek organizacyjnych </t>
  </si>
  <si>
    <t>Budowa budynku komunalnego</t>
  </si>
  <si>
    <t>DZIAŁALNOŚĆ USŁUGOWA</t>
  </si>
  <si>
    <t>Plany zagospodarowania przestrzennego</t>
  </si>
  <si>
    <t>Składki na Fundusz Pracy</t>
  </si>
  <si>
    <r>
      <t xml:space="preserve">Zakup usług pozostałych - (w tym: 150,0 tys. zł - "Gminny </t>
    </r>
    <r>
      <rPr>
        <i/>
        <sz val="9"/>
        <rFont val="Times New Roman CE"/>
        <family val="1"/>
      </rPr>
      <t>program opieki nad zabytkami")</t>
    </r>
  </si>
  <si>
    <t>Prace geodezyjne i kartograficzne (nieinwestycyjne)</t>
  </si>
  <si>
    <t>Opracowania geodezyjne i kartograficzne</t>
  </si>
  <si>
    <t>Nadzór budowlany</t>
  </si>
  <si>
    <t>Krajowe podróże służbowe</t>
  </si>
  <si>
    <t>Wydatki na zakupy inwestycyjne jednostek budżetowych</t>
  </si>
  <si>
    <t>Cmentarze</t>
  </si>
  <si>
    <r>
      <t xml:space="preserve">Zakup usług pozostałych - </t>
    </r>
    <r>
      <rPr>
        <i/>
        <sz val="9"/>
        <rFont val="Times New Roman CE"/>
        <family val="1"/>
      </rPr>
      <t>z tytułu  porozumień</t>
    </r>
  </si>
  <si>
    <r>
      <t xml:space="preserve">Zakup usług pozostałych  - </t>
    </r>
    <r>
      <rPr>
        <i/>
        <sz val="9"/>
        <rFont val="Times New Roman CE"/>
        <family val="1"/>
      </rPr>
      <t>utrzymanie cmentarza</t>
    </r>
  </si>
  <si>
    <t>ADMINISTRACJA PUBLICZNA</t>
  </si>
  <si>
    <t>Urzędy Wojewódzkie</t>
  </si>
  <si>
    <t xml:space="preserve"> </t>
  </si>
  <si>
    <t>Starostwa powiatowe</t>
  </si>
  <si>
    <t>Dotacje celowe przekazane dla powiatu na zadania bieżące realizowane na podstawie porozumień między j.s.t.</t>
  </si>
  <si>
    <t>Wynagrodzenia osobowe</t>
  </si>
  <si>
    <t>Zakup materiałów i wyposażenia - Km</t>
  </si>
  <si>
    <t>Zakup usług pozostałych - Km</t>
  </si>
  <si>
    <t>Rada Miejska</t>
  </si>
  <si>
    <t>Biuro Rady Miejskiej</t>
  </si>
  <si>
    <t xml:space="preserve">Nagrody o charakterze szczególnym niezaliczane do wynagrodzeń </t>
  </si>
  <si>
    <t>Młodzieżowa Rada Miasta</t>
  </si>
  <si>
    <t>Urząd Miejski</t>
  </si>
  <si>
    <t>Organizacyjno-Administr.</t>
  </si>
  <si>
    <t>Straż Miejska</t>
  </si>
  <si>
    <t>Rp</t>
  </si>
  <si>
    <t>USC</t>
  </si>
  <si>
    <t>BHP</t>
  </si>
  <si>
    <t>Różne wydatki na rzecz osób fizycznych - OA</t>
  </si>
  <si>
    <t>Nagrody o charakterze szczególnym niezaliczane do wynagrodzeń - USC</t>
  </si>
  <si>
    <t xml:space="preserve">Wynagrodzenia agencyjno - prowizyjne </t>
  </si>
  <si>
    <r>
      <t>Wynagrodzenia agencyjno - prowizyjne</t>
    </r>
    <r>
      <rPr>
        <i/>
        <sz val="9"/>
        <rFont val="Times New Roman CE"/>
        <family val="1"/>
      </rPr>
      <t xml:space="preserve"> - IK</t>
    </r>
  </si>
  <si>
    <t xml:space="preserve">Składki na ubezpieczenia społeczne </t>
  </si>
  <si>
    <r>
      <t>Składki na ubezpieczenia społeczne</t>
    </r>
    <r>
      <rPr>
        <i/>
        <sz val="9"/>
        <rFont val="Times New Roman CE"/>
        <family val="1"/>
      </rPr>
      <t xml:space="preserve"> - E</t>
    </r>
  </si>
  <si>
    <r>
      <t>Składki na FP</t>
    </r>
    <r>
      <rPr>
        <i/>
        <sz val="9"/>
        <rFont val="Times New Roman CE"/>
        <family val="1"/>
      </rPr>
      <t xml:space="preserve"> - OA</t>
    </r>
  </si>
  <si>
    <r>
      <t xml:space="preserve">Składki na FP </t>
    </r>
    <r>
      <rPr>
        <i/>
        <sz val="9"/>
        <rFont val="Times New Roman CE"/>
        <family val="1"/>
      </rPr>
      <t>- E</t>
    </r>
  </si>
  <si>
    <r>
      <t>Wynagrodzenia bezosobowe</t>
    </r>
    <r>
      <rPr>
        <i/>
        <sz val="9"/>
        <rFont val="Times New Roman CE"/>
        <family val="1"/>
      </rPr>
      <t xml:space="preserve"> - E</t>
    </r>
  </si>
  <si>
    <r>
      <t>Zakup materiałów i wyposażenia</t>
    </r>
    <r>
      <rPr>
        <i/>
        <sz val="9"/>
        <rFont val="Times New Roman CE"/>
        <family val="1"/>
      </rPr>
      <t xml:space="preserve"> </t>
    </r>
  </si>
  <si>
    <t>Organizacujno-Administ.</t>
  </si>
  <si>
    <t xml:space="preserve"> Straż Miejska</t>
  </si>
  <si>
    <t xml:space="preserve"> Komunikacja</t>
  </si>
  <si>
    <t xml:space="preserve"> Biuro Informatyki </t>
  </si>
  <si>
    <t xml:space="preserve">BHP </t>
  </si>
  <si>
    <t xml:space="preserve">Zakup usług remontowych </t>
  </si>
  <si>
    <t>Wydz. O- A</t>
  </si>
  <si>
    <t>Zakup usług pozostałych  w tym:</t>
  </si>
  <si>
    <t>Wydz. Komunikacja</t>
  </si>
  <si>
    <t>Wydz. Fk</t>
  </si>
  <si>
    <t>Biuro Zamówień Publicznych</t>
  </si>
  <si>
    <t>Inf.</t>
  </si>
  <si>
    <t>Zakup usług obejmujących wykonanie ekspertyz, analiz i opinii - OA</t>
  </si>
  <si>
    <r>
      <t xml:space="preserve">Zakup usług dostępu do sieci Internet - </t>
    </r>
    <r>
      <rPr>
        <i/>
        <sz val="9"/>
        <rFont val="Times New Roman CE"/>
        <family val="1"/>
      </rPr>
      <t>Inf</t>
    </r>
  </si>
  <si>
    <r>
      <t xml:space="preserve">Zakup usług dostępu do sieci Internet - </t>
    </r>
    <r>
      <rPr>
        <i/>
        <sz val="9"/>
        <rFont val="Times New Roman CE"/>
        <family val="1"/>
      </rPr>
      <t>BZP</t>
    </r>
  </si>
  <si>
    <t>Opłaty z tytułu zakupu usług telekomunikacyjnych telefonii komórkowej - OA</t>
  </si>
  <si>
    <t>Opłaty z tytułu zakupu usług telekomunikacyjnych telefonii stacjonarnej -OA</t>
  </si>
  <si>
    <t>Zakup usług obejmujących tłumaczenia - OA</t>
  </si>
  <si>
    <r>
      <t>Podróże służbowe zagraniczne -</t>
    </r>
    <r>
      <rPr>
        <i/>
        <sz val="9"/>
        <rFont val="Times New Roman CE"/>
        <family val="1"/>
      </rPr>
      <t xml:space="preserve"> RWZ</t>
    </r>
  </si>
  <si>
    <t>Różne opłaty i składki Fk</t>
  </si>
  <si>
    <t>Różne opłaty i składki OA</t>
  </si>
  <si>
    <t>Różne opłaty i składki Rp</t>
  </si>
  <si>
    <r>
      <t>Koszty postępowania sądowego -</t>
    </r>
    <r>
      <rPr>
        <i/>
        <sz val="9"/>
        <rFont val="Times New Roman CE"/>
        <family val="1"/>
      </rPr>
      <t xml:space="preserve"> Rp</t>
    </r>
  </si>
  <si>
    <r>
      <t>Koszty postępowania sądowego -</t>
    </r>
    <r>
      <rPr>
        <i/>
        <sz val="9"/>
        <rFont val="Times New Roman CE"/>
        <family val="1"/>
      </rPr>
      <t xml:space="preserve"> OP</t>
    </r>
  </si>
  <si>
    <r>
      <t>Koszty postępowania sądowego -</t>
    </r>
    <r>
      <rPr>
        <i/>
        <sz val="9"/>
        <rFont val="Times New Roman CE"/>
        <family val="1"/>
      </rPr>
      <t xml:space="preserve"> Fk</t>
    </r>
  </si>
  <si>
    <r>
      <t xml:space="preserve">Zakup akcesoriów komputerowych, w tym programów i licencji                         </t>
    </r>
    <r>
      <rPr>
        <i/>
        <sz val="9"/>
        <rFont val="Times New Roman CE"/>
        <family val="1"/>
      </rPr>
      <t>OA i Inf.</t>
    </r>
  </si>
  <si>
    <t xml:space="preserve">Wydatki inwestycyjne jednostek budżetowych             </t>
  </si>
  <si>
    <t xml:space="preserve">Wydatki na zakupy inwestycyjne jednostek budżetowych             </t>
  </si>
  <si>
    <t xml:space="preserve">Komisje poborowe </t>
  </si>
  <si>
    <r>
      <t xml:space="preserve">Zakup usług pozostałych </t>
    </r>
    <r>
      <rPr>
        <i/>
        <sz val="9"/>
        <rFont val="Times New Roman CE"/>
        <family val="1"/>
      </rPr>
      <t>- por.  ekspertyzy lekarskie</t>
    </r>
  </si>
  <si>
    <t xml:space="preserve">Opłaty z tytułu zakupu usług telekomunikacyjnych telefonii stacjonarnej </t>
  </si>
  <si>
    <t>Promocja jednostek samorządu terytorialnego</t>
  </si>
  <si>
    <t>Dotacja celowa z budżetu na finansowanie lub dofinansowanie zadań zleconych do realizacji stowarzyszeniom</t>
  </si>
  <si>
    <t>Wynagrodzenia bezosobowe - R</t>
  </si>
  <si>
    <t>Zakup materiałów i wyposażenia - PI</t>
  </si>
  <si>
    <t>Zakup materiałów i wyposażenia - R</t>
  </si>
  <si>
    <t>Zakup usług pozostałych - PI</t>
  </si>
  <si>
    <t>Zakup usług pozostałych - R</t>
  </si>
  <si>
    <t>Zakup usług pozostałych - KS</t>
  </si>
  <si>
    <t>Zakup usług do sieci Internet - PI</t>
  </si>
  <si>
    <t>"Polsko - Niemieckie Forum Gospodarcze i Giełda Kooperacyjna w Koszalinie"</t>
  </si>
  <si>
    <t>Wynagrodzienia bezosobowe</t>
  </si>
  <si>
    <t>"Promocja rozwoju Koszalina - Vademecum Inwestora"</t>
  </si>
  <si>
    <t>"Koszaliński katolog usług polsko - niemieckich"</t>
  </si>
  <si>
    <t>Składki FP</t>
  </si>
  <si>
    <t>Pozostała działalność RO</t>
  </si>
  <si>
    <t>Nagrody i wydatki osobowe nie zaliczane do wynagrodzeń</t>
  </si>
  <si>
    <t>Zakup usług  pozostałych</t>
  </si>
  <si>
    <t>Zakup akcesoriów komputerowych , w tym programów i licencji</t>
  </si>
  <si>
    <r>
      <t xml:space="preserve">Nagrody o charakterze szczególnym niezaliczane do wynagrodzeń - </t>
    </r>
    <r>
      <rPr>
        <i/>
        <sz val="9"/>
        <rFont val="Times New Roman CE"/>
        <family val="1"/>
      </rPr>
      <t>USC</t>
    </r>
  </si>
  <si>
    <r>
      <t xml:space="preserve">Składki na ubezpieczenia społeczne - </t>
    </r>
    <r>
      <rPr>
        <i/>
        <sz val="9"/>
        <rFont val="Times New Roman CE"/>
        <family val="1"/>
      </rPr>
      <t>RWZ</t>
    </r>
  </si>
  <si>
    <r>
      <t xml:space="preserve">Składki na FP </t>
    </r>
    <r>
      <rPr>
        <i/>
        <sz val="9"/>
        <rFont val="Times New Roman CE"/>
        <family val="1"/>
      </rPr>
      <t>- RWZ</t>
    </r>
  </si>
  <si>
    <r>
      <t xml:space="preserve">Wynagrodzenia bezosobowe </t>
    </r>
    <r>
      <rPr>
        <i/>
        <sz val="9"/>
        <rFont val="Times New Roman CE"/>
        <family val="1"/>
      </rPr>
      <t>-RWZ</t>
    </r>
  </si>
  <si>
    <r>
      <t>Zakupy materiałów i wyposażenia -</t>
    </r>
    <r>
      <rPr>
        <i/>
        <sz val="9"/>
        <rFont val="Times New Roman CE"/>
        <family val="1"/>
      </rPr>
      <t xml:space="preserve"> RWZ</t>
    </r>
  </si>
  <si>
    <r>
      <t xml:space="preserve">Zakup pozostałych usług </t>
    </r>
    <r>
      <rPr>
        <i/>
        <sz val="9"/>
        <rFont val="Times New Roman CE"/>
        <family val="1"/>
      </rPr>
      <t>- RWZ</t>
    </r>
  </si>
  <si>
    <t>Zakup usług do sieci Internet - RWZ</t>
  </si>
  <si>
    <t>Zakup usług obejmujących tłumaczenia - RWZ</t>
  </si>
  <si>
    <t>Zakup usług obejmujących wykonanie ekspertyz, analiz i opinii - RWZ</t>
  </si>
  <si>
    <r>
      <t>Różne opłaty i składki -  R</t>
    </r>
    <r>
      <rPr>
        <i/>
        <sz val="9"/>
        <rFont val="Times New Roman CE"/>
        <family val="1"/>
      </rPr>
      <t>WZ</t>
    </r>
  </si>
  <si>
    <t>Dotacja celowa z budżetu na finansowanie lub dofinansowanie zadań zleconych do realizacji fundacjom</t>
  </si>
  <si>
    <t xml:space="preserve"> - dofinansowanie Regionalnego Centrum Informacji Europejskiej - RCIE</t>
  </si>
  <si>
    <t xml:space="preserve"> - dofinansowanie działalności CIP</t>
  </si>
  <si>
    <t>URZĘDY NACZELNYCH ORGANÓW WŁADZY PAŃSTWOWEJ, KONTROLI I OCHRONY PRAWA ORAZ SĄDOWNICTWA</t>
  </si>
  <si>
    <t>Urzędy naczelnych organów władzy państwowej, kontroli i ochrony prawa</t>
  </si>
  <si>
    <t xml:space="preserve">Składki na FP </t>
  </si>
  <si>
    <t xml:space="preserve">Zakup materiałów i wyposażenia </t>
  </si>
  <si>
    <t>Wybory Prezydenta Rzeczpospolitej Polskiej</t>
  </si>
  <si>
    <t>Wybory do sejmu i senatu</t>
  </si>
  <si>
    <t xml:space="preserve">Nagrody i wydatki osobowe nie zaliczane do wynagrodzeń </t>
  </si>
  <si>
    <t>Referenda ogólnokrajowe i konstytucyjne</t>
  </si>
  <si>
    <t>OBRONA NARODOWA</t>
  </si>
  <si>
    <t>Pozostałe wydatki obronne</t>
  </si>
  <si>
    <t>Zakup pomocy nauk., dydaktycznych i książek</t>
  </si>
  <si>
    <t>BEZPIECZEŃSTWO PUBLICZNE I OCHRONA PRZECIWPOŻAROWA</t>
  </si>
  <si>
    <t>Komendy powiatowe Policji</t>
  </si>
  <si>
    <t>Wpłaty jednostek na fundusz celowy</t>
  </si>
  <si>
    <t>Wpłaty jednostek na fundusz celowy na finansowanie lub dofinansowanie zadań inwestycyjnych</t>
  </si>
  <si>
    <t>Komendy powiatowe Państwowej Straży Pożarnej</t>
  </si>
  <si>
    <t>Wydatki osobowe niezaliczane do uposażeń wypłacane żołnierzom i funkcjonariuszom</t>
  </si>
  <si>
    <t xml:space="preserve">Wynagrodzenia osobowe pracowników 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</si>
  <si>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</si>
  <si>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</si>
  <si>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</si>
  <si>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Uposazenia i świadczenia pieniężne wypłacane przez okres roku żoł. i funkcjon. zwolnionym ze służby</t>
  </si>
  <si>
    <t>Równoważniki pieniężne i ekwiwalenty dla żołnierzy i funkcjonariuszy</t>
  </si>
  <si>
    <t>Zakup sprzętu i ubrojenia</t>
  </si>
  <si>
    <t>Zakup środków żywności</t>
  </si>
  <si>
    <t>Zakup sprzętu i uzbrojenia</t>
  </si>
  <si>
    <t>Opłaty z tytułu zakupu usług telekomunikacyjnych telefonii komórkowej</t>
  </si>
  <si>
    <t>Odpisy na ZFŚS</t>
  </si>
  <si>
    <t>Opłaty na rzecz budżetu państwa</t>
  </si>
  <si>
    <t>Dotacje celowe z budżetu na finansowanie lub dofinansowanie kosztów realizacji inwestycji i zakupów inwestycyjnych innych jednostek sektora finansów publicznych</t>
  </si>
  <si>
    <t>Ochotnicze straże pożarne</t>
  </si>
  <si>
    <t>Dotacja celowa z budżetu  lub dofinansowanie zadań zleconych do realizacji stowarzyszeniom</t>
  </si>
  <si>
    <t>Obrona cywilna</t>
  </si>
  <si>
    <r>
      <t xml:space="preserve">Wydatki na zakupy inwestycyjne jednostek budżetowych - </t>
    </r>
    <r>
      <rPr>
        <i/>
        <sz val="9"/>
        <rFont val="Times New Roman CE"/>
        <family val="1"/>
      </rPr>
      <t>zakup projektu multimedialnego</t>
    </r>
  </si>
  <si>
    <r>
      <t>Zakup pozostałych usług -</t>
    </r>
    <r>
      <rPr>
        <sz val="8"/>
        <rFont val="Times New Roman CE"/>
        <family val="1"/>
      </rPr>
      <t xml:space="preserve"> </t>
    </r>
    <r>
      <rPr>
        <i/>
        <sz val="8"/>
        <rFont val="Times New Roman CE"/>
        <family val="1"/>
      </rPr>
      <t>Zintegrowany System Ratownictwa</t>
    </r>
  </si>
  <si>
    <t>Zarządzanie Kryzysowe</t>
  </si>
  <si>
    <r>
      <t xml:space="preserve">Rezerwa celowa </t>
    </r>
    <r>
      <rPr>
        <i/>
        <sz val="8"/>
        <rFont val="Times New Roman CE"/>
        <family val="1"/>
      </rPr>
      <t>- na realizacje zadań własnych z zakresu zarządzania kryzysowego</t>
    </r>
  </si>
  <si>
    <r>
      <t>Wpłaty jednostek na fundusz celowy</t>
    </r>
    <r>
      <rPr>
        <i/>
        <sz val="9"/>
        <rFont val="Times New Roman CE"/>
        <family val="1"/>
      </rPr>
      <t xml:space="preserve"> - zakup paliwa dla Straży Granicznej w Darłowie</t>
    </r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</si>
  <si>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</si>
  <si>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</si>
  <si>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r>
      <t xml:space="preserve">Wynagrodzenia osobowe pracowników - IK </t>
    </r>
    <r>
      <rPr>
        <i/>
        <sz val="9"/>
        <rFont val="Times New Roman CE"/>
        <family val="1"/>
      </rPr>
      <t>(inkasenci)</t>
    </r>
  </si>
  <si>
    <r>
      <t>Wynagrodzenia agencyjno - prowizyjne -</t>
    </r>
    <r>
      <rPr>
        <i/>
        <sz val="9"/>
        <rFont val="Times New Roman CE"/>
        <family val="1"/>
      </rPr>
      <t xml:space="preserve"> Fk</t>
    </r>
  </si>
  <si>
    <r>
      <t>Wynagrodzenia agencyjno - prowizyjne</t>
    </r>
    <r>
      <rPr>
        <i/>
        <sz val="9"/>
        <rFont val="Times New Roman CE"/>
        <family val="1"/>
      </rPr>
      <t xml:space="preserve"> IK</t>
    </r>
  </si>
  <si>
    <r>
      <t xml:space="preserve">Składki na ubezpieczenia społeczne -  </t>
    </r>
    <r>
      <rPr>
        <i/>
        <sz val="9"/>
        <rFont val="Times New Roman CE"/>
        <family val="1"/>
      </rPr>
      <t>IK</t>
    </r>
  </si>
  <si>
    <r>
      <t>Składki na ubezpieczenia społeczne -</t>
    </r>
    <r>
      <rPr>
        <i/>
        <sz val="9"/>
        <rFont val="Times New Roman CE"/>
        <family val="1"/>
      </rPr>
      <t xml:space="preserve"> Fk</t>
    </r>
  </si>
  <si>
    <r>
      <t>Składki na FP -</t>
    </r>
    <r>
      <rPr>
        <i/>
        <sz val="9"/>
        <rFont val="Times New Roman CE"/>
        <family val="1"/>
      </rPr>
      <t xml:space="preserve"> IK</t>
    </r>
  </si>
  <si>
    <r>
      <t xml:space="preserve">Składki na FP - </t>
    </r>
    <r>
      <rPr>
        <i/>
        <sz val="9"/>
        <rFont val="Times New Roman CE"/>
        <family val="1"/>
      </rPr>
      <t xml:space="preserve"> Fk</t>
    </r>
  </si>
  <si>
    <t>Wynagrodzenia bezosobowe - IK</t>
  </si>
  <si>
    <r>
      <t>Zakup usług pozostałych -</t>
    </r>
    <r>
      <rPr>
        <i/>
        <sz val="9"/>
        <rFont val="Times New Roman CE"/>
        <family val="1"/>
      </rPr>
      <t xml:space="preserve"> Fk</t>
    </r>
  </si>
  <si>
    <r>
      <t xml:space="preserve">Zakup usług pozostałych - </t>
    </r>
    <r>
      <rPr>
        <i/>
        <sz val="9"/>
        <rFont val="Times New Roman CE"/>
        <family val="1"/>
      </rPr>
      <t>IK</t>
    </r>
  </si>
  <si>
    <t>Różne opłaty i składki -Rp</t>
  </si>
  <si>
    <t>Różne opłaty i składki -Fk</t>
  </si>
  <si>
    <t>Fk</t>
  </si>
  <si>
    <t>OP</t>
  </si>
  <si>
    <t>OBSŁUGA DŁUGU PUBLICZNEGO</t>
  </si>
  <si>
    <t>Obsługa papierów wartościowych, kredytów i  pożyczek j.s.t.</t>
  </si>
  <si>
    <t>Odsetki i dyskonto od krajowych skarbowych papierów wartościowych oraz od krajowych pożyczek i kredytów</t>
  </si>
  <si>
    <t>RÓŻNE ROZLICZENIA</t>
  </si>
  <si>
    <t>Część równoważąca subwencji ogólnej dla powiatów</t>
  </si>
  <si>
    <t>Wpłaty jednostek samorządu terytorialnego do budżetu państwa</t>
  </si>
  <si>
    <t>Rezerwy ogólne i celowe</t>
  </si>
  <si>
    <t>Rezerwa celowa (na realizację zadań dofinans. ze środków zewnętrznych)</t>
  </si>
  <si>
    <t>Rezerwa celowa (na remonty RO nie wykonane w 2007r. )</t>
  </si>
  <si>
    <r>
      <t xml:space="preserve">Rezerwy na inwestycje i zakupy inwestycyjne </t>
    </r>
    <r>
      <rPr>
        <i/>
        <sz val="9"/>
        <rFont val="Times New Roman CE"/>
        <family val="1"/>
      </rPr>
      <t>(inwestycje zakończone)</t>
    </r>
  </si>
  <si>
    <t>Rezerwa ogólna do 1% wydatków</t>
  </si>
  <si>
    <t>OŚWIATA I WYCHOWANIE</t>
  </si>
  <si>
    <t>Szkoły podstawowe</t>
  </si>
  <si>
    <t>Dotacja podmiotowa z budżetu dla niepublicznej jednostki systemu oświaty</t>
  </si>
  <si>
    <t>Wydatki osobowe niezaliczone do wynagrodzeń</t>
  </si>
  <si>
    <t>Zakupy pomocy naukowych, dydaktycznych i książek</t>
  </si>
  <si>
    <t xml:space="preserve">Zakup usług obejmujących tłumaczenia </t>
  </si>
  <si>
    <r>
      <t>Wydatki inwestycyjne jednostek budżetowych               (</t>
    </r>
    <r>
      <rPr>
        <i/>
        <sz val="9"/>
        <rFont val="Times New Roman CE"/>
        <family val="1"/>
      </rPr>
      <t>w tym: IK -1.100,0 tys.zł - boisko sportowe przy ZS Nr 13</t>
    </r>
    <r>
      <rPr>
        <sz val="9"/>
        <rFont val="Times New Roman CE"/>
        <family val="0"/>
      </rPr>
      <t>)</t>
    </r>
  </si>
  <si>
    <t>Szkoły podstawowe specjalne</t>
  </si>
  <si>
    <t>Świadczenia społeczne</t>
  </si>
  <si>
    <t>Składki na ubezpieczenia zdrowotne</t>
  </si>
  <si>
    <t>Oddziały przedszkolne w szkołach podstawowych</t>
  </si>
  <si>
    <t xml:space="preserve">Przedszkola </t>
  </si>
  <si>
    <t>Dotacja podmiotowa z budżetu dla zakładu budżetowego</t>
  </si>
  <si>
    <t>Przedszkola specjalne</t>
  </si>
  <si>
    <t>Gimnazja</t>
  </si>
  <si>
    <r>
      <t xml:space="preserve">Wydatki inwestycyjne jednostek budżetowych         </t>
    </r>
    <r>
      <rPr>
        <i/>
        <sz val="9"/>
        <rFont val="Times New Roman CE"/>
        <family val="1"/>
      </rPr>
      <t>(w tym: IK - 180,0 tys. zł - sala sport. przy gim. Nr6, 8,0 tys. zł - gim. Nr11)</t>
    </r>
  </si>
  <si>
    <t>Gimnazja specjalne</t>
  </si>
  <si>
    <t>Zakup pomocy naukowych, dydakt. i książek</t>
  </si>
  <si>
    <t>Zespół Obsługi Ekonomiczno - Administracyjnej Szkół (Przedszkoli Miejskich)</t>
  </si>
  <si>
    <r>
      <t xml:space="preserve">Wydatki inwestycyjne jednostek budżetowych </t>
    </r>
    <r>
      <rPr>
        <i/>
        <sz val="9"/>
        <rFont val="Times New Roman CE"/>
        <family val="1"/>
      </rPr>
      <t xml:space="preserve">- modernizacja przedszkoli </t>
    </r>
  </si>
  <si>
    <t>Licea ogólnokształcące</t>
  </si>
  <si>
    <t>Zakup usług remont. KS</t>
  </si>
  <si>
    <t>Licea profilowane</t>
  </si>
  <si>
    <t xml:space="preserve">Szkoły zawodowe </t>
  </si>
  <si>
    <t>Dotacja podmiotowa z budżetu dla publicznej jednostki systemu oświaty prowadzonej przez osobę prawną inną niż j.s.t. lub przez osobę fizyczną</t>
  </si>
  <si>
    <t>Zasądzone renty</t>
  </si>
  <si>
    <t>Wpłata na PFRON</t>
  </si>
  <si>
    <t>Szkoły pomaturalne i policealne</t>
  </si>
  <si>
    <t>Dotacja podmiotowa dla niepublicznej szkoły lub innej placówki oświatowo-wychowawczej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</si>
  <si>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</si>
  <si>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</si>
  <si>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</si>
  <si>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</si>
  <si>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>Dotacja podmiotowa dla zakładu budżetowego</t>
  </si>
  <si>
    <r>
      <t>Zakup usług pozostałych -</t>
    </r>
    <r>
      <rPr>
        <i/>
        <sz val="9"/>
        <rFont val="Times New Roman CE"/>
        <family val="1"/>
      </rPr>
      <t xml:space="preserve"> doskonalenie</t>
    </r>
  </si>
  <si>
    <r>
      <t xml:space="preserve">Składki na ubezpieczenia społeczne  </t>
    </r>
    <r>
      <rPr>
        <i/>
        <sz val="9"/>
        <rFont val="Times New Roman CE"/>
        <family val="1"/>
      </rPr>
      <t>- komisje ds. stypendiów szkolnych</t>
    </r>
  </si>
  <si>
    <r>
      <t xml:space="preserve">Składki na FP </t>
    </r>
    <r>
      <rPr>
        <i/>
        <sz val="9"/>
        <rFont val="Times New Roman CE"/>
        <family val="1"/>
      </rPr>
      <t>- komisje ds. stypendiów szkolnych</t>
    </r>
  </si>
  <si>
    <r>
      <t xml:space="preserve">Wynagrodzenia bezosobowe </t>
    </r>
    <r>
      <rPr>
        <i/>
        <sz val="9"/>
        <rFont val="Times New Roman CE"/>
        <family val="1"/>
      </rPr>
      <t>- komisje ds. stypendiów szkolnych</t>
    </r>
  </si>
  <si>
    <r>
      <t xml:space="preserve">Zakup usług remontowych - </t>
    </r>
    <r>
      <rPr>
        <i/>
        <sz val="9"/>
        <rFont val="Times New Roman CE"/>
        <family val="1"/>
      </rPr>
      <t>Rady Osiedli</t>
    </r>
  </si>
  <si>
    <t>Odpis na ZFŚS emerytów</t>
  </si>
  <si>
    <r>
      <t xml:space="preserve">Wydatki inwestycyjne jednostek budżetowych </t>
    </r>
    <r>
      <rPr>
        <i/>
        <sz val="9"/>
        <rFont val="Times New Roman CE"/>
        <family val="1"/>
      </rPr>
      <t>- (dach na budynku warsztatów w ZS Nr 10 - 400,0 tys. zł; sala gimnast. ZS Nr 8 - 100,0 tys. zł)</t>
    </r>
  </si>
  <si>
    <r>
      <t xml:space="preserve">Wydatki na zakupy inwestycyjne jednostek budżetowych </t>
    </r>
    <r>
      <rPr>
        <i/>
        <sz val="9"/>
        <rFont val="Times New Roman CE"/>
        <family val="1"/>
      </rPr>
      <t xml:space="preserve">(ZS Nr 12) </t>
    </r>
  </si>
  <si>
    <t xml:space="preserve">Dotacje celowe z budżetu na finansowanie  lub dofinansowanie kosztów realizacji inwestycji i zakupów inwestycyjnych  innych jednostek sektora finansów publicznych </t>
  </si>
  <si>
    <t>Dotacja podmiotowa z budżetu dla samorządowej instytucji kultury</t>
  </si>
  <si>
    <r>
      <t xml:space="preserve">Dotacja podmiotowa z budżetu dla niepublicznej jednostki systemu oświaty </t>
    </r>
    <r>
      <rPr>
        <i/>
        <sz val="9"/>
        <rFont val="Times New Roman CE"/>
        <family val="1"/>
      </rPr>
      <t>- nauka pływania</t>
    </r>
  </si>
  <si>
    <t>Dotacja podmiotowa z budżetu dla pozostałych jednostek sektorafinansów publicznych</t>
  </si>
  <si>
    <t>Dotacja celowa z budżetu na finansowanie i dofinansowanie zadań zleconych do realizacji stowarzyszeniom OP</t>
  </si>
  <si>
    <t>"Kraj naszych sąsiadów - widziany przez nasze dzieci"</t>
  </si>
  <si>
    <t xml:space="preserve">Wynagrodzenia bezosobowe </t>
  </si>
  <si>
    <r>
      <t xml:space="preserve">Zakup materiałów i wyposażenia </t>
    </r>
    <r>
      <rPr>
        <b/>
        <sz val="9"/>
        <rFont val="Times New Roman CE"/>
        <family val="1"/>
      </rPr>
      <t>"Szkolne projekty Socrates Comenius 2005/2006"</t>
    </r>
  </si>
  <si>
    <t>"Program Comenius - Partnerskie projekty szkół 2007/2008"</t>
  </si>
  <si>
    <t>"Leonardo da Vinci" - Transfer Wiedzy Transfer Umiejętności - Aktywni Ustawicznie</t>
  </si>
  <si>
    <t>"Leonardo da Vinci" - Praktyka uczniów technikum samochodowego i mechanicznego w Niemczech szansą poznania rynku UE</t>
  </si>
  <si>
    <t>"Śpiewająca Polska"</t>
  </si>
  <si>
    <t xml:space="preserve">SZKOLNICTWO WYŻSZE </t>
  </si>
  <si>
    <t>Pomoc materialna dla studentów i doktorantów</t>
  </si>
  <si>
    <t>Stypendia różne</t>
  </si>
  <si>
    <t>Europejski fundusz stypendialny dla studentów w Koszalinie 2006/2007</t>
  </si>
  <si>
    <t>Stypendia i zasiłki dla studentów</t>
  </si>
  <si>
    <t>Dotacja celowa z budżetu na finansowanie i dofinansowanie zadań zleconych do realizacji stowarzyszeniom</t>
  </si>
  <si>
    <t>Nagrody o charakterze szczególnym niezaliczane do wynagrodzeń</t>
  </si>
  <si>
    <t>OCHRONA ZDROWIA</t>
  </si>
  <si>
    <t>Szpitale ogólne</t>
  </si>
  <si>
    <t>Dotacja celowa z budżetu dla pozostałych jednostek zaliczanych do sektora finansow publicznych</t>
  </si>
  <si>
    <t>Programy polityki zdrowotnej</t>
  </si>
  <si>
    <t>Dotacja przedmiotowa z budżetu dla pozostałych jednostek sektora  finansów publicznych</t>
  </si>
  <si>
    <t>Dotacja podmiotowa z budżetu dla pozostałych jednostek sektora  finansów publicznych</t>
  </si>
  <si>
    <t>Zwalczanie narkomanii</t>
  </si>
  <si>
    <r>
      <t xml:space="preserve">Dotacja przedmiotowa z budżetu dla pozostałych jednostek sektora finansów publicznych - </t>
    </r>
    <r>
      <rPr>
        <i/>
        <sz val="9"/>
        <rFont val="Times New Roman CE"/>
        <family val="1"/>
      </rPr>
      <t>realizacja "Programu zwalczania narkomanii".</t>
    </r>
  </si>
  <si>
    <t>Dotacja podmiotowa z budżetu dla pozostałych jednostek sektora  finansów publicznych- realizacja "Programu zwalczania narkomanii".</t>
  </si>
  <si>
    <t>Przeciwdziałanie alkoholizmowi</t>
  </si>
  <si>
    <t>Koszty postępowania sądowego i prokuratorskie</t>
  </si>
  <si>
    <t xml:space="preserve">Składki na ubezpieczenia zdrowotne  oraz świadczenia dla osób nie objętych obowiązkiem ubezpieczenia zdrowotnego  </t>
  </si>
  <si>
    <t>Izby Wytrzeźwień</t>
  </si>
  <si>
    <r>
      <t xml:space="preserve">Zakup usług zdrowotnych - </t>
    </r>
    <r>
      <rPr>
        <i/>
        <sz val="9"/>
        <rFont val="Times New Roman CE"/>
        <family val="1"/>
      </rPr>
      <t>badania lekarskie</t>
    </r>
  </si>
  <si>
    <t>Opłata na rzecz budżetu jednostek samorz. terytor.</t>
  </si>
  <si>
    <t>Dotacja przedmiotowa z budżetu dla pozostałych jednostek sektora finansów publicznych</t>
  </si>
  <si>
    <r>
      <t>Wydatki inwestycyjne jednostek budżetowych  -</t>
    </r>
    <r>
      <rPr>
        <i/>
        <sz val="9"/>
        <rFont val="Times New Roman CE"/>
        <family val="1"/>
      </rPr>
      <t xml:space="preserve"> likwidacja barier architektonicznych</t>
    </r>
  </si>
  <si>
    <r>
      <t xml:space="preserve">Wydatki inwestycyjne jednostek budżetowych  - </t>
    </r>
    <r>
      <rPr>
        <b/>
        <sz val="9"/>
        <rFont val="Times New Roman CE"/>
        <family val="1"/>
      </rPr>
      <t>budowa Hospicjum</t>
    </r>
  </si>
  <si>
    <t>POMOC SPOŁECZNA</t>
  </si>
  <si>
    <t>Placówki opiekuńczo-wychowawcze -Rodzinne Domy Dziecka</t>
  </si>
  <si>
    <t>Dotacja celowa z budżetu lub dofinansowanie zadań zleconych do realizacji stowarzyszeniom</t>
  </si>
  <si>
    <t>Swietlice</t>
  </si>
  <si>
    <t>Rodzinny Dom Dziecka Nr 2</t>
  </si>
  <si>
    <t xml:space="preserve">Zakup usług zdrowotnych </t>
  </si>
  <si>
    <t>Rodzinny Dom Dziecka Nr 3</t>
  </si>
  <si>
    <t>Domy pomocy społecznej</t>
  </si>
  <si>
    <t>Zakup usług przez j.s.t. od innych j.s.t.</t>
  </si>
  <si>
    <t>Ośrodki wsparcia</t>
  </si>
  <si>
    <t>Wydatki na zakupy  inwestycyjne jednostek budżetowych</t>
  </si>
  <si>
    <t>"Złoty Wiek"</t>
  </si>
  <si>
    <t xml:space="preserve">Schronisko dla bezdomnych </t>
  </si>
  <si>
    <t>Zakup usług zdrowotnych dla osób nieobjętych obowiązkiem ubezpieczenia zdrowotnego</t>
  </si>
  <si>
    <t>"Odrodzenie" - ŚDS 1</t>
  </si>
  <si>
    <t>Środowiskowy Dom Samopomocy 2</t>
  </si>
  <si>
    <t>Rodziny zastępcze</t>
  </si>
  <si>
    <t>Świadczenia rodzinne, zaliczka alimentacyjna oraz składki na ubezpieczenia emerytalne i rentowe z ubezpieczenia społecznego</t>
  </si>
  <si>
    <t>Dodotkowe wynagrodzenia roczne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</si>
  <si>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</si>
  <si>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</si>
  <si>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</si>
  <si>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Zwrot dotacji wykorzystanych niezgodnie z przeznaczeniem lub pobranych w nadmiernej wysokości</t>
  </si>
  <si>
    <t>Zasiłki rodzinne, pielęgnacyjne i wychowawcze</t>
  </si>
  <si>
    <t>Powiatowe centra pomocy rodzinie</t>
  </si>
  <si>
    <t>Ośrodki pomocy społecznej</t>
  </si>
  <si>
    <t xml:space="preserve">Koszty postępowania sądowego i prokuratorskiego </t>
  </si>
  <si>
    <t>Niewłaściwe obciążenia</t>
  </si>
  <si>
    <r>
      <t xml:space="preserve">Wydatki na zakupy inwestycyjne jednostek budżetowych </t>
    </r>
    <r>
      <rPr>
        <i/>
        <sz val="9"/>
        <rFont val="Times New Roman CE"/>
        <family val="1"/>
      </rPr>
      <t xml:space="preserve">- zestawów komputerowych </t>
    </r>
  </si>
  <si>
    <t>Jednostki specjalistyczne poradnictwa, mieszkania chronione i ośrodki  interwencji kryzysowej</t>
  </si>
  <si>
    <t>Ośrodki adopcyjno-opiekuńcze</t>
  </si>
  <si>
    <t xml:space="preserve">Podróże służbowe krajowe </t>
  </si>
  <si>
    <t>Usługi opiekuńcze i specjalistyczne usługi opiekuńcze</t>
  </si>
  <si>
    <t>Usuwanie skutków klęsk żywiołowych</t>
  </si>
  <si>
    <r>
      <t>Świadczenia społeczne</t>
    </r>
    <r>
      <rPr>
        <b/>
        <sz val="9"/>
        <rFont val="Times New Roman CE"/>
        <family val="1"/>
      </rPr>
      <t xml:space="preserve"> -</t>
    </r>
    <r>
      <rPr>
        <b/>
        <i/>
        <sz val="9"/>
        <rFont val="Times New Roman CE"/>
        <family val="1"/>
      </rPr>
      <t>(w tym:</t>
    </r>
    <r>
      <rPr>
        <b/>
        <sz val="9"/>
        <rFont val="Times New Roman CE"/>
        <family val="1"/>
      </rPr>
      <t xml:space="preserve"> Prace społecznie użyteczne - 200,0 tys. zł)</t>
    </r>
  </si>
  <si>
    <r>
      <t>Wynagrodzenia bezosobowe</t>
    </r>
    <r>
      <rPr>
        <b/>
        <sz val="9"/>
        <rFont val="Times New Roman CE"/>
        <family val="1"/>
      </rPr>
      <t xml:space="preserve"> "Parasol"</t>
    </r>
  </si>
  <si>
    <r>
      <t xml:space="preserve">Zakup materiałów i wyposażenia </t>
    </r>
    <r>
      <rPr>
        <b/>
        <sz val="9"/>
        <rFont val="Times New Roman CE"/>
        <family val="1"/>
      </rPr>
      <t>"Parasol"</t>
    </r>
  </si>
  <si>
    <t>Wydatki na zakupy inwestycyjne jednostek budżetowych - KS (zakup 2 samochodów dla MOPS ze środków PFRON - 50% dofin.)</t>
  </si>
  <si>
    <t>Zakup usług pozostałych KS</t>
  </si>
  <si>
    <t>Projekt "Dobra perspektywa"</t>
  </si>
  <si>
    <t>Ośrodek Adopcyjno - Opiekuńczy</t>
  </si>
  <si>
    <t xml:space="preserve">POZOSTAŁE ZADANIA W ZAKRESIE POLITYKI SPOŁECZNEJ </t>
  </si>
  <si>
    <t>Żłobki</t>
  </si>
  <si>
    <t>Rehabilitacja zawodowa i społeczna osób niepełnosprawnych</t>
  </si>
  <si>
    <t>Dotacja podmiotowa z budżetu dla jednostek niezaliczanych do sektora finansów publicznych</t>
  </si>
  <si>
    <t>Zakup usług pozostałych - WTZ</t>
  </si>
  <si>
    <t>Zespoły ds orzekania o niepełnosprawności</t>
  </si>
  <si>
    <t>Pomoc dla repatriantów</t>
  </si>
  <si>
    <r>
      <t xml:space="preserve">Świadczenia społeczne - </t>
    </r>
    <r>
      <rPr>
        <i/>
        <sz val="9"/>
        <rFont val="Times New Roman CE"/>
        <family val="1"/>
      </rPr>
      <t>Prace społecznie użyteczne</t>
    </r>
  </si>
  <si>
    <r>
      <t xml:space="preserve">Zakup usług pozostałych - </t>
    </r>
    <r>
      <rPr>
        <i/>
        <sz val="9"/>
        <rFont val="Times New Roman CE"/>
        <family val="1"/>
      </rPr>
      <t>Prace społecznie użyteczne</t>
    </r>
  </si>
  <si>
    <t>EDUKACYJNA OPIEKA WYCHOWAWCZA</t>
  </si>
  <si>
    <t>Świetlice szkolne</t>
  </si>
  <si>
    <t>Specjalne ośrodki szkolno-wychowawcze</t>
  </si>
  <si>
    <t>Zakup pomocy naukowych, dydakt. książek</t>
  </si>
  <si>
    <t>Poradnie psychologiczno - pedagogiczne, w tym poradnie specjalistyczne</t>
  </si>
  <si>
    <t>Zakup pomocy naukowych, dydakt.i książek</t>
  </si>
  <si>
    <t>"Zero tolerancji dla przemocy w szkole"</t>
  </si>
  <si>
    <t>"Program opieki i terapii skierowany na uczniów z niepłynnością mowy"</t>
  </si>
  <si>
    <t>Placówki wychowania pozaszkolnego</t>
  </si>
  <si>
    <t>Internaty i bursy szkolne</t>
  </si>
  <si>
    <t>Pomoc materialna dla uczniów</t>
  </si>
  <si>
    <t xml:space="preserve">Stypendia oraz inne formy pomocy dla uczniów </t>
  </si>
  <si>
    <t>Odsetki od dotacji wykorzystane niezgodnie z przeznaczeniem lub pobranych w nadmiernej wysokości</t>
  </si>
  <si>
    <t xml:space="preserve">Stypendia dla uczniów </t>
  </si>
  <si>
    <t>Program "Równy start"</t>
  </si>
  <si>
    <t>Europejski fundusz stypendialny dla uczniów szkół ponadgimnazjalnych w Koszalinie 2006/2007</t>
  </si>
  <si>
    <t>Szkolne Schroniska Młodzieżowe</t>
  </si>
  <si>
    <t>Ośrodki rewalidacyjno - wychowawcze</t>
  </si>
  <si>
    <t>Dotacja podmiotowa dla niepublicznej jednostki systemu oświaty</t>
  </si>
  <si>
    <t>Stołówki szkolne</t>
  </si>
  <si>
    <t>Pozostałe wydatki</t>
  </si>
  <si>
    <r>
      <t xml:space="preserve">Dotacja celowa z budżetu na finansowanie  lub dofinansowanie zadań zleconych do realizacji stowarzyszeniom - </t>
    </r>
    <r>
      <rPr>
        <i/>
        <sz val="9"/>
        <rFont val="Times New Roman CE"/>
        <family val="1"/>
      </rPr>
      <t xml:space="preserve">czynsz </t>
    </r>
  </si>
  <si>
    <r>
      <t>Wynagrodzenia osobowe pracowników -</t>
    </r>
    <r>
      <rPr>
        <i/>
        <sz val="9"/>
        <rFont val="Times New Roman CE"/>
        <family val="1"/>
      </rPr>
      <t xml:space="preserve"> odprawy emerytalne, awanse zawodowe</t>
    </r>
  </si>
  <si>
    <r>
      <t xml:space="preserve">Zakup materiałów i wyposażenia  </t>
    </r>
    <r>
      <rPr>
        <i/>
        <sz val="9"/>
        <rFont val="Times New Roman CE"/>
        <family val="1"/>
      </rPr>
      <t>RO</t>
    </r>
  </si>
  <si>
    <t xml:space="preserve">Zakup materiałów i wyposażenia  </t>
  </si>
  <si>
    <r>
      <t>Zakup usług pozostałych</t>
    </r>
    <r>
      <rPr>
        <i/>
        <sz val="9"/>
        <rFont val="Times New Roman CE"/>
        <family val="1"/>
      </rPr>
      <t xml:space="preserve"> RO</t>
    </r>
  </si>
  <si>
    <r>
      <t xml:space="preserve">Różne opłaty i składki </t>
    </r>
    <r>
      <rPr>
        <i/>
        <sz val="9"/>
        <rFont val="Times New Roman CE"/>
        <family val="1"/>
      </rPr>
      <t>RO</t>
    </r>
  </si>
  <si>
    <t>GOSPODARKA KOMUNALNA  I  OCHRONA ŚRODOWISKA</t>
  </si>
  <si>
    <t>Gospodarka ściekowa i ochrona wód</t>
  </si>
  <si>
    <t>1. Oczyszczalnia ścieków w Jamnie</t>
  </si>
  <si>
    <t>2. Uzbrojenie oś. "Unii Europejskiej"</t>
  </si>
  <si>
    <t>3. Kolektor XXVI</t>
  </si>
  <si>
    <t>4. Uzbrojenie osiedla " Podgórne-Batalionów Chłopskich"</t>
  </si>
  <si>
    <t>5. Kolektor sanitarny "A" - II etap</t>
  </si>
  <si>
    <t>6. Kanalizacja sanitarna w ul.Zwycięstwa (przy ul.Zdobywców Wału Pomorskiego)</t>
  </si>
  <si>
    <t>7. Uzbrojenie ul.Zdobywców Wału Pomorskiego - odcinek ul. Wopistów do ul. Sanatoryjnej</t>
  </si>
  <si>
    <t>8. Uzbrojenie ul.Zdobywców Wału Pomorskiego - odcinek ul. Sianowskiej do ul. Słonecznej</t>
  </si>
  <si>
    <t>Oczyszczanie miast i wsi</t>
  </si>
  <si>
    <t>Utrzymanie zieleni w miastach i gminach</t>
  </si>
  <si>
    <t>Schroniska dla zwierząt</t>
  </si>
  <si>
    <r>
      <t xml:space="preserve">Zakup usług pozostałych - </t>
    </r>
    <r>
      <rPr>
        <i/>
        <sz val="9"/>
        <rFont val="Times New Roman CE"/>
        <family val="1"/>
      </rPr>
      <t>bieżące utrzymanie</t>
    </r>
  </si>
  <si>
    <r>
      <t xml:space="preserve">Wydatki inwestycyjne jednostek budżetowych </t>
    </r>
    <r>
      <rPr>
        <i/>
        <sz val="9"/>
        <rFont val="Times New Roman CE"/>
        <family val="1"/>
      </rPr>
      <t>- budowa schroniska</t>
    </r>
  </si>
  <si>
    <t>Oświetlenie ulic, placów i dróg</t>
  </si>
  <si>
    <t>Zakup usług remontowych - RO</t>
  </si>
  <si>
    <t>Zakup usług remontowych (w tym: RO - 555.000 zł)</t>
  </si>
  <si>
    <t xml:space="preserve">Dotacje celowe z budżetu na finansowanie  lub dofinansowanie  inwestycji i zakupów inwestycyjnych jednostek nie zaliczanych do sektora finansów publicznych </t>
  </si>
  <si>
    <t>Wydatki na zakup i objęcie akcji oraz wniesienie wkładów do spółek prawa handlowego (PGK)</t>
  </si>
  <si>
    <t>"Concerto ATC2"</t>
  </si>
  <si>
    <t>Wynagrodzenie bezosobowe</t>
  </si>
  <si>
    <t>KULTURA I OCHRONA DZIEDZICTWA NARODOWEGO</t>
  </si>
  <si>
    <t>Zadania w zakresie kinematografii</t>
  </si>
  <si>
    <t xml:space="preserve">Dotacja podmiotowa z budżetu dla instytucji kultury  </t>
  </si>
  <si>
    <t>Pozostałe zadania w zakresie kultury</t>
  </si>
  <si>
    <t>Wydatki osobowe nie zaliczone do wynagrodzeń</t>
  </si>
  <si>
    <r>
      <t xml:space="preserve">Zakup usług pozostałych - </t>
    </r>
    <r>
      <rPr>
        <i/>
        <sz val="9"/>
        <rFont val="Times New Roman CE"/>
        <family val="1"/>
      </rPr>
      <t xml:space="preserve">organizacja różnych imprez </t>
    </r>
  </si>
  <si>
    <t xml:space="preserve">Zakup materiałów i wyposażenia - RWZ </t>
  </si>
  <si>
    <t>Wynagrodzenia bezosobowe - RWZ</t>
  </si>
  <si>
    <t>Dotacja celowa z budżetu na finansowanie lub dofinansowanie zadań zleconych do realizacji stowarzyszeniom OP</t>
  </si>
  <si>
    <t>"POMMERN DESIGN - Polsko-niemiecka wystawa prac z zakresu wzornictwa w Koszalinie"</t>
  </si>
  <si>
    <t xml:space="preserve">Teatry </t>
  </si>
  <si>
    <t>Dotacja podmiotowa z budżetu dla samorządowej instytucji kultury w tym:</t>
  </si>
  <si>
    <t>działalność bieżąca</t>
  </si>
  <si>
    <t>porozumienia</t>
  </si>
  <si>
    <t>na realizację projektów dofinans. ze środków zewnętrznych</t>
  </si>
  <si>
    <t>adaptacja pomieszczeń w budynku przy ul. Morskiej</t>
  </si>
  <si>
    <t>Gala Baletowa</t>
  </si>
  <si>
    <t>organizacja międzynarodowych warsztatów teatralnych</t>
  </si>
  <si>
    <t>zakup wyposażenia sceny plenerowej</t>
  </si>
  <si>
    <t>Filharmonie, orkiestry, chóry i kapele</t>
  </si>
  <si>
    <t xml:space="preserve">Dotacja podmiotowa z budżetu dla samorządowej instytucji kultury w tym:  </t>
  </si>
  <si>
    <t>Międzynarodowy Festiwal Organowy</t>
  </si>
  <si>
    <t>"Lato Muzyczne z Filharmonią"</t>
  </si>
  <si>
    <r>
      <t>Wydatki inwestycyjne jednostek budżetowych -</t>
    </r>
    <r>
      <rPr>
        <i/>
        <sz val="9"/>
        <rFont val="Times New Roman CE"/>
        <family val="1"/>
      </rPr>
      <t xml:space="preserve"> sala koncertowa</t>
    </r>
  </si>
  <si>
    <t>Domy i ośrodki kultury, świetlice i kluby</t>
  </si>
  <si>
    <t>Centrum Kultury - gmina</t>
  </si>
  <si>
    <t>na imprezy</t>
  </si>
  <si>
    <t>nagrody za organizację Festiwalu "Młodzi i Film"</t>
  </si>
  <si>
    <t>Galeria "Scena"</t>
  </si>
  <si>
    <t>festiwal filmów Wł. Wysockiego</t>
  </si>
  <si>
    <t>Festiwal Pieśni Religijnej</t>
  </si>
  <si>
    <t>remont dachu</t>
  </si>
  <si>
    <t>remont projektorów w sali kinowej KBP</t>
  </si>
  <si>
    <r>
      <t xml:space="preserve">Wydatki inwestycyjne jednostek budżetowych </t>
    </r>
    <r>
      <rPr>
        <i/>
        <sz val="9"/>
        <rFont val="Times New Roman CE"/>
        <family val="1"/>
      </rPr>
      <t>- akustyka</t>
    </r>
  </si>
  <si>
    <t xml:space="preserve">Modernizacja budynku MOK </t>
  </si>
  <si>
    <r>
      <t>Wydatki inwestycyjne jednostek budżetowych -</t>
    </r>
    <r>
      <rPr>
        <i/>
        <sz val="8"/>
        <rFont val="Times New Roman CE"/>
        <family val="1"/>
      </rPr>
      <t>MDK</t>
    </r>
  </si>
  <si>
    <t>Biblioteki</t>
  </si>
  <si>
    <t>740 - lecie Koszalina</t>
  </si>
  <si>
    <t>Almanach</t>
  </si>
  <si>
    <t>wydawnictwa - "Miesiąc w Koszalinie"</t>
  </si>
  <si>
    <t>"książka mówiona"</t>
  </si>
  <si>
    <t>"Roczniki Koszalińskie"</t>
  </si>
  <si>
    <t>Wystawa fotografii -             "Scena 5"</t>
  </si>
  <si>
    <t>festiwal "Integracja Ja i Ty"</t>
  </si>
  <si>
    <r>
      <t xml:space="preserve">Dotacje celowe z budżetu na finansowanie  lub dofinansowanie kosztów realizacji inwestycji i zakupów inwestycyjnych  innych jednostek sektora finansów publicznych </t>
    </r>
    <r>
      <rPr>
        <i/>
        <sz val="9"/>
        <rFont val="Times New Roman CE"/>
        <family val="1"/>
      </rPr>
      <t xml:space="preserve">- remont filii </t>
    </r>
  </si>
  <si>
    <t>Muzea</t>
  </si>
  <si>
    <t>odprawa emerytalna i nagrody jubileuszowe</t>
  </si>
  <si>
    <t>wystawa pt. "Mur Chiński"</t>
  </si>
  <si>
    <t>dofinansowanie imprezy "Noc muzeów"</t>
  </si>
  <si>
    <t>wkład własny do realizacji projektu "Kocham Koszalin"</t>
  </si>
  <si>
    <t>wydanie "Koszalińskich Zeszytów Muzealnych" i informator</t>
  </si>
  <si>
    <t>Dotacje celowe z budżetu na finansowanie  lub dofinansowanie kosztów realizacji inwestycji i zakupów inwestycyjnych  innych jednostek sektora finansów publicznych</t>
  </si>
  <si>
    <t>Dział archeologii</t>
  </si>
  <si>
    <t>remont stropu i konserwacja polichromii w budynku głównym</t>
  </si>
  <si>
    <t>przygotowanie stałej wystawy pt. "Sztuka dawna od baroku do secesji"</t>
  </si>
  <si>
    <r>
      <t>remont i rozbudowa Muzeum - elewacja -</t>
    </r>
    <r>
      <rPr>
        <b/>
        <i/>
        <sz val="9"/>
        <rFont val="Times New Roman CE"/>
        <family val="1"/>
      </rPr>
      <t xml:space="preserve"> IK</t>
    </r>
  </si>
  <si>
    <r>
      <t xml:space="preserve">Wydatki inwestycyjne jednostek budżetowych </t>
    </r>
    <r>
      <rPr>
        <i/>
        <sz val="9"/>
        <rFont val="Times New Roman CE"/>
        <family val="1"/>
      </rPr>
      <t>(elewacja - IK)</t>
    </r>
  </si>
  <si>
    <t>Ochrona zabytków i opieka nad zabytkami</t>
  </si>
  <si>
    <r>
      <t>Zakup usług remontowych -</t>
    </r>
    <r>
      <rPr>
        <i/>
        <sz val="9"/>
        <rFont val="Times New Roman CE"/>
        <family val="1"/>
      </rPr>
      <t>remont murów miejskich</t>
    </r>
  </si>
  <si>
    <t>Zakup usług remontowo - konserwatorskich dotyczących obiektów zabytkowych będących w użytkowaniu jednostek budżetowych</t>
  </si>
  <si>
    <t>Dotacja podmiotowa z budżetu państwa dla instytucji kultury - Filharmonia Koszalińska (organizacja koncertów dla młodzieży)</t>
  </si>
  <si>
    <t>Nagrody o charakterze szczególnym niezaliczane do wynagrodzeń - KS</t>
  </si>
  <si>
    <r>
      <t xml:space="preserve">Zakup materiałów i wyposażenia - </t>
    </r>
    <r>
      <rPr>
        <i/>
        <sz val="9"/>
        <rFont val="Times New Roman CE"/>
        <family val="1"/>
      </rPr>
      <t xml:space="preserve"> RO</t>
    </r>
  </si>
  <si>
    <r>
      <t>Zakup usług pozostałych -</t>
    </r>
    <r>
      <rPr>
        <i/>
        <sz val="9"/>
        <rFont val="Times New Roman CE"/>
        <family val="1"/>
      </rPr>
      <t xml:space="preserve"> KS</t>
    </r>
  </si>
  <si>
    <r>
      <t>Zakup usług pozostałych -</t>
    </r>
    <r>
      <rPr>
        <i/>
        <sz val="9"/>
        <rFont val="Times New Roman CE"/>
        <family val="1"/>
      </rPr>
      <t xml:space="preserve"> RO</t>
    </r>
  </si>
  <si>
    <r>
      <t xml:space="preserve">Różne opłaty i składki </t>
    </r>
    <r>
      <rPr>
        <i/>
        <sz val="9"/>
        <rFont val="Times New Roman CE"/>
        <family val="1"/>
      </rPr>
      <t>- RO</t>
    </r>
  </si>
  <si>
    <r>
      <t xml:space="preserve">Zakup materiałów papierniczych do sprzętu drukarskiego i urządzeń kserograficznych - </t>
    </r>
    <r>
      <rPr>
        <i/>
        <sz val="9"/>
        <rFont val="Times New Roman CE"/>
        <family val="1"/>
      </rPr>
      <t>RO</t>
    </r>
  </si>
  <si>
    <t>"XII Polsko - Niemiecki Festiwal Młodzieży Koszalin 2007"</t>
  </si>
  <si>
    <t>KULTURA FIZYCZNA I SPORT</t>
  </si>
  <si>
    <t>Obiekty sportowe</t>
  </si>
  <si>
    <t>Wydatki na zakup i objęcie akcji, wniesienie wkładów do spółek prawa handlowego (ZOS)</t>
  </si>
  <si>
    <t xml:space="preserve">Bałtyk </t>
  </si>
  <si>
    <t>budowa zjazdu narciarskiego na Górze Chełmskiej</t>
  </si>
  <si>
    <t>Centralny Ośrodek Szkolenia Taekwondo w Koszalinie</t>
  </si>
  <si>
    <t>budowa hali widowiskowo - sportowej</t>
  </si>
  <si>
    <t>"Budowa Centrum rekreacyjno - sportowego w Koszalinie"</t>
  </si>
  <si>
    <t>Zadania w zakresie kultury fizycznej i sportu</t>
  </si>
  <si>
    <t xml:space="preserve">Pozostała działalność </t>
  </si>
  <si>
    <t>Stypendia oraz inne formy pomocy dla uczniów KST</t>
  </si>
  <si>
    <r>
      <t>Zakup materiałów i wyposażenia -</t>
    </r>
    <r>
      <rPr>
        <i/>
        <sz val="9"/>
        <rFont val="Times New Roman CE"/>
        <family val="1"/>
      </rPr>
      <t xml:space="preserve"> RO</t>
    </r>
  </si>
  <si>
    <t>Zakup usług pozostałych - RO</t>
  </si>
  <si>
    <t>Zakup materiałów papierniczych do sprzętu drukarskiego i urządzeń kserograficznych - RO</t>
  </si>
  <si>
    <r>
      <t>Różne opłaty i składki -</t>
    </r>
    <r>
      <rPr>
        <i/>
        <sz val="9"/>
        <rFont val="Times New Roman CE"/>
        <family val="1"/>
      </rPr>
      <t xml:space="preserve"> RO</t>
    </r>
  </si>
  <si>
    <t>OGÓŁEM</t>
  </si>
  <si>
    <t>własne</t>
  </si>
  <si>
    <t xml:space="preserve">w tym: </t>
  </si>
  <si>
    <t>na podstawie porozumień         z organami administracji rządowej</t>
  </si>
  <si>
    <t>na podstawie porozumień          z jednostkami samorządu terytorialnego</t>
  </si>
  <si>
    <t>zlecone</t>
  </si>
  <si>
    <t>WYKONANIE   PLANU   DOCHODÓW   MIASTA   KOSZALINA   ZA MARZEC 2008   ROK</t>
  </si>
  <si>
    <t xml:space="preserve">Dział rozdział § </t>
  </si>
  <si>
    <t xml:space="preserve">GMINA </t>
  </si>
  <si>
    <t>POWIAT</t>
  </si>
  <si>
    <t>WŁASNE</t>
  </si>
  <si>
    <t>ZLECONE</t>
  </si>
  <si>
    <t>Plan         
pierwotny</t>
  </si>
  <si>
    <t>% wyk. planu</t>
  </si>
  <si>
    <t>ROLNICTWO I ŁOWIECTWO</t>
  </si>
  <si>
    <t>2010</t>
  </si>
  <si>
    <t>Dotacje celowe otrzymane z budżetu państwa na realizację zadań bieżących z zakresu administracji rządowej zleconych gminom</t>
  </si>
  <si>
    <t>600</t>
  </si>
  <si>
    <t>TRANSPORT  I  ŁĄCZNOŚĆ</t>
  </si>
  <si>
    <t>60004</t>
  </si>
  <si>
    <t>2310</t>
  </si>
  <si>
    <t>Dotacje celowe otrzymane z gminy na zadania bieżące realizowane na podstawie porozumień (umów) między jednostkami samorządu terytorialnego</t>
  </si>
  <si>
    <t>60015</t>
  </si>
  <si>
    <t>0580</t>
  </si>
  <si>
    <t>Grzywny, mandaty i inne kary pieniężne od osób prawnych i innych jednostek organizacyjnych</t>
  </si>
  <si>
    <t>0870</t>
  </si>
  <si>
    <t xml:space="preserve">Wpływy z różnych dochodów </t>
  </si>
  <si>
    <t>6298</t>
  </si>
  <si>
    <t>Środki na dofinansowanie własnych inwestycji gmin, powiatów pozyskane z innych źródeł</t>
  </si>
  <si>
    <t>6423</t>
  </si>
  <si>
    <r>
      <t xml:space="preserve">Dotacje celowe z budżetu państwa na inwestycje i zakupy inwestycyjne realizowane przez powiat na podstawie porozumień z organami administracji rządowej - </t>
    </r>
    <r>
      <rPr>
        <b/>
        <i/>
        <sz val="8"/>
        <rFont val="Times New Roman CE"/>
        <family val="0"/>
      </rPr>
      <t>Skrzyżowanie ulic: Jana Pawła II-Staszica</t>
    </r>
  </si>
  <si>
    <t>60016</t>
  </si>
  <si>
    <t>Drogi publiczne gminne</t>
  </si>
  <si>
    <t>Grzywny i inne kary pieniężne od osób prawnych i innych jednostek organizacyjnych</t>
  </si>
  <si>
    <t>0970</t>
  </si>
  <si>
    <r>
      <t>Środki na dofinansowanie własnych inwestycji gmin, powiatów pozyskane z innych źródeł -</t>
    </r>
    <r>
      <rPr>
        <i/>
        <sz val="8"/>
        <rFont val="Times New Roman CE"/>
        <family val="0"/>
      </rPr>
      <t xml:space="preserve"> </t>
    </r>
    <r>
      <rPr>
        <b/>
        <i/>
        <sz val="8"/>
        <rFont val="Times New Roman CE"/>
        <family val="0"/>
      </rPr>
      <t xml:space="preserve">ul. Olchowa </t>
    </r>
  </si>
  <si>
    <t>60053</t>
  </si>
  <si>
    <t>Infrastruktura telekominikacyjna</t>
  </si>
  <si>
    <t>60095</t>
  </si>
  <si>
    <t>630</t>
  </si>
  <si>
    <t>63095</t>
  </si>
  <si>
    <t>2708</t>
  </si>
  <si>
    <r>
      <t xml:space="preserve">Środki na dofinansowanie własnych zadań bieżących gmin, powiatów pozyskane z innych źródeł </t>
    </r>
    <r>
      <rPr>
        <b/>
        <i/>
        <sz val="8"/>
        <rFont val="Times New Roman CE"/>
        <family val="0"/>
      </rPr>
      <t>(Szlak gotyku ceglanego)</t>
    </r>
  </si>
  <si>
    <t>2709</t>
  </si>
  <si>
    <r>
      <t xml:space="preserve">Środki na dofinansowanie własnych zadań bieżących gmin, powiatów pozyskane z innych źródeł </t>
    </r>
    <r>
      <rPr>
        <b/>
        <i/>
        <sz val="8"/>
        <rFont val="Times New Roman CE"/>
        <family val="0"/>
      </rPr>
      <t>(Transgraniczna wymiana doświadczeń...)</t>
    </r>
  </si>
  <si>
    <t>700</t>
  </si>
  <si>
    <t>70005</t>
  </si>
  <si>
    <t>0470</t>
  </si>
  <si>
    <t xml:space="preserve">Wpływy z opłat za zarząd, użytkowanie i użytkowanie wieczyste nieruchomości  </t>
  </si>
  <si>
    <t>0690</t>
  </si>
  <si>
    <r>
      <t>Wpływy z różnych opłat</t>
    </r>
    <r>
      <rPr>
        <i/>
        <sz val="9"/>
        <rFont val="Times New Roman CE"/>
        <family val="1"/>
      </rPr>
      <t xml:space="preserve"> </t>
    </r>
    <r>
      <rPr>
        <sz val="7"/>
        <rFont val="Times New Roman CE"/>
        <family val="1"/>
      </rPr>
      <t>(adiacenckie,planistyczne, za zajęcie nieruchomości, za nieterminową zabudowę, za służebność, za bezumowne korzystanie)</t>
    </r>
  </si>
  <si>
    <t>0750</t>
  </si>
  <si>
    <t>Dochody z najmu i dzierżawy składników majątkowych Skarbu Państwa, jst lub innych jednostek zaliczanych do sektora finansów publicznych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</si>
  <si>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</si>
  <si>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</si>
  <si>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</si>
  <si>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 oraz prawa użytkowania wieczystego nieruchomości</t>
  </si>
  <si>
    <t>Wpływy z różnych dochodów (zwrot kosztów przygotowania nieruchomości do zbycia)</t>
  </si>
  <si>
    <t>2110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</si>
</sst>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4">
    <font>
      <sz val="10"/>
      <name val="Arial CE"/>
      <family val="0"/>
    </font>
    <font>
      <sz val="9"/>
      <name val="Times New Roman CE"/>
      <family val="0"/>
    </font>
    <font>
      <sz val="10"/>
      <name val="Times New Roman CE"/>
      <family val="0"/>
    </font>
    <font>
      <i/>
      <sz val="7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0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 CE"/>
      <family val="1"/>
    </font>
    <font>
      <b/>
      <i/>
      <sz val="7"/>
      <name val="Times New Roman CE"/>
      <family val="1"/>
    </font>
    <font>
      <i/>
      <sz val="9"/>
      <name val="Times New Roman CE"/>
      <family val="1"/>
    </font>
    <font>
      <sz val="7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7"/>
      <name val="Times New Roman CE"/>
      <family val="1"/>
    </font>
    <font>
      <sz val="9"/>
      <name val="Times New Roman"/>
      <family val="1"/>
    </font>
    <font>
      <sz val="12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b/>
      <sz val="6"/>
      <name val="Times New Roman CE"/>
      <family val="1"/>
    </font>
    <font>
      <sz val="6"/>
      <name val="Times New Roman CE"/>
      <family val="1"/>
    </font>
    <font>
      <sz val="9"/>
      <name val="Arial CE"/>
      <family val="0"/>
    </font>
    <font>
      <sz val="9"/>
      <name val="MS Sans Serif"/>
      <family val="0"/>
    </font>
    <font>
      <sz val="8"/>
      <name val="MS Sans Serif"/>
      <family val="0"/>
    </font>
    <font>
      <sz val="7"/>
      <name val="MS Sans Serif"/>
      <family val="0"/>
    </font>
    <font>
      <b/>
      <sz val="9"/>
      <name val="MS Sans Serif"/>
      <family val="0"/>
    </font>
    <font>
      <b/>
      <sz val="7"/>
      <name val="MS Sans Serif"/>
      <family val="0"/>
    </font>
    <font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7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9">
    <xf numFmtId="0" fontId="0" fillId="0" borderId="0" xfId="0" applyAlignment="1">
      <alignment/>
    </xf>
    <xf numFmtId="1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1" fontId="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0" applyNumberFormat="1" applyFont="1" applyFill="1" applyBorder="1" applyAlignment="1" applyProtection="1">
      <alignment horizontal="centerContinuous" vertical="center"/>
      <protection locked="0"/>
    </xf>
    <xf numFmtId="3" fontId="0" fillId="0" borderId="0" xfId="0" applyNumberFormat="1" applyFont="1" applyAlignment="1">
      <alignment horizontal="centerContinuous"/>
    </xf>
    <xf numFmtId="164" fontId="10" fillId="0" borderId="0" xfId="0" applyNumberFormat="1" applyFont="1" applyBorder="1" applyAlignment="1">
      <alignment vertical="center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wrapText="1"/>
      <protection locked="0"/>
    </xf>
    <xf numFmtId="3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Alignment="1">
      <alignment horizontal="centerContinuous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Continuous" vertical="center"/>
      <protection locked="0"/>
    </xf>
    <xf numFmtId="3" fontId="2" fillId="0" borderId="3" xfId="0" applyNumberFormat="1" applyFont="1" applyFill="1" applyBorder="1" applyAlignment="1" applyProtection="1">
      <alignment horizontal="centerContinuous" vertical="center"/>
      <protection locked="0"/>
    </xf>
    <xf numFmtId="3" fontId="6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4" xfId="0" applyNumberFormat="1" applyFont="1" applyFill="1" applyBorder="1" applyAlignment="1" applyProtection="1">
      <alignment horizontal="centerContinuous" vertical="center"/>
      <protection locked="0"/>
    </xf>
    <xf numFmtId="3" fontId="12" fillId="0" borderId="5" xfId="0" applyNumberFormat="1" applyFont="1" applyFill="1" applyBorder="1" applyAlignment="1" applyProtection="1">
      <alignment horizontal="centerContinuous" vertical="center"/>
      <protection locked="0"/>
    </xf>
    <xf numFmtId="3" fontId="1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" xfId="0" applyNumberFormat="1" applyFont="1" applyFill="1" applyBorder="1" applyAlignment="1" applyProtection="1">
      <alignment horizontal="centerContinuous" vertical="center"/>
      <protection locked="0"/>
    </xf>
    <xf numFmtId="3" fontId="6" fillId="0" borderId="3" xfId="0" applyNumberFormat="1" applyFont="1" applyBorder="1" applyAlignment="1">
      <alignment horizontal="centerContinuous" vertical="center"/>
    </xf>
    <xf numFmtId="3" fontId="6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7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" xfId="0" applyNumberFormat="1" applyFont="1" applyFill="1" applyBorder="1" applyAlignment="1" applyProtection="1">
      <alignment horizontal="centerContinuous" vertical="center"/>
      <protection locked="0"/>
    </xf>
    <xf numFmtId="3" fontId="6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0" applyNumberFormat="1" applyFont="1" applyBorder="1" applyAlignment="1">
      <alignment vertical="center"/>
    </xf>
    <xf numFmtId="1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18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>
      <alignment horizontal="center" vertical="center"/>
    </xf>
    <xf numFmtId="1" fontId="4" fillId="0" borderId="19" xfId="0" applyNumberFormat="1" applyFont="1" applyFill="1" applyBorder="1" applyAlignment="1" applyProtection="1">
      <alignment horizontal="centerContinuous" vertical="center"/>
      <protection locked="0"/>
    </xf>
    <xf numFmtId="1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/>
    </xf>
    <xf numFmtId="49" fontId="12" fillId="0" borderId="19" xfId="0" applyNumberFormat="1" applyFont="1" applyFill="1" applyBorder="1" applyAlignment="1" applyProtection="1">
      <alignment horizontal="centerContinuous" vertical="center"/>
      <protection locked="0"/>
    </xf>
    <xf numFmtId="1" fontId="12" fillId="0" borderId="2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164" fontId="3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164" fontId="5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164" fontId="11" fillId="0" borderId="24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24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>
      <alignment/>
    </xf>
    <xf numFmtId="49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" fontId="12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164" fontId="3" fillId="0" borderId="6" xfId="0" applyNumberFormat="1" applyFont="1" applyFill="1" applyBorder="1" applyAlignment="1" applyProtection="1">
      <alignment horizontal="right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Fill="1" applyBorder="1" applyAlignment="1" applyProtection="1">
      <alignment horizontal="right"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164" fontId="11" fillId="0" borderId="7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Continuous" vertical="center"/>
      <protection locked="0"/>
    </xf>
    <xf numFmtId="1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164" fontId="3" fillId="0" borderId="29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164" fontId="5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164" fontId="5" fillId="0" borderId="17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Border="1" applyAlignment="1">
      <alignment/>
    </xf>
    <xf numFmtId="49" fontId="12" fillId="0" borderId="31" xfId="0" applyNumberFormat="1" applyFont="1" applyFill="1" applyBorder="1" applyAlignment="1" applyProtection="1">
      <alignment horizontal="centerContinuous" vertical="center"/>
      <protection locked="0"/>
    </xf>
    <xf numFmtId="1" fontId="12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33" xfId="0" applyNumberFormat="1" applyFont="1" applyFill="1" applyBorder="1" applyAlignment="1" applyProtection="1">
      <alignment horizontal="right"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164" fontId="3" fillId="0" borderId="34" xfId="0" applyNumberFormat="1" applyFont="1" applyFill="1" applyBorder="1" applyAlignment="1" applyProtection="1">
      <alignment horizontal="right" vertical="center"/>
      <protection locked="0"/>
    </xf>
    <xf numFmtId="3" fontId="6" fillId="0" borderId="33" xfId="0" applyNumberFormat="1" applyFont="1" applyFill="1" applyBorder="1" applyAlignment="1" applyProtection="1">
      <alignment horizontal="center" vertical="center"/>
      <protection locked="0"/>
    </xf>
    <xf numFmtId="3" fontId="6" fillId="0" borderId="35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Fill="1" applyBorder="1" applyAlignment="1" applyProtection="1">
      <alignment horizontal="center"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164" fontId="11" fillId="0" borderId="36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horizontal="right" vertical="center"/>
      <protection locked="0"/>
    </xf>
    <xf numFmtId="164" fontId="5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12" fillId="0" borderId="31" xfId="0" applyNumberFormat="1" applyFont="1" applyFill="1" applyBorder="1" applyAlignment="1" applyProtection="1">
      <alignment horizontal="centerContinuous" vertical="center"/>
      <protection locked="0"/>
    </xf>
    <xf numFmtId="1" fontId="12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164" fontId="13" fillId="0" borderId="34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Fill="1" applyBorder="1" applyAlignment="1" applyProtection="1">
      <alignment horizontal="right"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horizontal="center" vertical="center"/>
      <protection locked="0"/>
    </xf>
    <xf numFmtId="164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164" fontId="11" fillId="0" borderId="34" xfId="0" applyNumberFormat="1" applyFont="1" applyFill="1" applyBorder="1" applyAlignment="1" applyProtection="1">
      <alignment horizontal="right" vertical="center"/>
      <protection locked="0"/>
    </xf>
    <xf numFmtId="1" fontId="12" fillId="0" borderId="0" xfId="0" applyNumberFormat="1" applyFont="1" applyBorder="1" applyAlignment="1">
      <alignment/>
    </xf>
    <xf numFmtId="49" fontId="1" fillId="0" borderId="11" xfId="0" applyNumberFormat="1" applyFont="1" applyFill="1" applyBorder="1" applyAlignment="1" applyProtection="1">
      <alignment horizontal="centerContinuous" vertical="center"/>
      <protection locked="0"/>
    </xf>
    <xf numFmtId="1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64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164" fontId="5" fillId="0" borderId="16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164" fontId="5" fillId="0" borderId="29" xfId="0" applyNumberFormat="1" applyFont="1" applyFill="1" applyBorder="1" applyAlignment="1" applyProtection="1">
      <alignment horizontal="right" vertical="center"/>
      <protection locked="0"/>
    </xf>
    <xf numFmtId="164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horizontal="center" vertical="center"/>
      <protection locked="0"/>
    </xf>
    <xf numFmtId="164" fontId="11" fillId="0" borderId="24" xfId="0" applyNumberFormat="1" applyFont="1" applyFill="1" applyBorder="1" applyAlignment="1" applyProtection="1">
      <alignment horizontal="center" vertical="center"/>
      <protection locked="0"/>
    </xf>
    <xf numFmtId="164" fontId="4" fillId="0" borderId="22" xfId="0" applyNumberFormat="1" applyFont="1" applyFill="1" applyBorder="1" applyAlignment="1" applyProtection="1">
      <alignment horizontal="right" vertical="center"/>
      <protection locked="0"/>
    </xf>
    <xf numFmtId="164" fontId="3" fillId="0" borderId="39" xfId="0" applyNumberFormat="1" applyFont="1" applyFill="1" applyBorder="1" applyAlignment="1" applyProtection="1">
      <alignment horizontal="right" vertical="center"/>
      <protection locked="0"/>
    </xf>
    <xf numFmtId="164" fontId="11" fillId="0" borderId="36" xfId="0" applyNumberFormat="1" applyFont="1" applyFill="1" applyBorder="1" applyAlignment="1" applyProtection="1">
      <alignment horizontal="center" vertical="center"/>
      <protection locked="0"/>
    </xf>
    <xf numFmtId="164" fontId="5" fillId="0" borderId="40" xfId="0" applyNumberFormat="1" applyFont="1" applyFill="1" applyBorder="1" applyAlignment="1" applyProtection="1">
      <alignment horizontal="right" vertical="center"/>
      <protection locked="0"/>
    </xf>
    <xf numFmtId="164" fontId="4" fillId="0" borderId="34" xfId="0" applyNumberFormat="1" applyFont="1" applyFill="1" applyBorder="1" applyAlignment="1" applyProtection="1">
      <alignment horizontal="right" vertical="center"/>
      <protection locked="0"/>
    </xf>
    <xf numFmtId="1" fontId="1" fillId="0" borderId="11" xfId="0" applyNumberFormat="1" applyFont="1" applyFill="1" applyBorder="1" applyAlignment="1" applyProtection="1">
      <alignment horizontal="centerContinuous" vertical="center"/>
      <protection locked="0"/>
    </xf>
    <xf numFmtId="1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37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164" fontId="4" fillId="0" borderId="13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Border="1" applyAlignment="1">
      <alignment/>
    </xf>
    <xf numFmtId="1" fontId="12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0" xfId="18" applyNumberFormat="1" applyFont="1" applyFill="1" applyBorder="1" applyAlignment="1" applyProtection="1">
      <alignment vertical="center" wrapText="1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164" fontId="4" fillId="0" borderId="24" xfId="0" applyNumberFormat="1" applyFont="1" applyFill="1" applyBorder="1" applyAlignment="1" applyProtection="1">
      <alignment vertical="center"/>
      <protection locked="0"/>
    </xf>
    <xf numFmtId="164" fontId="12" fillId="0" borderId="0" xfId="0" applyNumberFormat="1" applyFont="1" applyBorder="1" applyAlignment="1">
      <alignment/>
    </xf>
    <xf numFmtId="1" fontId="12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32" xfId="18" applyNumberFormat="1" applyFont="1" applyFill="1" applyBorder="1" applyAlignment="1" applyProtection="1">
      <alignment horizontal="left" vertical="center" wrapText="1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41" xfId="0" applyNumberFormat="1" applyFont="1" applyFill="1" applyBorder="1" applyAlignment="1" applyProtection="1">
      <alignment vertical="center"/>
      <protection locked="0"/>
    </xf>
    <xf numFmtId="164" fontId="4" fillId="0" borderId="36" xfId="0" applyNumberFormat="1" applyFont="1" applyFill="1" applyBorder="1" applyAlignment="1" applyProtection="1">
      <alignment vertical="center"/>
      <protection locked="0"/>
    </xf>
    <xf numFmtId="1" fontId="1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10" xfId="18" applyNumberFormat="1" applyFont="1" applyFill="1" applyBorder="1" applyAlignment="1" applyProtection="1">
      <alignment horizontal="left" vertical="center" wrapText="1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164" fontId="4" fillId="0" borderId="17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164" fontId="4" fillId="0" borderId="29" xfId="0" applyNumberFormat="1" applyFont="1" applyFill="1" applyBorder="1" applyAlignment="1" applyProtection="1">
      <alignment horizontal="right" vertical="center"/>
      <protection locked="0"/>
    </xf>
    <xf numFmtId="164" fontId="1" fillId="0" borderId="10" xfId="18" applyNumberFormat="1" applyFont="1" applyFill="1" applyBorder="1" applyAlignment="1" applyProtection="1">
      <alignment vertical="center" wrapText="1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164" fontId="4" fillId="0" borderId="29" xfId="0" applyNumberFormat="1" applyFont="1" applyFill="1" applyBorder="1" applyAlignment="1" applyProtection="1">
      <alignment vertical="center"/>
      <protection locked="0"/>
    </xf>
    <xf numFmtId="1" fontId="12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0" xfId="18" applyNumberFormat="1" applyFont="1" applyFill="1" applyBorder="1" applyAlignment="1" applyProtection="1">
      <alignment vertical="center" wrapText="1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164" fontId="13" fillId="0" borderId="22" xfId="0" applyNumberFormat="1" applyFont="1" applyFill="1" applyBorder="1" applyAlignment="1" applyProtection="1">
      <alignment horizontal="right" vertical="center"/>
      <protection locked="0"/>
    </xf>
    <xf numFmtId="164" fontId="3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164" fontId="11" fillId="0" borderId="24" xfId="0" applyNumberFormat="1" applyFont="1" applyFill="1" applyBorder="1" applyAlignment="1" applyProtection="1">
      <alignment horizontal="right" vertical="center"/>
      <protection locked="0"/>
    </xf>
    <xf numFmtId="164" fontId="7" fillId="0" borderId="22" xfId="0" applyNumberFormat="1" applyFont="1" applyFill="1" applyBorder="1" applyAlignment="1" applyProtection="1">
      <alignment vertical="center"/>
      <protection locked="0"/>
    </xf>
    <xf numFmtId="1" fontId="1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7" xfId="18" applyNumberFormat="1" applyFont="1" applyFill="1" applyBorder="1" applyAlignment="1" applyProtection="1">
      <alignment vertical="center" wrapText="1"/>
      <protection locked="0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vertical="center"/>
      <protection locked="0"/>
    </xf>
    <xf numFmtId="164" fontId="3" fillId="0" borderId="36" xfId="0" applyNumberFormat="1" applyFont="1" applyFill="1" applyBorder="1" applyAlignment="1" applyProtection="1">
      <alignment horizontal="right" vertical="center"/>
      <protection locked="0"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164" fontId="11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64" fontId="7" fillId="0" borderId="17" xfId="0" applyNumberFormat="1" applyFont="1" applyFill="1" applyBorder="1" applyAlignment="1" applyProtection="1">
      <alignment vertical="center"/>
      <protection locked="0"/>
    </xf>
    <xf numFmtId="164" fontId="7" fillId="0" borderId="29" xfId="0" applyNumberFormat="1" applyFont="1" applyFill="1" applyBorder="1" applyAlignment="1" applyProtection="1">
      <alignment vertical="center"/>
      <protection locked="0"/>
    </xf>
    <xf numFmtId="164" fontId="12" fillId="0" borderId="0" xfId="0" applyNumberFormat="1" applyFont="1" applyBorder="1" applyAlignment="1">
      <alignment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4" fillId="0" borderId="16" xfId="0" applyNumberFormat="1" applyFont="1" applyFill="1" applyBorder="1" applyAlignment="1" applyProtection="1">
      <alignment vertical="center"/>
      <protection locked="0"/>
    </xf>
    <xf numFmtId="164" fontId="4" fillId="0" borderId="13" xfId="0" applyNumberFormat="1" applyFont="1" applyFill="1" applyBorder="1" applyAlignment="1" applyProtection="1">
      <alignment vertical="center"/>
      <protection locked="0"/>
    </xf>
    <xf numFmtId="1" fontId="1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45" xfId="18" applyNumberFormat="1" applyFont="1" applyFill="1" applyBorder="1" applyAlignment="1" applyProtection="1">
      <alignment vertical="center" wrapText="1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164" fontId="3" fillId="0" borderId="40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164" fontId="4" fillId="0" borderId="40" xfId="0" applyNumberFormat="1" applyFont="1" applyFill="1" applyBorder="1" applyAlignment="1" applyProtection="1">
      <alignment vertical="center"/>
      <protection locked="0"/>
    </xf>
    <xf numFmtId="164" fontId="4" fillId="0" borderId="39" xfId="0" applyNumberFormat="1" applyFont="1" applyFill="1" applyBorder="1" applyAlignment="1" applyProtection="1">
      <alignment vertical="center"/>
      <protection locked="0"/>
    </xf>
    <xf numFmtId="1" fontId="12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32" xfId="18" applyNumberFormat="1" applyFont="1" applyFill="1" applyBorder="1" applyAlignment="1" applyProtection="1">
      <alignment horizontal="left" vertical="center" wrapText="1"/>
      <protection locked="0"/>
    </xf>
    <xf numFmtId="3" fontId="6" fillId="0" borderId="35" xfId="0" applyNumberFormat="1" applyFont="1" applyFill="1" applyBorder="1" applyAlignment="1" applyProtection="1">
      <alignment horizontal="right" vertical="center"/>
      <protection locked="0"/>
    </xf>
    <xf numFmtId="164" fontId="15" fillId="0" borderId="36" xfId="0" applyNumberFormat="1" applyFont="1" applyFill="1" applyBorder="1" applyAlignment="1" applyProtection="1">
      <alignment horizontal="right" vertical="center"/>
      <protection locked="0"/>
    </xf>
    <xf numFmtId="164" fontId="11" fillId="0" borderId="36" xfId="0" applyNumberFormat="1" applyFont="1" applyFill="1" applyBorder="1" applyAlignment="1" applyProtection="1">
      <alignment horizontal="right" vertical="center"/>
      <protection locked="0"/>
    </xf>
    <xf numFmtId="164" fontId="7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164" fontId="4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1" fontId="14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10" xfId="18" applyNumberFormat="1" applyFont="1" applyFill="1" applyBorder="1" applyAlignment="1" applyProtection="1">
      <alignment vertical="center" wrapText="1"/>
      <protection locked="0"/>
    </xf>
    <xf numFmtId="3" fontId="16" fillId="0" borderId="9" xfId="0" applyNumberFormat="1" applyFont="1" applyFill="1" applyBorder="1" applyAlignment="1" applyProtection="1">
      <alignment vertical="center"/>
      <protection locked="0"/>
    </xf>
    <xf numFmtId="3" fontId="16" fillId="0" borderId="18" xfId="0" applyNumberFormat="1" applyFont="1" applyFill="1" applyBorder="1" applyAlignment="1" applyProtection="1">
      <alignment vertical="center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6" fillId="0" borderId="47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Border="1" applyAlignment="1">
      <alignment/>
    </xf>
    <xf numFmtId="164" fontId="14" fillId="0" borderId="0" xfId="18" applyNumberFormat="1" applyFont="1" applyFill="1" applyBorder="1" applyAlignment="1" applyProtection="1">
      <alignment vertical="center" wrapText="1"/>
      <protection locked="0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35" xfId="0" applyNumberFormat="1" applyFont="1" applyFill="1" applyBorder="1" applyAlignment="1" applyProtection="1">
      <alignment horizontal="right" vertical="center"/>
      <protection locked="0"/>
    </xf>
    <xf numFmtId="164" fontId="4" fillId="0" borderId="36" xfId="0" applyNumberFormat="1" applyFont="1" applyFill="1" applyBorder="1" applyAlignment="1" applyProtection="1">
      <alignment horizontal="right" vertical="center"/>
      <protection locked="0"/>
    </xf>
    <xf numFmtId="164" fontId="1" fillId="0" borderId="17" xfId="18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left" vertical="center" wrapText="1"/>
    </xf>
    <xf numFmtId="3" fontId="16" fillId="0" borderId="18" xfId="0" applyNumberFormat="1" applyFont="1" applyFill="1" applyBorder="1" applyAlignment="1" applyProtection="1">
      <alignment horizontal="right" vertical="center"/>
      <protection locked="0"/>
    </xf>
    <xf numFmtId="164" fontId="5" fillId="0" borderId="29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164" fontId="7" fillId="0" borderId="36" xfId="0" applyNumberFormat="1" applyFont="1" applyFill="1" applyBorder="1" applyAlignment="1" applyProtection="1">
      <alignment vertical="center"/>
      <protection locked="0"/>
    </xf>
    <xf numFmtId="164" fontId="7" fillId="0" borderId="34" xfId="0" applyNumberFormat="1" applyFont="1" applyFill="1" applyBorder="1" applyAlignment="1" applyProtection="1">
      <alignment vertical="center"/>
      <protection locked="0"/>
    </xf>
    <xf numFmtId="1" fontId="1" fillId="0" borderId="9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1" fontId="12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45" xfId="18" applyNumberFormat="1" applyFont="1" applyFill="1" applyBorder="1" applyAlignment="1" applyProtection="1">
      <alignment vertical="center" wrapText="1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164" fontId="11" fillId="0" borderId="40" xfId="0" applyNumberFormat="1" applyFont="1" applyFill="1" applyBorder="1" applyAlignment="1" applyProtection="1">
      <alignment horizontal="right" vertical="center"/>
      <protection locked="0"/>
    </xf>
    <xf numFmtId="164" fontId="7" fillId="0" borderId="40" xfId="0" applyNumberFormat="1" applyFont="1" applyFill="1" applyBorder="1" applyAlignment="1" applyProtection="1">
      <alignment vertical="center"/>
      <protection locked="0"/>
    </xf>
    <xf numFmtId="164" fontId="7" fillId="0" borderId="39" xfId="0" applyNumberFormat="1" applyFont="1" applyFill="1" applyBorder="1" applyAlignment="1" applyProtection="1">
      <alignment vertical="center"/>
      <protection locked="0"/>
    </xf>
    <xf numFmtId="3" fontId="12" fillId="0" borderId="32" xfId="18" applyNumberFormat="1" applyFont="1" applyFill="1" applyBorder="1" applyAlignment="1" applyProtection="1">
      <alignment vertical="center" wrapText="1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164" fontId="4" fillId="0" borderId="34" xfId="0" applyNumberFormat="1" applyFont="1" applyFill="1" applyBorder="1" applyAlignment="1" applyProtection="1">
      <alignment vertical="center"/>
      <protection locked="0"/>
    </xf>
    <xf numFmtId="1" fontId="1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0" xfId="18" applyNumberFormat="1" applyFont="1" applyFill="1" applyBorder="1" applyAlignment="1" applyProtection="1">
      <alignment vertical="center" wrapText="1"/>
      <protection locked="0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vertical="center"/>
      <protection locked="0"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164" fontId="11" fillId="0" borderId="17" xfId="0" applyNumberFormat="1" applyFont="1" applyFill="1" applyBorder="1" applyAlignment="1" applyProtection="1">
      <alignment vertical="center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17" xfId="18" applyNumberFormat="1" applyFont="1" applyFill="1" applyBorder="1" applyAlignment="1" applyProtection="1">
      <alignment vertical="center" wrapText="1"/>
      <protection locked="0"/>
    </xf>
    <xf numFmtId="164" fontId="5" fillId="0" borderId="22" xfId="0" applyNumberFormat="1" applyFont="1" applyFill="1" applyBorder="1" applyAlignment="1" applyProtection="1">
      <alignment horizontal="right" vertical="center"/>
      <protection locked="0"/>
    </xf>
    <xf numFmtId="164" fontId="4" fillId="0" borderId="22" xfId="0" applyNumberFormat="1" applyFont="1" applyFill="1" applyBorder="1" applyAlignment="1" applyProtection="1">
      <alignment vertical="center"/>
      <protection locked="0"/>
    </xf>
    <xf numFmtId="164" fontId="12" fillId="0" borderId="32" xfId="18" applyNumberFormat="1" applyFont="1" applyFill="1" applyBorder="1" applyAlignment="1" applyProtection="1">
      <alignment vertical="center" wrapText="1"/>
      <protection locked="0"/>
    </xf>
    <xf numFmtId="164" fontId="5" fillId="0" borderId="6" xfId="0" applyNumberFormat="1" applyFont="1" applyFill="1" applyBorder="1" applyAlignment="1" applyProtection="1">
      <alignment horizontal="right" vertical="center"/>
      <protection locked="0"/>
    </xf>
    <xf numFmtId="164" fontId="12" fillId="0" borderId="32" xfId="18" applyNumberFormat="1" applyFont="1" applyFill="1" applyBorder="1" applyAlignment="1" applyProtection="1">
      <alignment vertical="center" wrapText="1"/>
      <protection locked="0"/>
    </xf>
    <xf numFmtId="164" fontId="5" fillId="0" borderId="34" xfId="0" applyNumberFormat="1" applyFont="1" applyFill="1" applyBorder="1" applyAlignment="1" applyProtection="1">
      <alignment horizontal="right" vertical="center"/>
      <protection locked="0"/>
    </xf>
    <xf numFmtId="1" fontId="17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10" xfId="18" applyNumberFormat="1" applyFont="1" applyFill="1" applyBorder="1" applyAlignment="1" applyProtection="1">
      <alignment vertical="center" wrapText="1"/>
      <protection locked="0"/>
    </xf>
    <xf numFmtId="3" fontId="18" fillId="0" borderId="9" xfId="0" applyNumberFormat="1" applyFont="1" applyFill="1" applyBorder="1" applyAlignment="1" applyProtection="1">
      <alignment vertical="center"/>
      <protection locked="0"/>
    </xf>
    <xf numFmtId="3" fontId="18" fillId="0" borderId="18" xfId="0" applyNumberFormat="1" applyFont="1" applyFill="1" applyBorder="1" applyAlignment="1" applyProtection="1">
      <alignment vertical="center"/>
      <protection locked="0"/>
    </xf>
    <xf numFmtId="3" fontId="18" fillId="0" borderId="3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/>
    </xf>
    <xf numFmtId="164" fontId="1" fillId="0" borderId="10" xfId="18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 applyProtection="1">
      <alignment horizontal="right" vertical="center"/>
      <protection locked="0"/>
    </xf>
    <xf numFmtId="1" fontId="12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45" xfId="18" applyNumberFormat="1" applyFont="1" applyFill="1" applyBorder="1" applyAlignment="1" applyProtection="1">
      <alignment vertical="center" wrapText="1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41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164" fontId="11" fillId="0" borderId="40" xfId="0" applyNumberFormat="1" applyFont="1" applyFill="1" applyBorder="1" applyAlignment="1" applyProtection="1">
      <alignment vertical="center"/>
      <protection locked="0"/>
    </xf>
    <xf numFmtId="1" fontId="1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15" xfId="18" applyNumberFormat="1" applyFont="1" applyFill="1" applyBorder="1" applyAlignment="1" applyProtection="1">
      <alignment vertical="center" wrapText="1"/>
      <protection locked="0"/>
    </xf>
    <xf numFmtId="1" fontId="1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40" xfId="18" applyNumberFormat="1" applyFont="1" applyFill="1" applyBorder="1" applyAlignment="1" applyProtection="1">
      <alignment vertical="center" wrapText="1"/>
      <protection locked="0"/>
    </xf>
    <xf numFmtId="164" fontId="1" fillId="0" borderId="40" xfId="18" applyNumberFormat="1" applyFont="1" applyFill="1" applyBorder="1" applyAlignment="1" applyProtection="1">
      <alignment vertical="center" wrapText="1"/>
      <protection locked="0"/>
    </xf>
    <xf numFmtId="164" fontId="5" fillId="0" borderId="40" xfId="0" applyNumberFormat="1" applyFont="1" applyFill="1" applyBorder="1" applyAlignment="1" applyProtection="1">
      <alignment vertical="center"/>
      <protection locked="0"/>
    </xf>
    <xf numFmtId="164" fontId="1" fillId="0" borderId="15" xfId="18" applyNumberFormat="1" applyFont="1" applyFill="1" applyBorder="1" applyAlignment="1" applyProtection="1">
      <alignment vertical="center" wrapText="1"/>
      <protection locked="0"/>
    </xf>
    <xf numFmtId="1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4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10" xfId="18" applyNumberFormat="1" applyFont="1" applyFill="1" applyBorder="1" applyAlignment="1" applyProtection="1">
      <alignment vertical="center" wrapText="1"/>
      <protection locked="0"/>
    </xf>
    <xf numFmtId="3" fontId="16" fillId="0" borderId="9" xfId="0" applyNumberFormat="1" applyFont="1" applyFill="1" applyBorder="1" applyAlignment="1" applyProtection="1">
      <alignment vertical="center"/>
      <protection locked="0"/>
    </xf>
    <xf numFmtId="3" fontId="16" fillId="0" borderId="18" xfId="0" applyNumberFormat="1" applyFont="1" applyFill="1" applyBorder="1" applyAlignment="1" applyProtection="1">
      <alignment vertical="center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Border="1" applyAlignment="1">
      <alignment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1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6" xfId="18" applyNumberFormat="1" applyFont="1" applyFill="1" applyBorder="1" applyAlignment="1" applyProtection="1">
      <alignment vertical="center" wrapText="1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164" fontId="11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164" fontId="1" fillId="0" borderId="51" xfId="0" applyNumberFormat="1" applyFont="1" applyBorder="1" applyAlignment="1">
      <alignment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64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164" fontId="13" fillId="0" borderId="40" xfId="0" applyNumberFormat="1" applyFont="1" applyFill="1" applyBorder="1" applyAlignment="1" applyProtection="1">
      <alignment horizontal="right" vertical="center"/>
      <protection locked="0"/>
    </xf>
    <xf numFmtId="164" fontId="3" fillId="0" borderId="17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164" fontId="5" fillId="0" borderId="3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64" fontId="12" fillId="0" borderId="32" xfId="0" applyNumberFormat="1" applyFont="1" applyBorder="1" applyAlignment="1">
      <alignment vertical="center" wrapText="1"/>
    </xf>
    <xf numFmtId="3" fontId="14" fillId="0" borderId="9" xfId="0" applyNumberFormat="1" applyFont="1" applyFill="1" applyBorder="1" applyAlignment="1" applyProtection="1">
      <alignment vertical="center"/>
      <protection locked="0"/>
    </xf>
    <xf numFmtId="3" fontId="14" fillId="0" borderId="18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1" fontId="12" fillId="0" borderId="31" xfId="0" applyNumberFormat="1" applyFont="1" applyBorder="1" applyAlignment="1">
      <alignment horizontal="centerContinuous" vertical="center"/>
    </xf>
    <xf numFmtId="164" fontId="12" fillId="0" borderId="0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horizontal="centerContinuous" vertical="center"/>
    </xf>
    <xf numFmtId="1" fontId="1" fillId="0" borderId="44" xfId="0" applyNumberFormat="1" applyFont="1" applyBorder="1" applyAlignment="1">
      <alignment horizontal="centerContinuous" vertical="center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1" fontId="12" fillId="0" borderId="31" xfId="0" applyNumberFormat="1" applyFont="1" applyBorder="1" applyAlignment="1">
      <alignment horizontal="centerContinuous" vertical="center"/>
    </xf>
    <xf numFmtId="164" fontId="1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horizontal="centerContinuous" vertical="center"/>
    </xf>
    <xf numFmtId="1" fontId="12" fillId="0" borderId="9" xfId="0" applyNumberFormat="1" applyFont="1" applyFill="1" applyBorder="1" applyAlignment="1" applyProtection="1">
      <alignment horizontal="center" vertical="center"/>
      <protection locked="0"/>
    </xf>
    <xf numFmtId="164" fontId="12" fillId="0" borderId="10" xfId="18" applyNumberFormat="1" applyFont="1" applyFill="1" applyBorder="1" applyAlignment="1" applyProtection="1">
      <alignment vertical="center" wrapText="1"/>
      <protection locked="0"/>
    </xf>
    <xf numFmtId="164" fontId="7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164" fontId="13" fillId="0" borderId="6" xfId="0" applyNumberFormat="1" applyFont="1" applyFill="1" applyBorder="1" applyAlignment="1" applyProtection="1">
      <alignment horizontal="right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164" fontId="7" fillId="0" borderId="7" xfId="0" applyNumberFormat="1" applyFont="1" applyFill="1" applyBorder="1" applyAlignment="1" applyProtection="1">
      <alignment vertical="center"/>
      <protection locked="0"/>
    </xf>
    <xf numFmtId="164" fontId="7" fillId="0" borderId="6" xfId="0" applyNumberFormat="1" applyFont="1" applyFill="1" applyBorder="1" applyAlignment="1" applyProtection="1">
      <alignment vertical="center"/>
      <protection locked="0"/>
    </xf>
    <xf numFmtId="1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6" xfId="18" applyNumberFormat="1" applyFont="1" applyFill="1" applyBorder="1" applyAlignment="1" applyProtection="1">
      <alignment vertical="center" wrapText="1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164" fontId="1" fillId="0" borderId="45" xfId="18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18" xfId="0" applyNumberFormat="1" applyFont="1" applyBorder="1" applyAlignment="1">
      <alignment vertical="center"/>
    </xf>
    <xf numFmtId="164" fontId="1" fillId="0" borderId="40" xfId="18" applyNumberFormat="1" applyFont="1" applyFill="1" applyBorder="1" applyAlignment="1" applyProtection="1">
      <alignment horizontal="left" vertical="center" wrapText="1"/>
      <protection locked="0"/>
    </xf>
    <xf numFmtId="3" fontId="0" fillId="0" borderId="51" xfId="0" applyNumberFormat="1" applyFont="1" applyBorder="1" applyAlignment="1">
      <alignment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164" fontId="4" fillId="0" borderId="40" xfId="0" applyNumberFormat="1" applyFont="1" applyFill="1" applyBorder="1" applyAlignment="1" applyProtection="1">
      <alignment horizontal="right" vertical="center"/>
      <protection locked="0"/>
    </xf>
    <xf numFmtId="164" fontId="4" fillId="0" borderId="39" xfId="0" applyNumberFormat="1" applyFont="1" applyFill="1" applyBorder="1" applyAlignment="1" applyProtection="1">
      <alignment horizontal="right" vertical="center"/>
      <protection locked="0"/>
    </xf>
    <xf numFmtId="164" fontId="1" fillId="0" borderId="17" xfId="18" applyNumberFormat="1" applyFont="1" applyFill="1" applyBorder="1" applyAlignment="1" applyProtection="1">
      <alignment horizontal="left" vertical="center" wrapText="1"/>
      <protection locked="0"/>
    </xf>
    <xf numFmtId="164" fontId="13" fillId="0" borderId="36" xfId="0" applyNumberFormat="1" applyFont="1" applyFill="1" applyBorder="1" applyAlignment="1" applyProtection="1">
      <alignment horizontal="right" vertical="center"/>
      <protection locked="0"/>
    </xf>
    <xf numFmtId="164" fontId="7" fillId="0" borderId="36" xfId="0" applyNumberFormat="1" applyFont="1" applyFill="1" applyBorder="1" applyAlignment="1" applyProtection="1">
      <alignment horizontal="right" vertical="center"/>
      <protection locked="0"/>
    </xf>
    <xf numFmtId="164" fontId="1" fillId="0" borderId="10" xfId="18" applyNumberFormat="1" applyFont="1" applyFill="1" applyBorder="1" applyAlignment="1" applyProtection="1">
      <alignment horizontal="left" vertical="center" wrapText="1"/>
      <protection locked="0"/>
    </xf>
    <xf numFmtId="164" fontId="12" fillId="0" borderId="20" xfId="18" applyNumberFormat="1" applyFont="1" applyFill="1" applyBorder="1" applyAlignment="1" applyProtection="1">
      <alignment horizontal="left" vertical="center" wrapText="1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164" fontId="7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164" fontId="7" fillId="0" borderId="22" xfId="0" applyNumberFormat="1" applyFont="1" applyFill="1" applyBorder="1" applyAlignment="1" applyProtection="1">
      <alignment horizontal="right" vertical="center"/>
      <protection locked="0"/>
    </xf>
    <xf numFmtId="1" fontId="12" fillId="0" borderId="44" xfId="0" applyNumberFormat="1" applyFont="1" applyBorder="1" applyAlignment="1">
      <alignment horizontal="centerContinuous" vertical="center"/>
    </xf>
    <xf numFmtId="1" fontId="1" fillId="0" borderId="11" xfId="0" applyNumberFormat="1" applyFont="1" applyBorder="1" applyAlignment="1">
      <alignment horizontal="centerContinuous" vertical="center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3" fontId="16" fillId="0" borderId="44" xfId="0" applyNumberFormat="1" applyFont="1" applyFill="1" applyBorder="1" applyAlignment="1" applyProtection="1">
      <alignment vertical="center"/>
      <protection locked="0"/>
    </xf>
    <xf numFmtId="3" fontId="16" fillId="0" borderId="41" xfId="0" applyNumberFormat="1" applyFont="1" applyFill="1" applyBorder="1" applyAlignment="1" applyProtection="1">
      <alignment vertical="center"/>
      <protection locked="0"/>
    </xf>
    <xf numFmtId="3" fontId="16" fillId="0" borderId="46" xfId="0" applyNumberFormat="1" applyFont="1" applyFill="1" applyBorder="1" applyAlignment="1" applyProtection="1">
      <alignment vertical="center"/>
      <protection locked="0"/>
    </xf>
    <xf numFmtId="164" fontId="1" fillId="0" borderId="16" xfId="18" applyNumberFormat="1" applyFont="1" applyFill="1" applyBorder="1" applyAlignment="1" applyProtection="1">
      <alignment vertical="center" wrapText="1"/>
      <protection locked="0"/>
    </xf>
    <xf numFmtId="1" fontId="1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53" xfId="0" applyNumberFormat="1" applyFont="1" applyFill="1" applyBorder="1" applyAlignment="1" applyProtection="1">
      <alignment horizontal="right" vertical="center"/>
      <protection locked="0"/>
    </xf>
    <xf numFmtId="164" fontId="15" fillId="0" borderId="7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 applyProtection="1">
      <alignment vertical="center"/>
      <protection locked="0"/>
    </xf>
    <xf numFmtId="164" fontId="15" fillId="0" borderId="17" xfId="0" applyNumberFormat="1" applyFont="1" applyFill="1" applyBorder="1" applyAlignment="1" applyProtection="1">
      <alignment vertical="center"/>
      <protection locked="0"/>
    </xf>
    <xf numFmtId="164" fontId="15" fillId="0" borderId="36" xfId="0" applyNumberFormat="1" applyFont="1" applyFill="1" applyBorder="1" applyAlignment="1" applyProtection="1">
      <alignment vertical="center"/>
      <protection locked="0"/>
    </xf>
    <xf numFmtId="0" fontId="1" fillId="0" borderId="9" xfId="0" applyNumberFormat="1" applyFont="1" applyFill="1" applyBorder="1" applyAlignment="1" applyProtection="1">
      <alignment horizontal="centerContinuous" vertical="center"/>
      <protection locked="0"/>
    </xf>
    <xf numFmtId="0" fontId="1" fillId="0" borderId="44" xfId="0" applyNumberFormat="1" applyFont="1" applyFill="1" applyBorder="1" applyAlignment="1" applyProtection="1">
      <alignment horizontal="centerContinuous"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1" fontId="12" fillId="0" borderId="31" xfId="0" applyNumberFormat="1" applyFont="1" applyFill="1" applyBorder="1" applyAlignment="1" applyProtection="1">
      <alignment horizontal="center" vertical="center"/>
      <protection locked="0"/>
    </xf>
    <xf numFmtId="164" fontId="12" fillId="0" borderId="33" xfId="18" applyNumberFormat="1" applyFont="1" applyFill="1" applyBorder="1" applyAlignment="1" applyProtection="1">
      <alignment vertical="center" wrapText="1"/>
      <protection locked="0"/>
    </xf>
    <xf numFmtId="164" fontId="1" fillId="0" borderId="18" xfId="18" applyNumberFormat="1" applyFont="1" applyFill="1" applyBorder="1" applyAlignment="1" applyProtection="1">
      <alignment vertical="center" wrapText="1"/>
      <protection locked="0"/>
    </xf>
    <xf numFmtId="164" fontId="15" fillId="0" borderId="40" xfId="0" applyNumberFormat="1" applyFont="1" applyFill="1" applyBorder="1" applyAlignment="1" applyProtection="1">
      <alignment vertical="center"/>
      <protection locked="0"/>
    </xf>
    <xf numFmtId="164" fontId="3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16" xfId="0" applyNumberFormat="1" applyFont="1" applyFill="1" applyBorder="1" applyAlignment="1" applyProtection="1">
      <alignment vertical="center"/>
      <protection locked="0"/>
    </xf>
    <xf numFmtId="164" fontId="19" fillId="0" borderId="36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horizontal="right" vertical="center"/>
      <protection locked="0"/>
    </xf>
    <xf numFmtId="164" fontId="15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1" fontId="12" fillId="0" borderId="47" xfId="0" applyNumberFormat="1" applyFont="1" applyFill="1" applyBorder="1" applyAlignment="1" applyProtection="1">
      <alignment horizontal="centerContinuous" vertical="center"/>
      <protection locked="0"/>
    </xf>
    <xf numFmtId="1" fontId="12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54" xfId="0" applyNumberFormat="1" applyFont="1" applyFill="1" applyBorder="1" applyAlignment="1" applyProtection="1">
      <alignment horizontal="right" vertical="center"/>
      <protection locked="0"/>
    </xf>
    <xf numFmtId="164" fontId="3" fillId="0" borderId="5" xfId="0" applyNumberFormat="1" applyFont="1" applyFill="1" applyBorder="1" applyAlignment="1" applyProtection="1">
      <alignment horizontal="right" vertical="center"/>
      <protection locked="0"/>
    </xf>
    <xf numFmtId="164" fontId="3" fillId="0" borderId="55" xfId="0" applyNumberFormat="1" applyFont="1" applyFill="1" applyBorder="1" applyAlignment="1" applyProtection="1">
      <alignment horizontal="right" vertical="center"/>
      <protection locked="0"/>
    </xf>
    <xf numFmtId="164" fontId="4" fillId="0" borderId="10" xfId="18" applyNumberFormat="1" applyFont="1" applyFill="1" applyBorder="1" applyAlignment="1" applyProtection="1">
      <alignment vertical="center" wrapText="1"/>
      <protection locked="0"/>
    </xf>
    <xf numFmtId="164" fontId="5" fillId="0" borderId="24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164" fontId="3" fillId="0" borderId="7" xfId="0" applyNumberFormat="1" applyFont="1" applyFill="1" applyBorder="1" applyAlignment="1" applyProtection="1">
      <alignment horizontal="right" vertical="center"/>
      <protection locked="0"/>
    </xf>
    <xf numFmtId="164" fontId="1" fillId="0" borderId="12" xfId="18" applyNumberFormat="1" applyFont="1" applyFill="1" applyBorder="1" applyAlignment="1" applyProtection="1">
      <alignment vertical="center" wrapText="1"/>
      <protection locked="0"/>
    </xf>
    <xf numFmtId="164" fontId="3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41" xfId="18" applyNumberFormat="1" applyFont="1" applyFill="1" applyBorder="1" applyAlignment="1" applyProtection="1">
      <alignment vertical="center" wrapText="1"/>
      <protection locked="0"/>
    </xf>
    <xf numFmtId="164" fontId="3" fillId="0" borderId="51" xfId="0" applyNumberFormat="1" applyFont="1" applyFill="1" applyBorder="1" applyAlignment="1" applyProtection="1">
      <alignment horizontal="right" vertical="center"/>
      <protection locked="0"/>
    </xf>
    <xf numFmtId="164" fontId="5" fillId="0" borderId="39" xfId="0" applyNumberFormat="1" applyFont="1" applyFill="1" applyBorder="1" applyAlignment="1" applyProtection="1">
      <alignment horizontal="right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164" fontId="15" fillId="0" borderId="34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11" fillId="0" borderId="16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4" fontId="15" fillId="0" borderId="29" xfId="0" applyNumberFormat="1" applyFont="1" applyFill="1" applyBorder="1" applyAlignment="1" applyProtection="1">
      <alignment vertical="center"/>
      <protection locked="0"/>
    </xf>
    <xf numFmtId="164" fontId="15" fillId="0" borderId="3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/>
    </xf>
    <xf numFmtId="164" fontId="1" fillId="0" borderId="18" xfId="18" applyNumberFormat="1" applyFont="1" applyFill="1" applyBorder="1" applyAlignment="1" applyProtection="1">
      <alignment vertical="center" wrapText="1"/>
      <protection locked="0"/>
    </xf>
    <xf numFmtId="1" fontId="6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20" xfId="18" applyNumberFormat="1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Border="1" applyAlignment="1">
      <alignment/>
    </xf>
    <xf numFmtId="164" fontId="12" fillId="0" borderId="27" xfId="18" applyNumberFormat="1" applyFont="1" applyFill="1" applyBorder="1" applyAlignment="1" applyProtection="1">
      <alignment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 applyProtection="1">
      <alignment horizontal="right" vertical="center"/>
      <protection locked="0"/>
    </xf>
    <xf numFmtId="164" fontId="3" fillId="0" borderId="29" xfId="0" applyNumberFormat="1" applyFont="1" applyFill="1" applyBorder="1" applyAlignment="1" applyProtection="1">
      <alignment vertical="center"/>
      <protection locked="0"/>
    </xf>
    <xf numFmtId="164" fontId="12" fillId="0" borderId="18" xfId="18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164" fontId="12" fillId="0" borderId="41" xfId="18" applyNumberFormat="1" applyFont="1" applyFill="1" applyBorder="1" applyAlignment="1" applyProtection="1">
      <alignment vertical="center" wrapText="1"/>
      <protection locked="0"/>
    </xf>
    <xf numFmtId="164" fontId="5" fillId="0" borderId="39" xfId="0" applyNumberFormat="1" applyFont="1" applyFill="1" applyBorder="1" applyAlignment="1" applyProtection="1">
      <alignment vertical="center"/>
      <protection locked="0"/>
    </xf>
    <xf numFmtId="164" fontId="1" fillId="0" borderId="41" xfId="18" applyNumberFormat="1" applyFont="1" applyFill="1" applyBorder="1" applyAlignment="1" applyProtection="1">
      <alignment vertical="center" wrapText="1"/>
      <protection locked="0"/>
    </xf>
    <xf numFmtId="164" fontId="12" fillId="0" borderId="33" xfId="18" applyNumberFormat="1" applyFont="1" applyFill="1" applyBorder="1" applyAlignment="1" applyProtection="1">
      <alignment vertical="center" wrapText="1"/>
      <protection locked="0"/>
    </xf>
    <xf numFmtId="164" fontId="12" fillId="0" borderId="18" xfId="18" applyNumberFormat="1" applyFont="1" applyFill="1" applyBorder="1" applyAlignment="1" applyProtection="1">
      <alignment vertical="center" wrapText="1"/>
      <protection locked="0"/>
    </xf>
    <xf numFmtId="164" fontId="12" fillId="0" borderId="41" xfId="18" applyNumberFormat="1" applyFont="1" applyFill="1" applyBorder="1" applyAlignment="1" applyProtection="1">
      <alignment vertical="center" wrapText="1"/>
      <protection locked="0"/>
    </xf>
    <xf numFmtId="164" fontId="3" fillId="0" borderId="45" xfId="0" applyNumberFormat="1" applyFont="1" applyFill="1" applyBorder="1" applyAlignment="1" applyProtection="1">
      <alignment horizontal="right" vertical="center"/>
      <protection locked="0"/>
    </xf>
    <xf numFmtId="164" fontId="13" fillId="0" borderId="45" xfId="0" applyNumberFormat="1" applyFont="1" applyFill="1" applyBorder="1" applyAlignment="1" applyProtection="1">
      <alignment horizontal="right" vertical="center"/>
      <protection locked="0"/>
    </xf>
    <xf numFmtId="164" fontId="13" fillId="0" borderId="36" xfId="0" applyNumberFormat="1" applyFont="1" applyFill="1" applyBorder="1" applyAlignment="1" applyProtection="1">
      <alignment vertical="center"/>
      <protection locked="0"/>
    </xf>
    <xf numFmtId="164" fontId="3" fillId="0" borderId="32" xfId="0" applyNumberFormat="1" applyFont="1" applyFill="1" applyBorder="1" applyAlignment="1" applyProtection="1">
      <alignment horizontal="right" vertical="center"/>
      <protection locked="0"/>
    </xf>
    <xf numFmtId="164" fontId="3" fillId="0" borderId="15" xfId="0" applyNumberFormat="1" applyFont="1" applyFill="1" applyBorder="1" applyAlignment="1" applyProtection="1">
      <alignment horizontal="right" vertical="center"/>
      <protection locked="0"/>
    </xf>
    <xf numFmtId="164" fontId="1" fillId="0" borderId="12" xfId="18" applyNumberFormat="1" applyFont="1" applyFill="1" applyBorder="1" applyAlignment="1" applyProtection="1">
      <alignment vertical="center" wrapText="1"/>
      <protection locked="0"/>
    </xf>
    <xf numFmtId="1" fontId="1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33" xfId="18" applyNumberFormat="1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horizontal="right" vertical="center"/>
      <protection locked="0"/>
    </xf>
    <xf numFmtId="164" fontId="3" fillId="0" borderId="36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horizontal="right" vertical="center"/>
      <protection locked="0"/>
    </xf>
    <xf numFmtId="164" fontId="1" fillId="0" borderId="16" xfId="18" applyNumberFormat="1" applyFont="1" applyFill="1" applyBorder="1" applyAlignment="1" applyProtection="1">
      <alignment vertical="center" wrapText="1"/>
      <protection locked="0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164" fontId="7" fillId="0" borderId="29" xfId="0" applyNumberFormat="1" applyFont="1" applyFill="1" applyBorder="1" applyAlignment="1" applyProtection="1">
      <alignment horizontal="right" vertical="center"/>
      <protection locked="0"/>
    </xf>
    <xf numFmtId="164" fontId="11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21" xfId="18" applyNumberFormat="1" applyFont="1" applyFill="1" applyBorder="1" applyAlignment="1" applyProtection="1">
      <alignment vertical="center" wrapText="1"/>
      <protection locked="0"/>
    </xf>
    <xf numFmtId="164" fontId="13" fillId="0" borderId="54" xfId="0" applyNumberFormat="1" applyFont="1" applyFill="1" applyBorder="1" applyAlignment="1" applyProtection="1">
      <alignment horizontal="right" vertical="center"/>
      <protection locked="0"/>
    </xf>
    <xf numFmtId="164" fontId="11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64" fontId="3" fillId="0" borderId="56" xfId="0" applyNumberFormat="1" applyFont="1" applyFill="1" applyBorder="1" applyAlignment="1" applyProtection="1">
      <alignment horizontal="right" vertical="center"/>
      <protection locked="0"/>
    </xf>
    <xf numFmtId="1" fontId="12" fillId="0" borderId="19" xfId="0" applyNumberFormat="1" applyFont="1" applyFill="1" applyBorder="1" applyAlignment="1" applyProtection="1">
      <alignment horizontal="center" vertical="center"/>
      <protection locked="0"/>
    </xf>
    <xf numFmtId="164" fontId="12" fillId="0" borderId="21" xfId="18" applyNumberFormat="1" applyFont="1" applyFill="1" applyBorder="1" applyAlignment="1" applyProtection="1">
      <alignment vertical="center" wrapText="1"/>
      <protection locked="0"/>
    </xf>
    <xf numFmtId="164" fontId="15" fillId="0" borderId="22" xfId="0" applyNumberFormat="1" applyFont="1" applyFill="1" applyBorder="1" applyAlignment="1" applyProtection="1">
      <alignment vertical="center"/>
      <protection locked="0"/>
    </xf>
    <xf numFmtId="164" fontId="12" fillId="0" borderId="17" xfId="18" applyNumberFormat="1" applyFont="1" applyFill="1" applyBorder="1" applyAlignment="1" applyProtection="1">
      <alignment vertical="center" wrapText="1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164" fontId="3" fillId="0" borderId="16" xfId="0" applyNumberFormat="1" applyFont="1" applyFill="1" applyBorder="1" applyAlignment="1" applyProtection="1">
      <alignment vertical="center"/>
      <protection locked="0"/>
    </xf>
    <xf numFmtId="164" fontId="3" fillId="0" borderId="40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0" fontId="14" fillId="0" borderId="9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0" xfId="0" applyFont="1" applyBorder="1" applyAlignment="1">
      <alignment horizontal="left" vertical="center" wrapText="1"/>
    </xf>
    <xf numFmtId="3" fontId="16" fillId="0" borderId="18" xfId="0" applyNumberFormat="1" applyFont="1" applyBorder="1" applyAlignment="1">
      <alignment horizontal="right" vertical="center"/>
    </xf>
    <xf numFmtId="3" fontId="16" fillId="0" borderId="41" xfId="0" applyNumberFormat="1" applyFont="1" applyFill="1" applyBorder="1" applyAlignment="1" applyProtection="1">
      <alignment vertical="center"/>
      <protection locked="0"/>
    </xf>
    <xf numFmtId="164" fontId="1" fillId="0" borderId="15" xfId="18" applyNumberFormat="1" applyFont="1" applyFill="1" applyBorder="1" applyAlignment="1" applyProtection="1">
      <alignment horizontal="left" vertical="center" wrapText="1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Border="1" applyAlignment="1">
      <alignment horizontal="right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164" fontId="1" fillId="0" borderId="32" xfId="18" applyNumberFormat="1" applyFont="1" applyFill="1" applyBorder="1" applyAlignment="1" applyProtection="1">
      <alignment vertical="center" wrapText="1"/>
      <protection locked="0"/>
    </xf>
    <xf numFmtId="1" fontId="14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45" xfId="18" applyNumberFormat="1" applyFont="1" applyFill="1" applyBorder="1" applyAlignment="1" applyProtection="1">
      <alignment vertical="center" wrapText="1"/>
      <protection locked="0"/>
    </xf>
    <xf numFmtId="1" fontId="17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32" xfId="18" applyNumberFormat="1" applyFont="1" applyFill="1" applyBorder="1" applyAlignment="1" applyProtection="1">
      <alignment vertical="center" wrapText="1"/>
      <protection locked="0"/>
    </xf>
    <xf numFmtId="3" fontId="18" fillId="0" borderId="31" xfId="0" applyNumberFormat="1" applyFont="1" applyFill="1" applyBorder="1" applyAlignment="1" applyProtection="1">
      <alignment vertical="center"/>
      <protection locked="0"/>
    </xf>
    <xf numFmtId="3" fontId="18" fillId="0" borderId="33" xfId="0" applyNumberFormat="1" applyFont="1" applyFill="1" applyBorder="1" applyAlignment="1" applyProtection="1">
      <alignment vertical="center"/>
      <protection locked="0"/>
    </xf>
    <xf numFmtId="3" fontId="18" fillId="0" borderId="35" xfId="0" applyNumberFormat="1" applyFont="1" applyFill="1" applyBorder="1" applyAlignment="1" applyProtection="1">
      <alignment vertical="center"/>
      <protection locked="0"/>
    </xf>
    <xf numFmtId="164" fontId="5" fillId="0" borderId="34" xfId="0" applyNumberFormat="1" applyFont="1" applyFill="1" applyBorder="1" applyAlignment="1" applyProtection="1">
      <alignment vertical="center"/>
      <protection locked="0"/>
    </xf>
    <xf numFmtId="3" fontId="1" fillId="0" borderId="44" xfId="0" applyNumberFormat="1" applyFont="1" applyFill="1" applyBorder="1" applyAlignment="1" applyProtection="1">
      <alignment vertical="center"/>
      <protection locked="0"/>
    </xf>
    <xf numFmtId="3" fontId="1" fillId="0" borderId="41" xfId="0" applyNumberFormat="1" applyFont="1" applyFill="1" applyBorder="1" applyAlignment="1" applyProtection="1">
      <alignment vertical="center"/>
      <protection locked="0"/>
    </xf>
    <xf numFmtId="164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1" fontId="6" fillId="0" borderId="8" xfId="0" applyNumberFormat="1" applyFont="1" applyFill="1" applyBorder="1" applyAlignment="1" applyProtection="1">
      <alignment horizontal="centerContinuous" vertical="center"/>
      <protection locked="0"/>
    </xf>
    <xf numFmtId="1" fontId="6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7" xfId="0" applyNumberFormat="1" applyFont="1" applyFill="1" applyBorder="1" applyAlignment="1" applyProtection="1">
      <alignment horizontal="right" vertical="center"/>
      <protection locked="0"/>
    </xf>
    <xf numFmtId="164" fontId="11" fillId="0" borderId="6" xfId="0" applyNumberFormat="1" applyFont="1" applyFill="1" applyBorder="1" applyAlignment="1" applyProtection="1">
      <alignment horizontal="right" vertical="center"/>
      <protection locked="0"/>
    </xf>
    <xf numFmtId="3" fontId="12" fillId="0" borderId="27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1" fontId="18" fillId="0" borderId="47" xfId="0" applyNumberFormat="1" applyFont="1" applyFill="1" applyBorder="1" applyAlignment="1" applyProtection="1">
      <alignment horizontal="centerContinuous" vertical="center"/>
      <protection locked="0"/>
    </xf>
    <xf numFmtId="1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47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Border="1" applyAlignment="1">
      <alignment/>
    </xf>
    <xf numFmtId="1" fontId="14" fillId="0" borderId="47" xfId="0" applyNumberFormat="1" applyFont="1" applyFill="1" applyBorder="1" applyAlignment="1" applyProtection="1">
      <alignment horizontal="centerContinuous" vertical="center"/>
      <protection locked="0"/>
    </xf>
    <xf numFmtId="1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47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29" xfId="0" applyFont="1" applyBorder="1" applyAlignment="1">
      <alignment vertical="center" wrapText="1"/>
    </xf>
    <xf numFmtId="1" fontId="18" fillId="0" borderId="57" xfId="0" applyNumberFormat="1" applyFont="1" applyFill="1" applyBorder="1" applyAlignment="1" applyProtection="1">
      <alignment horizontal="centerContinuous" vertical="center"/>
      <protection locked="0"/>
    </xf>
    <xf numFmtId="1" fontId="18" fillId="0" borderId="58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42" xfId="0" applyNumberFormat="1" applyFont="1" applyFill="1" applyBorder="1" applyAlignment="1" applyProtection="1">
      <alignment vertical="center"/>
      <protection locked="0"/>
    </xf>
    <xf numFmtId="3" fontId="18" fillId="0" borderId="38" xfId="0" applyNumberFormat="1" applyFont="1" applyFill="1" applyBorder="1" applyAlignment="1" applyProtection="1">
      <alignment vertical="center"/>
      <protection locked="0"/>
    </xf>
    <xf numFmtId="164" fontId="5" fillId="0" borderId="58" xfId="0" applyNumberFormat="1" applyFont="1" applyFill="1" applyBorder="1" applyAlignment="1" applyProtection="1">
      <alignment horizontal="right" vertical="center"/>
      <protection locked="0"/>
    </xf>
    <xf numFmtId="164" fontId="5" fillId="0" borderId="56" xfId="0" applyNumberFormat="1" applyFont="1" applyFill="1" applyBorder="1" applyAlignment="1" applyProtection="1">
      <alignment horizontal="right" vertical="center"/>
      <protection locked="0"/>
    </xf>
    <xf numFmtId="3" fontId="17" fillId="0" borderId="38" xfId="0" applyNumberFormat="1" applyFont="1" applyFill="1" applyBorder="1" applyAlignment="1" applyProtection="1">
      <alignment vertical="center"/>
      <protection locked="0"/>
    </xf>
    <xf numFmtId="164" fontId="11" fillId="0" borderId="53" xfId="0" applyNumberFormat="1" applyFont="1" applyFill="1" applyBorder="1" applyAlignment="1" applyProtection="1">
      <alignment horizontal="right" vertical="center"/>
      <protection locked="0"/>
    </xf>
    <xf numFmtId="3" fontId="18" fillId="0" borderId="59" xfId="0" applyNumberFormat="1" applyFont="1" applyFill="1" applyBorder="1" applyAlignment="1" applyProtection="1">
      <alignment vertical="center"/>
      <protection locked="0"/>
    </xf>
    <xf numFmtId="164" fontId="11" fillId="0" borderId="56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Continuous"/>
      <protection locked="0"/>
    </xf>
    <xf numFmtId="0" fontId="12" fillId="0" borderId="0" xfId="0" applyNumberFormat="1" applyFont="1" applyFill="1" applyBorder="1" applyAlignment="1" applyProtection="1">
      <alignment horizontal="centerContinuous"/>
      <protection locked="0"/>
    </xf>
    <xf numFmtId="0" fontId="12" fillId="0" borderId="60" xfId="0" applyNumberFormat="1" applyFont="1" applyFill="1" applyBorder="1" applyAlignment="1" applyProtection="1">
      <alignment horizontal="centerContinuous"/>
      <protection locked="0"/>
    </xf>
    <xf numFmtId="0" fontId="1" fillId="0" borderId="61" xfId="0" applyNumberFormat="1" applyFont="1" applyFill="1" applyBorder="1" applyAlignment="1" applyProtection="1">
      <alignment horizontal="centerContinuous"/>
      <protection locked="0"/>
    </xf>
    <xf numFmtId="1" fontId="1" fillId="0" borderId="30" xfId="0" applyNumberFormat="1" applyFont="1" applyFill="1" applyBorder="1" applyAlignment="1" applyProtection="1">
      <alignment horizontal="centerContinuous"/>
      <protection locked="0"/>
    </xf>
    <xf numFmtId="1" fontId="1" fillId="0" borderId="10" xfId="0" applyNumberFormat="1" applyFont="1" applyFill="1" applyBorder="1" applyAlignment="1" applyProtection="1">
      <alignment horizontal="centerContinuous"/>
      <protection locked="0"/>
    </xf>
    <xf numFmtId="1" fontId="1" fillId="0" borderId="62" xfId="0" applyNumberFormat="1" applyFont="1" applyFill="1" applyBorder="1" applyAlignment="1" applyProtection="1">
      <alignment horizontal="centerContinuous"/>
      <protection locked="0"/>
    </xf>
    <xf numFmtId="1" fontId="1" fillId="0" borderId="30" xfId="0" applyNumberFormat="1" applyFont="1" applyFill="1" applyBorder="1" applyAlignment="1" applyProtection="1">
      <alignment horizontal="centerContinuous"/>
      <protection locked="0"/>
    </xf>
    <xf numFmtId="1" fontId="1" fillId="0" borderId="10" xfId="0" applyNumberFormat="1" applyFont="1" applyFill="1" applyBorder="1" applyAlignment="1" applyProtection="1">
      <alignment horizontal="centerContinuous"/>
      <protection locked="0"/>
    </xf>
    <xf numFmtId="1" fontId="15" fillId="0" borderId="62" xfId="0" applyNumberFormat="1" applyFont="1" applyFill="1" applyBorder="1" applyAlignment="1" applyProtection="1">
      <alignment horizontal="centerContinuous"/>
      <protection locked="0"/>
    </xf>
    <xf numFmtId="1" fontId="1" fillId="0" borderId="18" xfId="0" applyNumberFormat="1" applyFont="1" applyFill="1" applyBorder="1" applyAlignment="1" applyProtection="1">
      <alignment horizontal="centerContinuous"/>
      <protection locked="0"/>
    </xf>
    <xf numFmtId="1" fontId="12" fillId="0" borderId="10" xfId="0" applyNumberFormat="1" applyFont="1" applyFill="1" applyBorder="1" applyAlignment="1" applyProtection="1">
      <alignment horizontal="centerContinuous"/>
      <protection locked="0"/>
    </xf>
    <xf numFmtId="1" fontId="4" fillId="0" borderId="0" xfId="0" applyNumberFormat="1" applyFont="1" applyFill="1" applyBorder="1" applyAlignment="1" applyProtection="1">
      <alignment horizontal="centerContinuous"/>
      <protection locked="0"/>
    </xf>
    <xf numFmtId="1" fontId="12" fillId="0" borderId="0" xfId="0" applyNumberFormat="1" applyFont="1" applyFill="1" applyBorder="1" applyAlignment="1" applyProtection="1">
      <alignment horizontal="left" wrapText="1"/>
      <protection locked="0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49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165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57" xfId="0" applyFont="1" applyBorder="1" applyAlignment="1">
      <alignment/>
    </xf>
    <xf numFmtId="0" fontId="21" fillId="0" borderId="58" xfId="0" applyFont="1" applyBorder="1" applyAlignment="1">
      <alignment/>
    </xf>
    <xf numFmtId="0" fontId="21" fillId="0" borderId="53" xfId="0" applyFont="1" applyBorder="1" applyAlignment="1">
      <alignment/>
    </xf>
    <xf numFmtId="165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3" fontId="19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165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43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1" fontId="15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1" xfId="0" applyNumberFormat="1" applyFont="1" applyFill="1" applyBorder="1" applyAlignment="1" applyProtection="1">
      <alignment vertical="center" wrapText="1"/>
      <protection locked="0"/>
    </xf>
    <xf numFmtId="3" fontId="12" fillId="0" borderId="43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4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63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43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63" xfId="0" applyNumberFormat="1" applyFont="1" applyFill="1" applyBorder="1" applyAlignment="1" applyProtection="1">
      <alignment horizontal="right" vertical="center" wrapText="1"/>
      <protection locked="0"/>
    </xf>
    <xf numFmtId="165" fontId="19" fillId="0" borderId="64" xfId="0" applyNumberFormat="1" applyFont="1" applyFill="1" applyBorder="1" applyAlignment="1" applyProtection="1">
      <alignment horizontal="right" vertical="center" wrapText="1"/>
      <protection locked="0"/>
    </xf>
    <xf numFmtId="1" fontId="19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Alignment="1">
      <alignment horizontal="left"/>
    </xf>
    <xf numFmtId="49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6" xfId="0" applyNumberFormat="1" applyFont="1" applyFill="1" applyBorder="1" applyAlignment="1" applyProtection="1">
      <alignment horizontal="left" vertical="center" wrapText="1"/>
      <protection locked="0"/>
    </xf>
    <xf numFmtId="1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6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25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5" xfId="0" applyNumberFormat="1" applyFont="1" applyFill="1" applyBorder="1" applyAlignment="1" applyProtection="1">
      <alignment horizontal="right" vertical="center" wrapText="1"/>
      <protection locked="0"/>
    </xf>
    <xf numFmtId="165" fontId="19" fillId="0" borderId="7" xfId="0" applyNumberFormat="1" applyFont="1" applyFill="1" applyBorder="1" applyAlignment="1" applyProtection="1">
      <alignment horizontal="right" vertical="center" wrapText="1"/>
      <protection locked="0"/>
    </xf>
    <xf numFmtId="1" fontId="19" fillId="0" borderId="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vertical="center" wrapText="1"/>
      <protection locked="0"/>
    </xf>
    <xf numFmtId="1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8" xfId="0" applyNumberFormat="1" applyFont="1" applyFill="1" applyBorder="1" applyAlignment="1" applyProtection="1">
      <alignment vertical="center" wrapText="1"/>
      <protection locked="0"/>
    </xf>
    <xf numFmtId="165" fontId="4" fillId="0" borderId="67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69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70" xfId="0" applyNumberFormat="1" applyFont="1" applyFill="1" applyBorder="1" applyAlignment="1" applyProtection="1">
      <alignment horizontal="right" vertical="center" wrapText="1"/>
      <protection locked="0"/>
    </xf>
    <xf numFmtId="1" fontId="15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5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0" xfId="0" applyNumberFormat="1" applyFont="1" applyFill="1" applyBorder="1" applyAlignment="1" applyProtection="1">
      <alignment vertical="center" wrapText="1"/>
      <protection locked="0"/>
    </xf>
    <xf numFmtId="3" fontId="12" fillId="0" borderId="52" xfId="0" applyNumberFormat="1" applyFont="1" applyFill="1" applyBorder="1" applyAlignment="1" applyProtection="1">
      <alignment vertical="center"/>
      <protection locked="0"/>
    </xf>
    <xf numFmtId="3" fontId="12" fillId="0" borderId="21" xfId="0" applyNumberFormat="1" applyFont="1" applyFill="1" applyBorder="1" applyAlignment="1" applyProtection="1">
      <alignment vertical="center"/>
      <protection locked="0"/>
    </xf>
    <xf numFmtId="164" fontId="7" fillId="0" borderId="22" xfId="0" applyNumberFormat="1" applyFont="1" applyFill="1" applyBorder="1" applyAlignment="1" applyProtection="1">
      <alignment vertical="center" wrapText="1"/>
      <protection locked="0"/>
    </xf>
    <xf numFmtId="164" fontId="7" fillId="0" borderId="24" xfId="0" applyNumberFormat="1" applyFont="1" applyFill="1" applyBorder="1" applyAlignment="1" applyProtection="1">
      <alignment vertical="center" wrapText="1"/>
      <protection locked="0"/>
    </xf>
    <xf numFmtId="3" fontId="12" fillId="0" borderId="19" xfId="0" applyNumberFormat="1" applyFont="1" applyFill="1" applyBorder="1" applyAlignment="1" applyProtection="1">
      <alignment vertical="center"/>
      <protection locked="0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49" fontId="12" fillId="0" borderId="47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7" xfId="0" applyNumberFormat="1" applyFont="1" applyFill="1" applyBorder="1" applyAlignment="1" applyProtection="1">
      <alignment vertical="center" wrapText="1"/>
      <protection locked="0"/>
    </xf>
    <xf numFmtId="3" fontId="12" fillId="0" borderId="47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 wrapText="1"/>
      <protection locked="0"/>
    </xf>
    <xf numFmtId="3" fontId="12" fillId="0" borderId="33" xfId="0" applyNumberFormat="1" applyFont="1" applyFill="1" applyBorder="1" applyAlignment="1" applyProtection="1">
      <alignment vertical="center" wrapText="1"/>
      <protection locked="0"/>
    </xf>
    <xf numFmtId="164" fontId="7" fillId="0" borderId="36" xfId="0" applyNumberFormat="1" applyFont="1" applyFill="1" applyBorder="1" applyAlignment="1" applyProtection="1">
      <alignment vertical="center" wrapText="1"/>
      <protection locked="0"/>
    </xf>
    <xf numFmtId="3" fontId="12" fillId="0" borderId="63" xfId="0" applyNumberFormat="1" applyFont="1" applyFill="1" applyBorder="1" applyAlignment="1" applyProtection="1">
      <alignment vertical="center"/>
      <protection locked="0"/>
    </xf>
    <xf numFmtId="164" fontId="7" fillId="0" borderId="7" xfId="0" applyNumberFormat="1" applyFont="1" applyFill="1" applyBorder="1" applyAlignment="1" applyProtection="1">
      <alignment vertical="center" wrapText="1"/>
      <protection locked="0"/>
    </xf>
    <xf numFmtId="3" fontId="12" fillId="0" borderId="9" xfId="0" applyNumberFormat="1" applyFont="1" applyFill="1" applyBorder="1" applyAlignment="1" applyProtection="1">
      <alignment vertical="center"/>
      <protection locked="0"/>
    </xf>
    <xf numFmtId="3" fontId="12" fillId="0" borderId="18" xfId="0" applyNumberFormat="1" applyFont="1" applyFill="1" applyBorder="1" applyAlignment="1" applyProtection="1">
      <alignment vertical="center"/>
      <protection locked="0"/>
    </xf>
    <xf numFmtId="164" fontId="19" fillId="0" borderId="64" xfId="0" applyNumberFormat="1" applyFont="1" applyFill="1" applyBorder="1" applyAlignment="1" applyProtection="1">
      <alignment vertical="center"/>
      <protection locked="0"/>
    </xf>
    <xf numFmtId="164" fontId="19" fillId="0" borderId="17" xfId="0" applyNumberFormat="1" applyFont="1" applyFill="1" applyBorder="1" applyAlignment="1" applyProtection="1">
      <alignment vertical="center"/>
      <protection locked="0"/>
    </xf>
    <xf numFmtId="49" fontId="1" fillId="0" borderId="49" xfId="0" applyNumberFormat="1" applyFont="1" applyFill="1" applyBorder="1" applyAlignment="1" applyProtection="1">
      <alignment horizontal="centerContinuous" vertical="center"/>
      <protection locked="0"/>
    </xf>
    <xf numFmtId="0" fontId="4" fillId="0" borderId="36" xfId="0" applyNumberFormat="1" applyFont="1" applyFill="1" applyBorder="1" applyAlignment="1" applyProtection="1">
      <alignment vertical="center" wrapText="1"/>
      <protection locked="0"/>
    </xf>
    <xf numFmtId="3" fontId="1" fillId="0" borderId="49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 wrapText="1"/>
      <protection locked="0"/>
    </xf>
    <xf numFmtId="164" fontId="4" fillId="0" borderId="29" xfId="0" applyNumberFormat="1" applyFont="1" applyFill="1" applyBorder="1" applyAlignment="1" applyProtection="1">
      <alignment vertical="center" wrapText="1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164" fontId="4" fillId="0" borderId="40" xfId="0" applyNumberFormat="1" applyFont="1" applyFill="1" applyBorder="1" applyAlignment="1" applyProtection="1">
      <alignment vertical="center" wrapText="1"/>
      <protection locked="0"/>
    </xf>
    <xf numFmtId="49" fontId="12" fillId="0" borderId="5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0" xfId="0" applyNumberFormat="1" applyFont="1" applyFill="1" applyBorder="1" applyAlignment="1" applyProtection="1">
      <alignment vertical="center" wrapText="1"/>
      <protection locked="0"/>
    </xf>
    <xf numFmtId="3" fontId="12" fillId="0" borderId="50" xfId="0" applyNumberFormat="1" applyFont="1" applyFill="1" applyBorder="1" applyAlignment="1" applyProtection="1">
      <alignment vertical="center" wrapText="1"/>
      <protection locked="0"/>
    </xf>
    <xf numFmtId="3" fontId="12" fillId="0" borderId="44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164" fontId="7" fillId="0" borderId="40" xfId="0" applyNumberFormat="1" applyFont="1" applyFill="1" applyBorder="1" applyAlignment="1" applyProtection="1">
      <alignment vertical="center" wrapText="1"/>
      <protection locked="0"/>
    </xf>
    <xf numFmtId="3" fontId="12" fillId="0" borderId="31" xfId="0" applyNumberFormat="1" applyFont="1" applyFill="1" applyBorder="1" applyAlignment="1" applyProtection="1">
      <alignment vertical="center" wrapText="1"/>
      <protection locked="0"/>
    </xf>
    <xf numFmtId="164" fontId="19" fillId="0" borderId="40" xfId="0" applyNumberFormat="1" applyFont="1" applyFill="1" applyBorder="1" applyAlignment="1" applyProtection="1">
      <alignment vertical="center"/>
      <protection locked="0"/>
    </xf>
    <xf numFmtId="49" fontId="1" fillId="0" borderId="47" xfId="0" applyNumberFormat="1" applyFont="1" applyFill="1" applyBorder="1" applyAlignment="1" applyProtection="1">
      <alignment horizontal="centerContinuous" vertical="center"/>
      <protection locked="0"/>
    </xf>
    <xf numFmtId="3" fontId="1" fillId="0" borderId="47" xfId="0" applyNumberFormat="1" applyFont="1" applyFill="1" applyBorder="1" applyAlignment="1" applyProtection="1">
      <alignment vertical="center" wrapText="1"/>
      <protection locked="0"/>
    </xf>
    <xf numFmtId="164" fontId="4" fillId="0" borderId="17" xfId="0" applyNumberFormat="1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1" fillId="0" borderId="5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5" xfId="0" applyNumberFormat="1" applyFont="1" applyFill="1" applyBorder="1" applyAlignment="1" applyProtection="1">
      <alignment vertical="center" wrapText="1"/>
      <protection locked="0"/>
    </xf>
    <xf numFmtId="3" fontId="1" fillId="0" borderId="50" xfId="0" applyNumberFormat="1" applyFont="1" applyFill="1" applyBorder="1" applyAlignment="1" applyProtection="1">
      <alignment vertical="center" wrapText="1"/>
      <protection locked="0"/>
    </xf>
    <xf numFmtId="3" fontId="1" fillId="0" borderId="41" xfId="0" applyNumberFormat="1" applyFont="1" applyFill="1" applyBorder="1" applyAlignment="1" applyProtection="1">
      <alignment vertical="center" wrapText="1"/>
      <protection locked="0"/>
    </xf>
    <xf numFmtId="164" fontId="4" fillId="0" borderId="39" xfId="0" applyNumberFormat="1" applyFont="1" applyFill="1" applyBorder="1" applyAlignment="1" applyProtection="1">
      <alignment vertical="center" wrapText="1"/>
      <protection locked="0"/>
    </xf>
    <xf numFmtId="49" fontId="12" fillId="0" borderId="49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6" xfId="0" applyNumberFormat="1" applyFont="1" applyFill="1" applyBorder="1" applyAlignment="1" applyProtection="1">
      <alignment vertical="center" wrapText="1"/>
      <protection locked="0"/>
    </xf>
    <xf numFmtId="3" fontId="12" fillId="0" borderId="49" xfId="0" applyNumberFormat="1" applyFont="1" applyFill="1" applyBorder="1" applyAlignment="1" applyProtection="1">
      <alignment vertical="center" wrapText="1"/>
      <protection locked="0"/>
    </xf>
    <xf numFmtId="164" fontId="19" fillId="0" borderId="34" xfId="0" applyNumberFormat="1" applyFont="1" applyFill="1" applyBorder="1" applyAlignment="1" applyProtection="1">
      <alignment vertical="center" wrapText="1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3" fontId="12" fillId="0" borderId="33" xfId="0" applyNumberFormat="1" applyFont="1" applyFill="1" applyBorder="1" applyAlignment="1" applyProtection="1">
      <alignment vertical="center"/>
      <protection locked="0"/>
    </xf>
    <xf numFmtId="164" fontId="19" fillId="0" borderId="36" xfId="0" applyNumberFormat="1" applyFont="1" applyFill="1" applyBorder="1" applyAlignment="1" applyProtection="1">
      <alignment vertical="center" wrapText="1"/>
      <protection locked="0"/>
    </xf>
    <xf numFmtId="49" fontId="1" fillId="0" borderId="71" xfId="0" applyNumberFormat="1" applyFont="1" applyFill="1" applyBorder="1" applyAlignment="1" applyProtection="1">
      <alignment horizontal="centerContinuous" vertical="center"/>
      <protection locked="0"/>
    </xf>
    <xf numFmtId="0" fontId="4" fillId="0" borderId="16" xfId="0" applyNumberFormat="1" applyFont="1" applyFill="1" applyBorder="1" applyAlignment="1" applyProtection="1">
      <alignment vertical="center" wrapText="1"/>
      <protection locked="0"/>
    </xf>
    <xf numFmtId="3" fontId="1" fillId="0" borderId="71" xfId="0" applyNumberFormat="1" applyFont="1" applyFill="1" applyBorder="1" applyAlignment="1" applyProtection="1">
      <alignment vertical="center" wrapText="1"/>
      <protection locked="0"/>
    </xf>
    <xf numFmtId="3" fontId="1" fillId="0" borderId="12" xfId="0" applyNumberFormat="1" applyFont="1" applyFill="1" applyBorder="1" applyAlignment="1" applyProtection="1">
      <alignment vertical="center" wrapText="1"/>
      <protection locked="0"/>
    </xf>
    <xf numFmtId="164" fontId="4" fillId="0" borderId="16" xfId="0" applyNumberFormat="1" applyFont="1" applyFill="1" applyBorder="1" applyAlignment="1" applyProtection="1">
      <alignment vertical="center" wrapText="1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164" fontId="4" fillId="0" borderId="17" xfId="0" applyNumberFormat="1" applyFont="1" applyFill="1" applyBorder="1" applyAlignment="1" applyProtection="1">
      <alignment vertical="center"/>
      <protection locked="0"/>
    </xf>
    <xf numFmtId="164" fontId="15" fillId="0" borderId="17" xfId="0" applyNumberFormat="1" applyFont="1" applyFill="1" applyBorder="1" applyAlignment="1" applyProtection="1">
      <alignment vertical="center"/>
      <protection locked="0"/>
    </xf>
    <xf numFmtId="3" fontId="1" fillId="0" borderId="44" xfId="0" applyNumberFormat="1" applyFont="1" applyFill="1" applyBorder="1" applyAlignment="1" applyProtection="1">
      <alignment vertical="center"/>
      <protection locked="0"/>
    </xf>
    <xf numFmtId="3" fontId="1" fillId="0" borderId="41" xfId="0" applyNumberFormat="1" applyFont="1" applyFill="1" applyBorder="1" applyAlignment="1" applyProtection="1">
      <alignment vertical="center"/>
      <protection locked="0"/>
    </xf>
    <xf numFmtId="164" fontId="4" fillId="0" borderId="40" xfId="0" applyNumberFormat="1" applyFont="1" applyFill="1" applyBorder="1" applyAlignment="1" applyProtection="1">
      <alignment vertical="center"/>
      <protection locked="0"/>
    </xf>
    <xf numFmtId="164" fontId="15" fillId="0" borderId="40" xfId="0" applyNumberFormat="1" applyFont="1" applyFill="1" applyBorder="1" applyAlignment="1" applyProtection="1">
      <alignment vertical="center"/>
      <protection locked="0"/>
    </xf>
    <xf numFmtId="164" fontId="4" fillId="0" borderId="36" xfId="0" applyNumberFormat="1" applyFont="1" applyFill="1" applyBorder="1" applyAlignment="1" applyProtection="1">
      <alignment vertical="center" wrapText="1"/>
      <protection locked="0"/>
    </xf>
    <xf numFmtId="0" fontId="4" fillId="0" borderId="40" xfId="0" applyNumberFormat="1" applyFont="1" applyFill="1" applyBorder="1" applyAlignment="1" applyProtection="1">
      <alignment vertical="center" wrapText="1"/>
      <protection locked="0"/>
    </xf>
    <xf numFmtId="0" fontId="1" fillId="0" borderId="17" xfId="0" applyNumberFormat="1" applyFont="1" applyFill="1" applyBorder="1" applyAlignment="1" applyProtection="1">
      <alignment vertical="center" wrapText="1"/>
      <protection locked="0"/>
    </xf>
    <xf numFmtId="49" fontId="12" fillId="0" borderId="5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4" xfId="0" applyNumberFormat="1" applyFont="1" applyFill="1" applyBorder="1" applyAlignment="1" applyProtection="1">
      <alignment vertical="center" wrapText="1"/>
      <protection locked="0"/>
    </xf>
    <xf numFmtId="3" fontId="12" fillId="0" borderId="52" xfId="0" applyNumberFormat="1" applyFont="1" applyFill="1" applyBorder="1" applyAlignment="1" applyProtection="1">
      <alignment vertical="center" wrapText="1"/>
      <protection locked="0"/>
    </xf>
    <xf numFmtId="3" fontId="12" fillId="0" borderId="21" xfId="0" applyNumberFormat="1" applyFont="1" applyFill="1" applyBorder="1" applyAlignment="1" applyProtection="1">
      <alignment vertical="center" wrapText="1"/>
      <protection locked="0"/>
    </xf>
    <xf numFmtId="3" fontId="12" fillId="0" borderId="19" xfId="0" applyNumberFormat="1" applyFont="1" applyFill="1" applyBorder="1" applyAlignment="1" applyProtection="1">
      <alignment vertical="center"/>
      <protection locked="0"/>
    </xf>
    <xf numFmtId="3" fontId="12" fillId="0" borderId="21" xfId="0" applyNumberFormat="1" applyFont="1" applyFill="1" applyBorder="1" applyAlignment="1" applyProtection="1">
      <alignment vertical="center"/>
      <protection locked="0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49" fontId="12" fillId="0" borderId="8" xfId="0" applyNumberFormat="1" applyFont="1" applyFill="1" applyBorder="1" applyAlignment="1" applyProtection="1">
      <alignment horizontal="centerContinuous" vertical="center"/>
      <protection locked="0"/>
    </xf>
    <xf numFmtId="0" fontId="12" fillId="0" borderId="7" xfId="0" applyNumberFormat="1" applyFont="1" applyFill="1" applyBorder="1" applyAlignment="1" applyProtection="1">
      <alignment vertical="center" wrapText="1"/>
      <protection locked="0"/>
    </xf>
    <xf numFmtId="3" fontId="12" fillId="0" borderId="8" xfId="0" applyNumberFormat="1" applyFont="1" applyFill="1" applyBorder="1" applyAlignment="1" applyProtection="1">
      <alignment vertical="center" wrapText="1"/>
      <protection locked="0"/>
    </xf>
    <xf numFmtId="3" fontId="12" fillId="0" borderId="27" xfId="0" applyNumberFormat="1" applyFont="1" applyFill="1" applyBorder="1" applyAlignment="1" applyProtection="1">
      <alignment vertical="center" wrapText="1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3" fontId="12" fillId="0" borderId="27" xfId="0" applyNumberFormat="1" applyFont="1" applyFill="1" applyBorder="1" applyAlignment="1" applyProtection="1">
      <alignment vertical="center"/>
      <protection locked="0"/>
    </xf>
    <xf numFmtId="164" fontId="19" fillId="0" borderId="7" xfId="0" applyNumberFormat="1" applyFont="1" applyFill="1" applyBorder="1" applyAlignment="1" applyProtection="1">
      <alignment vertical="center"/>
      <protection locked="0"/>
    </xf>
    <xf numFmtId="164" fontId="7" fillId="0" borderId="7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4" fontId="4" fillId="0" borderId="16" xfId="0" applyNumberFormat="1" applyFont="1" applyFill="1" applyBorder="1" applyAlignment="1" applyProtection="1">
      <alignment vertical="center"/>
      <protection locked="0"/>
    </xf>
    <xf numFmtId="164" fontId="15" fillId="0" borderId="16" xfId="0" applyNumberFormat="1" applyFont="1" applyFill="1" applyBorder="1" applyAlignment="1" applyProtection="1">
      <alignment vertical="center"/>
      <protection locked="0"/>
    </xf>
    <xf numFmtId="0" fontId="12" fillId="0" borderId="24" xfId="0" applyNumberFormat="1" applyFont="1" applyFill="1" applyBorder="1" applyAlignment="1" applyProtection="1">
      <alignment vertical="center" wrapText="1"/>
      <protection locked="0"/>
    </xf>
    <xf numFmtId="164" fontId="19" fillId="0" borderId="24" xfId="0" applyNumberFormat="1" applyFont="1" applyFill="1" applyBorder="1" applyAlignment="1" applyProtection="1">
      <alignment vertical="center" wrapText="1"/>
      <protection locked="0"/>
    </xf>
    <xf numFmtId="3" fontId="12" fillId="0" borderId="50" xfId="0" applyNumberFormat="1" applyFont="1" applyFill="1" applyBorder="1" applyAlignment="1" applyProtection="1">
      <alignment vertical="center"/>
      <protection locked="0"/>
    </xf>
    <xf numFmtId="3" fontId="12" fillId="0" borderId="44" xfId="0" applyNumberFormat="1" applyFont="1" applyFill="1" applyBorder="1" applyAlignment="1" applyProtection="1">
      <alignment vertical="center" wrapText="1"/>
      <protection locked="0"/>
    </xf>
    <xf numFmtId="164" fontId="19" fillId="0" borderId="40" xfId="0" applyNumberFormat="1" applyFont="1" applyFill="1" applyBorder="1" applyAlignment="1" applyProtection="1">
      <alignment vertical="center" wrapText="1"/>
      <protection locked="0"/>
    </xf>
    <xf numFmtId="3" fontId="1" fillId="0" borderId="49" xfId="0" applyNumberFormat="1" applyFont="1" applyFill="1" applyBorder="1" applyAlignment="1" applyProtection="1">
      <alignment vertical="center" wrapText="1"/>
      <protection locked="0"/>
    </xf>
    <xf numFmtId="164" fontId="15" fillId="0" borderId="36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0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6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33" xfId="0" applyNumberFormat="1" applyFont="1" applyFill="1" applyBorder="1" applyAlignment="1" applyProtection="1">
      <alignment vertical="center" wrapText="1"/>
      <protection locked="0"/>
    </xf>
    <xf numFmtId="164" fontId="12" fillId="0" borderId="34" xfId="0" applyNumberFormat="1" applyFont="1" applyFill="1" applyBorder="1" applyAlignment="1" applyProtection="1">
      <alignment vertical="center" wrapText="1"/>
      <protection locked="0"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/>
    </xf>
    <xf numFmtId="0" fontId="4" fillId="0" borderId="3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34" xfId="0" applyNumberFormat="1" applyFont="1" applyFill="1" applyBorder="1" applyAlignment="1" applyProtection="1">
      <alignment vertical="center" wrapText="1"/>
      <protection locked="0"/>
    </xf>
    <xf numFmtId="49" fontId="12" fillId="0" borderId="57" xfId="0" applyNumberFormat="1" applyFont="1" applyFill="1" applyBorder="1" applyAlignment="1" applyProtection="1">
      <alignment horizontal="centerContinuous" vertical="center"/>
      <protection locked="0"/>
    </xf>
    <xf numFmtId="0" fontId="12" fillId="0" borderId="56" xfId="0" applyNumberFormat="1" applyFont="1" applyFill="1" applyBorder="1" applyAlignment="1" applyProtection="1">
      <alignment vertical="center" wrapText="1"/>
      <protection locked="0"/>
    </xf>
    <xf numFmtId="3" fontId="12" fillId="0" borderId="57" xfId="0" applyNumberFormat="1" applyFont="1" applyFill="1" applyBorder="1" applyAlignment="1" applyProtection="1">
      <alignment vertical="center" wrapText="1"/>
      <protection locked="0"/>
    </xf>
    <xf numFmtId="3" fontId="12" fillId="0" borderId="38" xfId="0" applyNumberFormat="1" applyFont="1" applyFill="1" applyBorder="1" applyAlignment="1" applyProtection="1">
      <alignment vertical="center" wrapText="1"/>
      <protection locked="0"/>
    </xf>
    <xf numFmtId="164" fontId="7" fillId="0" borderId="53" xfId="0" applyNumberFormat="1" applyFont="1" applyFill="1" applyBorder="1" applyAlignment="1" applyProtection="1">
      <alignment vertical="center" wrapText="1"/>
      <protection locked="0"/>
    </xf>
    <xf numFmtId="164" fontId="7" fillId="0" borderId="56" xfId="0" applyNumberFormat="1" applyFont="1" applyFill="1" applyBorder="1" applyAlignment="1" applyProtection="1">
      <alignment vertical="center" wrapText="1"/>
      <protection locked="0"/>
    </xf>
    <xf numFmtId="3" fontId="12" fillId="0" borderId="42" xfId="0" applyNumberFormat="1" applyFont="1" applyFill="1" applyBorder="1" applyAlignment="1" applyProtection="1">
      <alignment vertical="center"/>
      <protection locked="0"/>
    </xf>
    <xf numFmtId="3" fontId="12" fillId="0" borderId="38" xfId="0" applyNumberFormat="1" applyFont="1" applyFill="1" applyBorder="1" applyAlignment="1" applyProtection="1">
      <alignment vertical="center"/>
      <protection locked="0"/>
    </xf>
    <xf numFmtId="164" fontId="19" fillId="0" borderId="56" xfId="0" applyNumberFormat="1" applyFont="1" applyFill="1" applyBorder="1" applyAlignment="1" applyProtection="1">
      <alignment vertical="center"/>
      <protection locked="0"/>
    </xf>
    <xf numFmtId="3" fontId="12" fillId="0" borderId="42" xfId="0" applyNumberFormat="1" applyFont="1" applyFill="1" applyBorder="1" applyAlignment="1" applyProtection="1">
      <alignment vertical="center" wrapText="1"/>
      <protection locked="0"/>
    </xf>
    <xf numFmtId="164" fontId="19" fillId="0" borderId="56" xfId="0" applyNumberFormat="1" applyFont="1" applyFill="1" applyBorder="1" applyAlignment="1" applyProtection="1">
      <alignment vertical="center" wrapText="1"/>
      <protection locked="0"/>
    </xf>
    <xf numFmtId="3" fontId="12" fillId="0" borderId="25" xfId="0" applyNumberFormat="1" applyFont="1" applyFill="1" applyBorder="1" applyAlignment="1" applyProtection="1">
      <alignment vertical="center" wrapText="1"/>
      <protection locked="0"/>
    </xf>
    <xf numFmtId="3" fontId="12" fillId="0" borderId="51" xfId="0" applyNumberFormat="1" applyFont="1" applyFill="1" applyBorder="1" applyAlignment="1" applyProtection="1">
      <alignment vertical="center" wrapText="1"/>
      <protection locked="0"/>
    </xf>
    <xf numFmtId="164" fontId="7" fillId="0" borderId="39" xfId="0" applyNumberFormat="1" applyFont="1" applyFill="1" applyBorder="1" applyAlignment="1" applyProtection="1">
      <alignment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6" xfId="0" applyNumberFormat="1" applyFont="1" applyFill="1" applyBorder="1" applyAlignment="1" applyProtection="1">
      <alignment vertical="center" wrapText="1"/>
      <protection locked="0"/>
    </xf>
    <xf numFmtId="164" fontId="7" fillId="0" borderId="34" xfId="0" applyNumberFormat="1" applyFont="1" applyFill="1" applyBorder="1" applyAlignment="1" applyProtection="1">
      <alignment vertical="center" wrapText="1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0" fontId="4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0" xfId="0" applyNumberFormat="1" applyFont="1" applyFill="1" applyBorder="1" applyAlignment="1" applyProtection="1">
      <alignment vertical="center" wrapText="1"/>
      <protection locked="0"/>
    </xf>
    <xf numFmtId="164" fontId="4" fillId="0" borderId="13" xfId="0" applyNumberFormat="1" applyFont="1" applyFill="1" applyBorder="1" applyAlignment="1" applyProtection="1">
      <alignment vertical="center" wrapText="1"/>
      <protection locked="0"/>
    </xf>
    <xf numFmtId="3" fontId="12" fillId="0" borderId="19" xfId="0" applyNumberFormat="1" applyFont="1" applyFill="1" applyBorder="1" applyAlignment="1" applyProtection="1">
      <alignment vertical="center" wrapText="1"/>
      <protection locked="0"/>
    </xf>
    <xf numFmtId="0" fontId="1" fillId="0" borderId="40" xfId="0" applyNumberFormat="1" applyFont="1" applyFill="1" applyBorder="1" applyAlignment="1" applyProtection="1">
      <alignment vertical="center" wrapText="1"/>
      <protection locked="0"/>
    </xf>
    <xf numFmtId="3" fontId="1" fillId="0" borderId="9" xfId="0" applyNumberFormat="1" applyFont="1" applyFill="1" applyBorder="1" applyAlignment="1" applyProtection="1">
      <alignment vertical="center" wrapText="1"/>
      <protection locked="0"/>
    </xf>
    <xf numFmtId="3" fontId="1" fillId="0" borderId="44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Alignment="1">
      <alignment/>
    </xf>
    <xf numFmtId="0" fontId="1" fillId="0" borderId="16" xfId="0" applyNumberFormat="1" applyFont="1" applyFill="1" applyBorder="1" applyAlignment="1" applyProtection="1">
      <alignment vertical="center" wrapText="1"/>
      <protection locked="0"/>
    </xf>
    <xf numFmtId="3" fontId="1" fillId="0" borderId="11" xfId="0" applyNumberFormat="1" applyFont="1" applyFill="1" applyBorder="1" applyAlignment="1" applyProtection="1">
      <alignment vertical="center" wrapText="1"/>
      <protection locked="0"/>
    </xf>
    <xf numFmtId="49" fontId="12" fillId="0" borderId="57" xfId="0" applyNumberFormat="1" applyFont="1" applyFill="1" applyBorder="1" applyAlignment="1" applyProtection="1">
      <alignment horizontal="centerContinuous" vertical="center"/>
      <protection locked="0"/>
    </xf>
    <xf numFmtId="0" fontId="7" fillId="0" borderId="56" xfId="0" applyNumberFormat="1" applyFont="1" applyFill="1" applyBorder="1" applyAlignment="1" applyProtection="1">
      <alignment vertical="center" wrapText="1"/>
      <protection locked="0"/>
    </xf>
    <xf numFmtId="3" fontId="12" fillId="0" borderId="57" xfId="0" applyNumberFormat="1" applyFont="1" applyFill="1" applyBorder="1" applyAlignment="1" applyProtection="1">
      <alignment vertical="center" wrapText="1"/>
      <protection locked="0"/>
    </xf>
    <xf numFmtId="3" fontId="12" fillId="0" borderId="38" xfId="0" applyNumberFormat="1" applyFont="1" applyFill="1" applyBorder="1" applyAlignment="1" applyProtection="1">
      <alignment vertical="center" wrapText="1"/>
      <protection locked="0"/>
    </xf>
    <xf numFmtId="164" fontId="12" fillId="0" borderId="56" xfId="0" applyNumberFormat="1" applyFont="1" applyFill="1" applyBorder="1" applyAlignment="1" applyProtection="1">
      <alignment vertical="center"/>
      <protection locked="0"/>
    </xf>
    <xf numFmtId="3" fontId="12" fillId="0" borderId="42" xfId="0" applyNumberFormat="1" applyFont="1" applyFill="1" applyBorder="1" applyAlignment="1" applyProtection="1">
      <alignment vertical="center" wrapText="1"/>
      <protection locked="0"/>
    </xf>
    <xf numFmtId="3" fontId="12" fillId="0" borderId="38" xfId="0" applyNumberFormat="1" applyFont="1" applyFill="1" applyBorder="1" applyAlignment="1" applyProtection="1">
      <alignment vertical="center"/>
      <protection locked="0"/>
    </xf>
    <xf numFmtId="164" fontId="12" fillId="0" borderId="56" xfId="0" applyNumberFormat="1" applyFont="1" applyFill="1" applyBorder="1" applyAlignment="1" applyProtection="1">
      <alignment vertical="center" wrapText="1"/>
      <protection locked="0"/>
    </xf>
    <xf numFmtId="3" fontId="12" fillId="0" borderId="42" xfId="0" applyNumberFormat="1" applyFont="1" applyFill="1" applyBorder="1" applyAlignment="1" applyProtection="1">
      <alignment vertical="center"/>
      <protection locked="0"/>
    </xf>
    <xf numFmtId="164" fontId="19" fillId="0" borderId="56" xfId="0" applyNumberFormat="1" applyFont="1" applyFill="1" applyBorder="1" applyAlignment="1" applyProtection="1">
      <alignment vertical="center"/>
      <protection locked="0"/>
    </xf>
    <xf numFmtId="164" fontId="19" fillId="0" borderId="56" xfId="0" applyNumberFormat="1" applyFont="1" applyFill="1" applyBorder="1" applyAlignment="1" applyProtection="1">
      <alignment vertical="center" wrapText="1"/>
      <protection locked="0"/>
    </xf>
    <xf numFmtId="49" fontId="12" fillId="0" borderId="5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0" xfId="0" applyNumberFormat="1" applyFont="1" applyFill="1" applyBorder="1" applyAlignment="1" applyProtection="1">
      <alignment vertical="center" wrapText="1"/>
      <protection locked="0"/>
    </xf>
    <xf numFmtId="3" fontId="12" fillId="0" borderId="50" xfId="0" applyNumberFormat="1" applyFont="1" applyFill="1" applyBorder="1" applyAlignment="1" applyProtection="1">
      <alignment vertical="center" wrapText="1"/>
      <protection locked="0"/>
    </xf>
    <xf numFmtId="3" fontId="12" fillId="0" borderId="41" xfId="0" applyNumberFormat="1" applyFont="1" applyFill="1" applyBorder="1" applyAlignment="1" applyProtection="1">
      <alignment vertical="center" wrapText="1"/>
      <protection locked="0"/>
    </xf>
    <xf numFmtId="164" fontId="12" fillId="0" borderId="40" xfId="0" applyNumberFormat="1" applyFont="1" applyFill="1" applyBorder="1" applyAlignment="1" applyProtection="1">
      <alignment vertical="center"/>
      <protection locked="0"/>
    </xf>
    <xf numFmtId="3" fontId="12" fillId="0" borderId="44" xfId="0" applyNumberFormat="1" applyFont="1" applyFill="1" applyBorder="1" applyAlignment="1" applyProtection="1">
      <alignment vertical="center" wrapText="1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164" fontId="12" fillId="0" borderId="40" xfId="0" applyNumberFormat="1" applyFont="1" applyFill="1" applyBorder="1" applyAlignment="1" applyProtection="1">
      <alignment vertical="center" wrapText="1"/>
      <protection locked="0"/>
    </xf>
    <xf numFmtId="3" fontId="12" fillId="0" borderId="44" xfId="0" applyNumberFormat="1" applyFont="1" applyFill="1" applyBorder="1" applyAlignment="1" applyProtection="1">
      <alignment vertical="center"/>
      <protection locked="0"/>
    </xf>
    <xf numFmtId="164" fontId="19" fillId="0" borderId="40" xfId="0" applyNumberFormat="1" applyFont="1" applyFill="1" applyBorder="1" applyAlignment="1" applyProtection="1">
      <alignment vertical="center"/>
      <protection locked="0"/>
    </xf>
    <xf numFmtId="164" fontId="19" fillId="0" borderId="40" xfId="0" applyNumberFormat="1" applyFont="1" applyFill="1" applyBorder="1" applyAlignment="1" applyProtection="1">
      <alignment vertical="center" wrapText="1"/>
      <protection locked="0"/>
    </xf>
    <xf numFmtId="49" fontId="12" fillId="0" borderId="49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6" xfId="0" applyNumberFormat="1" applyFont="1" applyFill="1" applyBorder="1" applyAlignment="1" applyProtection="1">
      <alignment vertical="center" wrapText="1"/>
      <protection locked="0"/>
    </xf>
    <xf numFmtId="3" fontId="12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36" xfId="0" applyNumberFormat="1" applyFont="1" applyFill="1" applyBorder="1" applyAlignment="1" applyProtection="1">
      <alignment vertical="center"/>
      <protection locked="0"/>
    </xf>
    <xf numFmtId="3" fontId="12" fillId="0" borderId="31" xfId="0" applyNumberFormat="1" applyFont="1" applyFill="1" applyBorder="1" applyAlignment="1" applyProtection="1">
      <alignment vertical="center" wrapText="1"/>
      <protection locked="0"/>
    </xf>
    <xf numFmtId="3" fontId="12" fillId="0" borderId="33" xfId="0" applyNumberFormat="1" applyFont="1" applyFill="1" applyBorder="1" applyAlignment="1" applyProtection="1">
      <alignment vertical="center"/>
      <protection locked="0"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164" fontId="19" fillId="0" borderId="36" xfId="0" applyNumberFormat="1" applyFont="1" applyFill="1" applyBorder="1" applyAlignment="1" applyProtection="1">
      <alignment vertical="center"/>
      <protection locked="0"/>
    </xf>
    <xf numFmtId="164" fontId="19" fillId="0" borderId="36" xfId="0" applyNumberFormat="1" applyFont="1" applyFill="1" applyBorder="1" applyAlignment="1" applyProtection="1">
      <alignment vertical="center" wrapText="1"/>
      <protection locked="0"/>
    </xf>
    <xf numFmtId="3" fontId="12" fillId="0" borderId="52" xfId="0" applyNumberFormat="1" applyFont="1" applyFill="1" applyBorder="1" applyAlignment="1" applyProtection="1">
      <alignment vertical="center" wrapText="1"/>
      <protection locked="0"/>
    </xf>
    <xf numFmtId="164" fontId="4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/>
    </xf>
    <xf numFmtId="0" fontId="0" fillId="0" borderId="47" xfId="0" applyBorder="1" applyAlignment="1">
      <alignment/>
    </xf>
    <xf numFmtId="164" fontId="7" fillId="0" borderId="36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vertical="center" wrapText="1"/>
      <protection locked="0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0" fontId="1" fillId="0" borderId="36" xfId="0" applyNumberFormat="1" applyFont="1" applyFill="1" applyBorder="1" applyAlignment="1" applyProtection="1">
      <alignment vertical="center" wrapText="1"/>
      <protection locked="0"/>
    </xf>
    <xf numFmtId="49" fontId="7" fillId="0" borderId="49" xfId="0" applyNumberFormat="1" applyFont="1" applyFill="1" applyBorder="1" applyAlignment="1" applyProtection="1">
      <alignment horizontal="centerContinuous" vertical="center"/>
      <protection locked="0"/>
    </xf>
    <xf numFmtId="0" fontId="7" fillId="0" borderId="36" xfId="0" applyNumberFormat="1" applyFont="1" applyFill="1" applyBorder="1" applyAlignment="1" applyProtection="1">
      <alignment vertical="center" wrapText="1"/>
      <protection locked="0"/>
    </xf>
    <xf numFmtId="3" fontId="12" fillId="0" borderId="49" xfId="0" applyNumberFormat="1" applyFont="1" applyFill="1" applyBorder="1" applyAlignment="1" applyProtection="1">
      <alignment vertical="center"/>
      <protection locked="0"/>
    </xf>
    <xf numFmtId="3" fontId="1" fillId="0" borderId="41" xfId="0" applyNumberFormat="1" applyFont="1" applyFill="1" applyBorder="1" applyAlignment="1" applyProtection="1">
      <alignment vertical="center" wrapText="1"/>
      <protection locked="0"/>
    </xf>
    <xf numFmtId="164" fontId="7" fillId="0" borderId="40" xfId="0" applyNumberFormat="1" applyFont="1" applyFill="1" applyBorder="1" applyAlignment="1" applyProtection="1">
      <alignment vertical="center" wrapText="1"/>
      <protection locked="0"/>
    </xf>
    <xf numFmtId="164" fontId="4" fillId="0" borderId="36" xfId="0" applyNumberFormat="1" applyFont="1" applyFill="1" applyBorder="1" applyAlignment="1" applyProtection="1">
      <alignment vertical="center" wrapText="1"/>
      <protection locked="0"/>
    </xf>
    <xf numFmtId="49" fontId="12" fillId="0" borderId="8" xfId="0" applyNumberFormat="1" applyFont="1" applyFill="1" applyBorder="1" applyAlignment="1" applyProtection="1">
      <alignment horizontal="centerContinuous" vertical="center"/>
      <protection locked="0"/>
    </xf>
    <xf numFmtId="0" fontId="12" fillId="0" borderId="7" xfId="0" applyNumberFormat="1" applyFont="1" applyFill="1" applyBorder="1" applyAlignment="1" applyProtection="1">
      <alignment vertical="center" wrapText="1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3" fontId="12" fillId="0" borderId="27" xfId="0" applyNumberFormat="1" applyFont="1" applyFill="1" applyBorder="1" applyAlignment="1" applyProtection="1">
      <alignment vertical="center" wrapText="1"/>
      <protection locked="0"/>
    </xf>
    <xf numFmtId="164" fontId="19" fillId="0" borderId="7" xfId="0" applyNumberFormat="1" applyFont="1" applyFill="1" applyBorder="1" applyAlignment="1" applyProtection="1">
      <alignment vertical="center"/>
      <protection locked="0"/>
    </xf>
    <xf numFmtId="3" fontId="12" fillId="0" borderId="8" xfId="0" applyNumberFormat="1" applyFont="1" applyFill="1" applyBorder="1" applyAlignment="1" applyProtection="1">
      <alignment vertical="center"/>
      <protection locked="0"/>
    </xf>
    <xf numFmtId="164" fontId="19" fillId="0" borderId="7" xfId="0" applyNumberFormat="1" applyFont="1" applyFill="1" applyBorder="1" applyAlignment="1" applyProtection="1">
      <alignment vertical="center" wrapText="1"/>
      <protection locked="0"/>
    </xf>
    <xf numFmtId="164" fontId="7" fillId="0" borderId="29" xfId="0" applyNumberFormat="1" applyFont="1" applyFill="1" applyBorder="1" applyAlignment="1" applyProtection="1">
      <alignment vertical="center" wrapText="1"/>
      <protection locked="0"/>
    </xf>
    <xf numFmtId="164" fontId="7" fillId="0" borderId="17" xfId="0" applyNumberFormat="1" applyFont="1" applyFill="1" applyBorder="1" applyAlignment="1" applyProtection="1">
      <alignment vertical="center" wrapText="1"/>
      <protection locked="0"/>
    </xf>
    <xf numFmtId="3" fontId="12" fillId="0" borderId="48" xfId="0" applyNumberFormat="1" applyFont="1" applyFill="1" applyBorder="1" applyAlignment="1" applyProtection="1">
      <alignment vertical="center" wrapText="1"/>
      <protection locked="0"/>
    </xf>
    <xf numFmtId="3" fontId="1" fillId="0" borderId="48" xfId="0" applyNumberFormat="1" applyFont="1" applyFill="1" applyBorder="1" applyAlignment="1" applyProtection="1">
      <alignment vertical="center" wrapText="1"/>
      <protection locked="0"/>
    </xf>
    <xf numFmtId="164" fontId="25" fillId="0" borderId="36" xfId="0" applyNumberFormat="1" applyFont="1" applyFill="1" applyBorder="1" applyAlignment="1" applyProtection="1">
      <alignment vertical="center" wrapText="1"/>
      <protection locked="0"/>
    </xf>
    <xf numFmtId="164" fontId="26" fillId="0" borderId="17" xfId="0" applyNumberFormat="1" applyFont="1" applyFill="1" applyBorder="1" applyAlignment="1" applyProtection="1">
      <alignment vertical="center" wrapText="1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4" fontId="19" fillId="0" borderId="16" xfId="0" applyNumberFormat="1" applyFont="1" applyFill="1" applyBorder="1" applyAlignment="1" applyProtection="1">
      <alignment vertical="center"/>
      <protection locked="0"/>
    </xf>
    <xf numFmtId="164" fontId="19" fillId="0" borderId="16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164" fontId="15" fillId="0" borderId="36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1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40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3" fontId="12" fillId="0" borderId="8" xfId="0" applyNumberFormat="1" applyFont="1" applyFill="1" applyBorder="1" applyAlignment="1" applyProtection="1">
      <alignment vertical="center" wrapText="1"/>
      <protection locked="0"/>
    </xf>
    <xf numFmtId="3" fontId="1" fillId="0" borderId="33" xfId="0" applyNumberFormat="1" applyFont="1" applyFill="1" applyBorder="1" applyAlignment="1" applyProtection="1">
      <alignment vertical="center" wrapText="1"/>
      <protection locked="0"/>
    </xf>
    <xf numFmtId="0" fontId="12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" fillId="0" borderId="38" xfId="0" applyNumberFormat="1" applyFont="1" applyFill="1" applyBorder="1" applyAlignment="1" applyProtection="1">
      <alignment vertical="center" wrapText="1"/>
      <protection locked="0"/>
    </xf>
    <xf numFmtId="164" fontId="1" fillId="0" borderId="36" xfId="0" applyNumberFormat="1" applyFont="1" applyFill="1" applyBorder="1" applyAlignment="1" applyProtection="1">
      <alignment vertical="center" wrapText="1"/>
      <protection locked="0"/>
    </xf>
    <xf numFmtId="3" fontId="1" fillId="0" borderId="42" xfId="0" applyNumberFormat="1" applyFont="1" applyFill="1" applyBorder="1" applyAlignment="1" applyProtection="1">
      <alignment vertical="center"/>
      <protection locked="0"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44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5" xfId="0" applyNumberFormat="1" applyFont="1" applyFill="1" applyBorder="1" applyAlignment="1" applyProtection="1">
      <alignment vertical="center" wrapText="1"/>
      <protection locked="0"/>
    </xf>
    <xf numFmtId="3" fontId="12" fillId="0" borderId="18" xfId="0" applyNumberFormat="1" applyFont="1" applyFill="1" applyBorder="1" applyAlignment="1" applyProtection="1">
      <alignment vertical="center" wrapText="1"/>
      <protection locked="0"/>
    </xf>
    <xf numFmtId="0" fontId="12" fillId="0" borderId="32" xfId="0" applyNumberFormat="1" applyFont="1" applyFill="1" applyBorder="1" applyAlignment="1" applyProtection="1">
      <alignment vertical="center" wrapText="1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49" fontId="1" fillId="0" borderId="44" xfId="0" applyNumberFormat="1" applyFont="1" applyFill="1" applyBorder="1" applyAlignment="1" applyProtection="1">
      <alignment horizontal="centerContinuous" vertical="center"/>
      <protection locked="0"/>
    </xf>
    <xf numFmtId="3" fontId="12" fillId="0" borderId="9" xfId="0" applyNumberFormat="1" applyFont="1" applyFill="1" applyBorder="1" applyAlignment="1" applyProtection="1">
      <alignment vertical="center"/>
      <protection locked="0"/>
    </xf>
    <xf numFmtId="3" fontId="12" fillId="0" borderId="18" xfId="0" applyNumberFormat="1" applyFont="1" applyFill="1" applyBorder="1" applyAlignment="1" applyProtection="1">
      <alignment vertical="center"/>
      <protection locked="0"/>
    </xf>
    <xf numFmtId="3" fontId="12" fillId="0" borderId="35" xfId="0" applyNumberFormat="1" applyFont="1" applyFill="1" applyBorder="1" applyAlignment="1" applyProtection="1">
      <alignment vertical="center"/>
      <protection locked="0"/>
    </xf>
    <xf numFmtId="3" fontId="1" fillId="0" borderId="55" xfId="0" applyNumberFormat="1" applyFont="1" applyFill="1" applyBorder="1" applyAlignment="1" applyProtection="1">
      <alignment vertical="center" wrapText="1"/>
      <protection locked="0"/>
    </xf>
    <xf numFmtId="0" fontId="7" fillId="0" borderId="32" xfId="0" applyNumberFormat="1" applyFont="1" applyFill="1" applyBorder="1" applyAlignment="1" applyProtection="1">
      <alignment vertical="center" wrapText="1"/>
      <protection locked="0"/>
    </xf>
    <xf numFmtId="49" fontId="1" fillId="0" borderId="31" xfId="0" applyNumberFormat="1" applyFont="1" applyFill="1" applyBorder="1" applyAlignment="1" applyProtection="1">
      <alignment horizontal="centerContinuous" vertical="center"/>
      <protection locked="0"/>
    </xf>
    <xf numFmtId="0" fontId="4" fillId="0" borderId="32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vertical="center" wrapText="1"/>
      <protection locked="0"/>
    </xf>
    <xf numFmtId="3" fontId="1" fillId="0" borderId="71" xfId="0" applyNumberFormat="1" applyFont="1" applyFill="1" applyBorder="1" applyAlignment="1" applyProtection="1">
      <alignment vertical="center"/>
      <protection locked="0"/>
    </xf>
    <xf numFmtId="164" fontId="4" fillId="0" borderId="36" xfId="0" applyNumberFormat="1" applyFont="1" applyFill="1" applyBorder="1" applyAlignment="1" applyProtection="1">
      <alignment vertical="center"/>
      <protection locked="0"/>
    </xf>
    <xf numFmtId="0" fontId="1" fillId="0" borderId="45" xfId="0" applyNumberFormat="1" applyFont="1" applyFill="1" applyBorder="1" applyAlignment="1" applyProtection="1">
      <alignment vertical="center" wrapText="1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NumberFormat="1" applyFont="1" applyFill="1" applyBorder="1" applyAlignment="1" applyProtection="1">
      <alignment vertical="center" wrapText="1"/>
      <protection locked="0"/>
    </xf>
    <xf numFmtId="3" fontId="28" fillId="0" borderId="31" xfId="0" applyNumberFormat="1" applyFont="1" applyBorder="1" applyAlignment="1">
      <alignment vertical="center"/>
    </xf>
    <xf numFmtId="3" fontId="28" fillId="0" borderId="33" xfId="0" applyNumberFormat="1" applyFont="1" applyBorder="1" applyAlignment="1">
      <alignment vertical="center"/>
    </xf>
    <xf numFmtId="164" fontId="29" fillId="0" borderId="36" xfId="0" applyNumberFormat="1" applyFont="1" applyBorder="1" applyAlignment="1">
      <alignment vertical="center"/>
    </xf>
    <xf numFmtId="164" fontId="30" fillId="0" borderId="36" xfId="0" applyNumberFormat="1" applyFont="1" applyBorder="1" applyAlignment="1">
      <alignment vertical="center"/>
    </xf>
    <xf numFmtId="3" fontId="28" fillId="0" borderId="9" xfId="0" applyNumberFormat="1" applyFont="1" applyBorder="1" applyAlignment="1">
      <alignment vertical="center"/>
    </xf>
    <xf numFmtId="3" fontId="28" fillId="0" borderId="18" xfId="0" applyNumberFormat="1" applyFont="1" applyBorder="1" applyAlignment="1">
      <alignment vertical="center"/>
    </xf>
    <xf numFmtId="164" fontId="29" fillId="0" borderId="17" xfId="0" applyNumberFormat="1" applyFont="1" applyBorder="1" applyAlignment="1">
      <alignment vertical="center"/>
    </xf>
    <xf numFmtId="164" fontId="30" fillId="0" borderId="17" xfId="0" applyNumberFormat="1" applyFont="1" applyBorder="1" applyAlignment="1">
      <alignment vertical="center"/>
    </xf>
    <xf numFmtId="3" fontId="31" fillId="0" borderId="31" xfId="0" applyNumberFormat="1" applyFont="1" applyBorder="1" applyAlignment="1">
      <alignment vertical="center"/>
    </xf>
    <xf numFmtId="3" fontId="31" fillId="0" borderId="33" xfId="0" applyNumberFormat="1" applyFont="1" applyBorder="1" applyAlignment="1">
      <alignment vertical="center"/>
    </xf>
    <xf numFmtId="164" fontId="31" fillId="0" borderId="36" xfId="0" applyNumberFormat="1" applyFont="1" applyBorder="1" applyAlignment="1">
      <alignment vertical="center"/>
    </xf>
    <xf numFmtId="164" fontId="32" fillId="0" borderId="36" xfId="0" applyNumberFormat="1" applyFont="1" applyBorder="1" applyAlignment="1">
      <alignment vertical="center"/>
    </xf>
    <xf numFmtId="0" fontId="12" fillId="0" borderId="33" xfId="0" applyNumberFormat="1" applyFont="1" applyFill="1" applyBorder="1" applyAlignment="1" applyProtection="1">
      <alignment vertical="center" wrapText="1"/>
      <protection locked="0"/>
    </xf>
    <xf numFmtId="3" fontId="31" fillId="0" borderId="31" xfId="0" applyNumberFormat="1" applyFont="1" applyBorder="1" applyAlignment="1">
      <alignment vertical="center"/>
    </xf>
    <xf numFmtId="3" fontId="31" fillId="0" borderId="33" xfId="0" applyNumberFormat="1" applyFont="1" applyBorder="1" applyAlignment="1">
      <alignment vertical="center"/>
    </xf>
    <xf numFmtId="164" fontId="29" fillId="0" borderId="36" xfId="0" applyNumberFormat="1" applyFont="1" applyBorder="1" applyAlignment="1">
      <alignment vertical="center"/>
    </xf>
    <xf numFmtId="164" fontId="15" fillId="0" borderId="24" xfId="0" applyNumberFormat="1" applyFont="1" applyFill="1" applyBorder="1" applyAlignment="1" applyProtection="1">
      <alignment vertical="center"/>
      <protection locked="0"/>
    </xf>
    <xf numFmtId="49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6" xfId="0" applyNumberFormat="1" applyFont="1" applyFill="1" applyBorder="1" applyAlignment="1" applyProtection="1">
      <alignment vertical="center" wrapText="1"/>
      <protection locked="0"/>
    </xf>
    <xf numFmtId="164" fontId="7" fillId="0" borderId="6" xfId="0" applyNumberFormat="1" applyFont="1" applyFill="1" applyBorder="1" applyAlignment="1" applyProtection="1">
      <alignment vertical="center" wrapText="1"/>
      <protection locked="0"/>
    </xf>
    <xf numFmtId="164" fontId="7" fillId="0" borderId="34" xfId="0" applyNumberFormat="1" applyFont="1" applyFill="1" applyBorder="1" applyAlignment="1" applyProtection="1">
      <alignment vertical="center" wrapText="1"/>
      <protection locked="0"/>
    </xf>
    <xf numFmtId="0" fontId="15" fillId="0" borderId="45" xfId="0" applyNumberFormat="1" applyFont="1" applyFill="1" applyBorder="1" applyAlignment="1" applyProtection="1">
      <alignment vertical="center" wrapText="1"/>
      <protection locked="0"/>
    </xf>
    <xf numFmtId="164" fontId="26" fillId="0" borderId="40" xfId="0" applyNumberFormat="1" applyFont="1" applyFill="1" applyBorder="1" applyAlignment="1" applyProtection="1">
      <alignment vertical="center" wrapText="1"/>
      <protection locked="0"/>
    </xf>
    <xf numFmtId="49" fontId="12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56" xfId="0" applyNumberFormat="1" applyFont="1" applyFill="1" applyBorder="1" applyAlignment="1" applyProtection="1">
      <alignment vertical="center" wrapText="1"/>
      <protection locked="0"/>
    </xf>
    <xf numFmtId="164" fontId="7" fillId="0" borderId="56" xfId="0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vertical="center" wrapText="1"/>
      <protection locked="0"/>
    </xf>
    <xf numFmtId="3" fontId="12" fillId="0" borderId="20" xfId="0" applyNumberFormat="1" applyFont="1" applyFill="1" applyBorder="1" applyAlignment="1" applyProtection="1">
      <alignment vertical="center" wrapText="1"/>
      <protection locked="0"/>
    </xf>
    <xf numFmtId="164" fontId="7" fillId="0" borderId="64" xfId="0" applyNumberFormat="1" applyFont="1" applyFill="1" applyBorder="1" applyAlignment="1" applyProtection="1">
      <alignment vertical="center" wrapText="1"/>
      <protection locked="0"/>
    </xf>
    <xf numFmtId="0" fontId="0" fillId="0" borderId="55" xfId="0" applyBorder="1" applyAlignment="1">
      <alignment/>
    </xf>
    <xf numFmtId="49" fontId="1" fillId="0" borderId="71" xfId="0" applyNumberFormat="1" applyFont="1" applyFill="1" applyBorder="1" applyAlignment="1" applyProtection="1">
      <alignment horizontal="centerContinuous" vertical="center"/>
      <protection locked="0"/>
    </xf>
    <xf numFmtId="0" fontId="4" fillId="0" borderId="15" xfId="0" applyNumberFormat="1" applyFont="1" applyFill="1" applyBorder="1" applyAlignment="1" applyProtection="1">
      <alignment vertical="center" wrapText="1"/>
      <protection locked="0"/>
    </xf>
    <xf numFmtId="3" fontId="1" fillId="0" borderId="71" xfId="0" applyNumberFormat="1" applyFont="1" applyFill="1" applyBorder="1" applyAlignment="1" applyProtection="1">
      <alignment vertical="center" wrapText="1"/>
      <protection locked="0"/>
    </xf>
    <xf numFmtId="164" fontId="4" fillId="0" borderId="16" xfId="0" applyNumberFormat="1" applyFont="1" applyFill="1" applyBorder="1" applyAlignment="1" applyProtection="1">
      <alignment vertical="center" wrapText="1"/>
      <protection locked="0"/>
    </xf>
    <xf numFmtId="164" fontId="4" fillId="0" borderId="40" xfId="0" applyNumberFormat="1" applyFont="1" applyFill="1" applyBorder="1" applyAlignment="1" applyProtection="1">
      <alignment vertical="center" wrapText="1"/>
      <protection locked="0"/>
    </xf>
    <xf numFmtId="164" fontId="4" fillId="0" borderId="17" xfId="0" applyNumberFormat="1" applyFont="1" applyFill="1" applyBorder="1" applyAlignment="1" applyProtection="1">
      <alignment vertical="center" wrapText="1"/>
      <protection locked="0"/>
    </xf>
    <xf numFmtId="49" fontId="12" fillId="0" borderId="65" xfId="0" applyNumberFormat="1" applyFont="1" applyFill="1" applyBorder="1" applyAlignment="1" applyProtection="1">
      <alignment horizontal="centerContinuous" vertical="center"/>
      <protection locked="0"/>
    </xf>
    <xf numFmtId="0" fontId="12" fillId="0" borderId="70" xfId="0" applyNumberFormat="1" applyFont="1" applyFill="1" applyBorder="1" applyAlignment="1" applyProtection="1">
      <alignment vertical="center" wrapText="1"/>
      <protection locked="0"/>
    </xf>
    <xf numFmtId="3" fontId="12" fillId="0" borderId="65" xfId="0" applyNumberFormat="1" applyFont="1" applyFill="1" applyBorder="1" applyAlignment="1" applyProtection="1">
      <alignment vertical="center"/>
      <protection locked="0"/>
    </xf>
    <xf numFmtId="3" fontId="12" fillId="0" borderId="14" xfId="0" applyNumberFormat="1" applyFont="1" applyFill="1" applyBorder="1" applyAlignment="1" applyProtection="1">
      <alignment vertical="center" wrapText="1"/>
      <protection locked="0"/>
    </xf>
    <xf numFmtId="164" fontId="12" fillId="0" borderId="70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Fill="1" applyBorder="1" applyAlignment="1" applyProtection="1">
      <alignment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164" fontId="19" fillId="0" borderId="70" xfId="0" applyNumberFormat="1" applyFont="1" applyFill="1" applyBorder="1" applyAlignment="1" applyProtection="1">
      <alignment vertical="center"/>
      <protection locked="0"/>
    </xf>
    <xf numFmtId="164" fontId="7" fillId="0" borderId="70" xfId="0" applyNumberFormat="1" applyFont="1" applyFill="1" applyBorder="1" applyAlignment="1" applyProtection="1">
      <alignment vertical="center" wrapText="1"/>
      <protection locked="0"/>
    </xf>
    <xf numFmtId="3" fontId="20" fillId="0" borderId="12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164" fontId="33" fillId="0" borderId="17" xfId="0" applyNumberFormat="1" applyFont="1" applyBorder="1" applyAlignment="1">
      <alignment vertical="center"/>
    </xf>
    <xf numFmtId="3" fontId="20" fillId="0" borderId="9" xfId="0" applyNumberFormat="1" applyFont="1" applyBorder="1" applyAlignment="1">
      <alignment vertical="center"/>
    </xf>
    <xf numFmtId="164" fontId="33" fillId="0" borderId="17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3" fontId="34" fillId="0" borderId="9" xfId="0" applyNumberFormat="1" applyFont="1" applyFill="1" applyBorder="1" applyAlignment="1" applyProtection="1">
      <alignment vertical="center" wrapText="1"/>
      <protection locked="0"/>
    </xf>
    <xf numFmtId="3" fontId="14" fillId="0" borderId="18" xfId="0" applyNumberFormat="1" applyFont="1" applyFill="1" applyBorder="1" applyAlignment="1" applyProtection="1">
      <alignment vertical="center" wrapText="1"/>
      <protection locked="0"/>
    </xf>
    <xf numFmtId="3" fontId="35" fillId="0" borderId="18" xfId="0" applyNumberFormat="1" applyFont="1" applyBorder="1" applyAlignment="1">
      <alignment vertical="center"/>
    </xf>
    <xf numFmtId="164" fontId="34" fillId="0" borderId="17" xfId="0" applyNumberFormat="1" applyFont="1" applyFill="1" applyBorder="1" applyAlignment="1" applyProtection="1">
      <alignment vertical="center" wrapText="1"/>
      <protection locked="0"/>
    </xf>
    <xf numFmtId="3" fontId="34" fillId="0" borderId="9" xfId="0" applyNumberFormat="1" applyFont="1" applyFill="1" applyBorder="1" applyAlignment="1" applyProtection="1">
      <alignment vertical="center"/>
      <protection locked="0"/>
    </xf>
    <xf numFmtId="3" fontId="34" fillId="0" borderId="18" xfId="0" applyNumberFormat="1" applyFont="1" applyFill="1" applyBorder="1" applyAlignment="1" applyProtection="1">
      <alignment vertical="center"/>
      <protection locked="0"/>
    </xf>
    <xf numFmtId="164" fontId="5" fillId="0" borderId="17" xfId="0" applyNumberFormat="1" applyFont="1" applyFill="1" applyBorder="1" applyAlignment="1" applyProtection="1">
      <alignment vertical="center" wrapText="1"/>
      <protection locked="0"/>
    </xf>
    <xf numFmtId="0" fontId="5" fillId="0" borderId="17" xfId="0" applyNumberFormat="1" applyFont="1" applyFill="1" applyBorder="1" applyAlignment="1" applyProtection="1">
      <alignment vertical="center" wrapText="1"/>
      <protection locked="0"/>
    </xf>
    <xf numFmtId="164" fontId="36" fillId="0" borderId="17" xfId="0" applyNumberFormat="1" applyFont="1" applyBorder="1" applyAlignment="1">
      <alignment vertical="center"/>
    </xf>
    <xf numFmtId="0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3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29" xfId="0" applyFont="1" applyBorder="1" applyAlignment="1">
      <alignment horizontal="center" vertical="center"/>
    </xf>
    <xf numFmtId="3" fontId="7" fillId="0" borderId="47" xfId="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 applyProtection="1">
      <alignment vertical="center" wrapText="1"/>
      <protection locked="0"/>
    </xf>
    <xf numFmtId="3" fontId="7" fillId="0" borderId="9" xfId="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 applyProtection="1">
      <alignment horizontal="right" vertical="center"/>
      <protection locked="0"/>
    </xf>
    <xf numFmtId="164" fontId="19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29" xfId="0" applyFont="1" applyBorder="1" applyAlignment="1">
      <alignment horizontal="center" vertical="center"/>
    </xf>
    <xf numFmtId="3" fontId="7" fillId="0" borderId="30" xfId="0" applyNumberFormat="1" applyFont="1" applyFill="1" applyBorder="1" applyAlignment="1" applyProtection="1">
      <alignment horizontal="right" vertical="center"/>
      <protection locked="0"/>
    </xf>
    <xf numFmtId="3" fontId="5" fillId="0" borderId="47" xfId="0" applyNumberFormat="1" applyFont="1" applyFill="1" applyBorder="1" applyAlignment="1" applyProtection="1">
      <alignment vertical="center" wrapText="1"/>
      <protection locked="0"/>
    </xf>
    <xf numFmtId="0" fontId="37" fillId="0" borderId="29" xfId="0" applyFont="1" applyBorder="1" applyAlignment="1">
      <alignment vertical="center" wrapText="1"/>
    </xf>
    <xf numFmtId="3" fontId="5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vertical="center" wrapText="1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vertic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164" fontId="3" fillId="0" borderId="17" xfId="0" applyNumberFormat="1" applyFont="1" applyFill="1" applyBorder="1" applyAlignment="1" applyProtection="1">
      <alignment vertical="center"/>
      <protection locked="0"/>
    </xf>
    <xf numFmtId="3" fontId="7" fillId="0" borderId="65" xfId="0" applyNumberFormat="1" applyFont="1" applyFill="1" applyBorder="1" applyAlignment="1" applyProtection="1">
      <alignment horizontal="center" vertical="center"/>
      <protection locked="0"/>
    </xf>
    <xf numFmtId="0" fontId="24" fillId="0" borderId="67" xfId="0" applyFont="1" applyBorder="1" applyAlignment="1">
      <alignment horizontal="center" vertical="center"/>
    </xf>
    <xf numFmtId="3" fontId="7" fillId="0" borderId="65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vertical="center" wrapText="1"/>
      <protection locked="0"/>
    </xf>
    <xf numFmtId="164" fontId="7" fillId="0" borderId="70" xfId="0" applyNumberFormat="1" applyFont="1" applyFill="1" applyBorder="1" applyAlignment="1" applyProtection="1">
      <alignment horizontal="right" vertical="center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19" fillId="0" borderId="14" xfId="0" applyNumberFormat="1" applyFont="1" applyFill="1" applyBorder="1" applyAlignment="1" applyProtection="1">
      <alignment horizontal="right" vertical="center"/>
      <protection locked="0"/>
    </xf>
    <xf numFmtId="164" fontId="12" fillId="0" borderId="70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164" fontId="19" fillId="0" borderId="70" xfId="0" applyNumberFormat="1" applyFont="1" applyFill="1" applyBorder="1" applyAlignment="1" applyProtection="1">
      <alignment horizontal="right" vertical="center"/>
      <protection locked="0"/>
    </xf>
    <xf numFmtId="3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>
      <alignment horizontal="center" vertical="center" wrapText="1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vertical="center" wrapText="1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164" fontId="13" fillId="0" borderId="17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/>
    </xf>
    <xf numFmtId="3" fontId="11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>
      <alignment horizontal="center" vertical="center" wrapText="1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vertical="center" wrapText="1"/>
      <protection locked="0"/>
    </xf>
    <xf numFmtId="164" fontId="11" fillId="0" borderId="24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164" fontId="13" fillId="0" borderId="24" xfId="0" applyNumberFormat="1" applyFont="1" applyFill="1" applyBorder="1" applyAlignment="1" applyProtection="1">
      <alignment horizontal="right" vertical="center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40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72" xfId="0" applyFont="1" applyBorder="1" applyAlignment="1">
      <alignment horizontal="center" vertical="center" wrapText="1"/>
    </xf>
    <xf numFmtId="3" fontId="40" fillId="0" borderId="73" xfId="0" applyNumberFormat="1" applyFont="1" applyBorder="1" applyAlignment="1">
      <alignment horizontal="center" vertical="center"/>
    </xf>
    <xf numFmtId="3" fontId="40" fillId="0" borderId="74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0" fillId="0" borderId="75" xfId="0" applyFont="1" applyBorder="1" applyAlignment="1">
      <alignment horizontal="center" vertical="center" wrapText="1"/>
    </xf>
    <xf numFmtId="3" fontId="20" fillId="0" borderId="76" xfId="0" applyNumberFormat="1" applyFont="1" applyBorder="1" applyAlignment="1">
      <alignment horizontal="center" vertical="center"/>
    </xf>
    <xf numFmtId="3" fontId="20" fillId="0" borderId="7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0" fillId="0" borderId="78" xfId="0" applyFont="1" applyBorder="1" applyAlignment="1">
      <alignment vertical="center" wrapText="1"/>
    </xf>
    <xf numFmtId="4" fontId="40" fillId="0" borderId="41" xfId="0" applyNumberFormat="1" applyFont="1" applyBorder="1" applyAlignment="1">
      <alignment vertical="center"/>
    </xf>
    <xf numFmtId="4" fontId="40" fillId="0" borderId="79" xfId="0" applyNumberFormat="1" applyFont="1" applyBorder="1" applyAlignment="1">
      <alignment vertical="center"/>
    </xf>
    <xf numFmtId="0" fontId="40" fillId="0" borderId="80" xfId="0" applyFont="1" applyBorder="1" applyAlignment="1">
      <alignment vertical="center" wrapText="1"/>
    </xf>
    <xf numFmtId="4" fontId="40" fillId="0" borderId="33" xfId="0" applyNumberFormat="1" applyFont="1" applyBorder="1" applyAlignment="1">
      <alignment vertical="center"/>
    </xf>
    <xf numFmtId="4" fontId="40" fillId="0" borderId="81" xfId="0" applyNumberFormat="1" applyFont="1" applyBorder="1" applyAlignment="1">
      <alignment vertical="center"/>
    </xf>
    <xf numFmtId="0" fontId="41" fillId="0" borderId="80" xfId="0" applyFont="1" applyBorder="1" applyAlignment="1">
      <alignment vertical="center" wrapText="1"/>
    </xf>
    <xf numFmtId="4" fontId="41" fillId="0" borderId="33" xfId="0" applyNumberFormat="1" applyFont="1" applyBorder="1" applyAlignment="1">
      <alignment vertical="center"/>
    </xf>
    <xf numFmtId="4" fontId="41" fillId="0" borderId="81" xfId="0" applyNumberFormat="1" applyFont="1" applyBorder="1" applyAlignment="1">
      <alignment vertical="center"/>
    </xf>
    <xf numFmtId="0" fontId="43" fillId="0" borderId="80" xfId="0" applyFont="1" applyBorder="1" applyAlignment="1">
      <alignment vertical="center" wrapText="1"/>
    </xf>
    <xf numFmtId="4" fontId="43" fillId="0" borderId="33" xfId="0" applyNumberFormat="1" applyFont="1" applyBorder="1" applyAlignment="1">
      <alignment vertical="center"/>
    </xf>
    <xf numFmtId="4" fontId="43" fillId="0" borderId="81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164" fontId="41" fillId="0" borderId="80" xfId="0" applyNumberFormat="1" applyFont="1" applyBorder="1" applyAlignment="1">
      <alignment vertical="center" wrapText="1"/>
    </xf>
    <xf numFmtId="164" fontId="2" fillId="0" borderId="80" xfId="0" applyNumberFormat="1" applyFont="1" applyBorder="1" applyAlignment="1">
      <alignment vertical="center" wrapText="1"/>
    </xf>
    <xf numFmtId="3" fontId="41" fillId="0" borderId="33" xfId="0" applyNumberFormat="1" applyFont="1" applyBorder="1" applyAlignment="1">
      <alignment vertical="center"/>
    </xf>
    <xf numFmtId="3" fontId="41" fillId="0" borderId="81" xfId="0" applyNumberFormat="1" applyFont="1" applyBorder="1" applyAlignment="1">
      <alignment vertical="center"/>
    </xf>
    <xf numFmtId="0" fontId="41" fillId="0" borderId="75" xfId="0" applyFont="1" applyBorder="1" applyAlignment="1">
      <alignment vertical="center" wrapText="1"/>
    </xf>
    <xf numFmtId="3" fontId="41" fillId="0" borderId="76" xfId="0" applyNumberFormat="1" applyFont="1" applyBorder="1" applyAlignment="1">
      <alignment vertical="center"/>
    </xf>
    <xf numFmtId="3" fontId="41" fillId="0" borderId="77" xfId="0" applyNumberFormat="1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2"/>
  <sheetViews>
    <sheetView workbookViewId="0" topLeftCell="A327">
      <selection activeCell="A340" sqref="A340"/>
    </sheetView>
  </sheetViews>
  <sheetFormatPr defaultColWidth="9.00390625" defaultRowHeight="12.75"/>
  <cols>
    <col min="1" max="1" width="5.25390625" style="0" customWidth="1"/>
    <col min="2" max="2" width="20.75390625" style="0" customWidth="1"/>
    <col min="3" max="3" width="10.00390625" style="0" customWidth="1"/>
    <col min="4" max="5" width="9.875" style="0" customWidth="1"/>
    <col min="6" max="6" width="4.875" style="0" customWidth="1"/>
    <col min="7" max="7" width="9.25390625" style="0" customWidth="1"/>
    <col min="8" max="8" width="9.625" style="0" customWidth="1"/>
    <col min="9" max="9" width="4.875" style="0" customWidth="1"/>
    <col min="10" max="10" width="9.375" style="0" customWidth="1"/>
    <col min="11" max="11" width="8.75390625" style="0" customWidth="1"/>
    <col min="12" max="12" width="4.00390625" style="1004" customWidth="1"/>
    <col min="13" max="14" width="8.75390625" style="0" customWidth="1"/>
    <col min="15" max="15" width="5.25390625" style="0" customWidth="1"/>
    <col min="16" max="16" width="7.625" style="0" customWidth="1"/>
    <col min="17" max="17" width="8.00390625" style="0" customWidth="1"/>
    <col min="18" max="18" width="5.125" style="1004" customWidth="1"/>
    <col min="19" max="19" width="0" style="0" hidden="1" customWidth="1"/>
  </cols>
  <sheetData>
    <row r="1" spans="1:18" ht="12.75">
      <c r="A1" s="555"/>
      <c r="B1" s="556"/>
      <c r="C1" s="556"/>
      <c r="D1" s="556"/>
      <c r="E1" s="556"/>
      <c r="F1" s="556"/>
      <c r="G1" s="556"/>
      <c r="H1" s="556"/>
      <c r="I1" s="556"/>
      <c r="J1" s="557"/>
      <c r="K1" s="557"/>
      <c r="L1" s="558"/>
      <c r="M1" s="557"/>
      <c r="N1" s="557"/>
      <c r="O1" s="559"/>
      <c r="P1" s="560"/>
      <c r="Q1" s="561"/>
      <c r="R1" s="562"/>
    </row>
    <row r="2" spans="1:18" ht="16.5" thickBot="1">
      <c r="A2" s="563" t="s">
        <v>941</v>
      </c>
      <c r="B2" s="564"/>
      <c r="C2" s="565"/>
      <c r="D2" s="565"/>
      <c r="E2" s="565"/>
      <c r="F2" s="566"/>
      <c r="G2" s="567"/>
      <c r="H2" s="568"/>
      <c r="I2" s="569"/>
      <c r="J2" s="570"/>
      <c r="K2" s="571"/>
      <c r="L2" s="572"/>
      <c r="M2" s="573"/>
      <c r="N2" s="574"/>
      <c r="O2" s="575"/>
      <c r="P2" s="576"/>
      <c r="Q2" s="577"/>
      <c r="R2" s="578"/>
    </row>
    <row r="3" spans="1:18" ht="15" thickTop="1">
      <c r="A3" s="579" t="s">
        <v>942</v>
      </c>
      <c r="B3" s="580" t="s">
        <v>325</v>
      </c>
      <c r="C3" s="581" t="s">
        <v>935</v>
      </c>
      <c r="D3" s="582"/>
      <c r="E3" s="582"/>
      <c r="F3" s="583"/>
      <c r="G3" s="584" t="s">
        <v>943</v>
      </c>
      <c r="H3" s="585"/>
      <c r="I3" s="585"/>
      <c r="J3" s="585"/>
      <c r="K3" s="585"/>
      <c r="L3" s="586"/>
      <c r="M3" s="587" t="s">
        <v>944</v>
      </c>
      <c r="N3" s="588"/>
      <c r="O3" s="588"/>
      <c r="P3" s="588"/>
      <c r="Q3" s="588"/>
      <c r="R3" s="589"/>
    </row>
    <row r="4" spans="1:18" ht="13.5" thickBot="1">
      <c r="A4" s="590"/>
      <c r="B4" s="591"/>
      <c r="C4" s="592"/>
      <c r="D4" s="593"/>
      <c r="E4" s="593"/>
      <c r="F4" s="594"/>
      <c r="G4" s="595" t="s">
        <v>945</v>
      </c>
      <c r="H4" s="596"/>
      <c r="I4" s="597"/>
      <c r="J4" s="595" t="s">
        <v>946</v>
      </c>
      <c r="K4" s="598"/>
      <c r="L4" s="599"/>
      <c r="M4" s="595" t="s">
        <v>945</v>
      </c>
      <c r="N4" s="596"/>
      <c r="O4" s="597"/>
      <c r="P4" s="595" t="s">
        <v>946</v>
      </c>
      <c r="Q4" s="598"/>
      <c r="R4" s="600"/>
    </row>
    <row r="5" spans="1:18" ht="43.5" thickBot="1" thickTop="1">
      <c r="A5" s="601"/>
      <c r="B5" s="602"/>
      <c r="C5" s="603" t="s">
        <v>947</v>
      </c>
      <c r="D5" s="604" t="s">
        <v>327</v>
      </c>
      <c r="E5" s="604" t="s">
        <v>328</v>
      </c>
      <c r="F5" s="605" t="s">
        <v>948</v>
      </c>
      <c r="G5" s="606" t="s">
        <v>330</v>
      </c>
      <c r="H5" s="607" t="s">
        <v>328</v>
      </c>
      <c r="I5" s="608" t="s">
        <v>948</v>
      </c>
      <c r="J5" s="606" t="s">
        <v>330</v>
      </c>
      <c r="K5" s="607" t="s">
        <v>328</v>
      </c>
      <c r="L5" s="608" t="s">
        <v>948</v>
      </c>
      <c r="M5" s="606" t="s">
        <v>330</v>
      </c>
      <c r="N5" s="607" t="s">
        <v>328</v>
      </c>
      <c r="O5" s="608" t="s">
        <v>948</v>
      </c>
      <c r="P5" s="606" t="s">
        <v>330</v>
      </c>
      <c r="Q5" s="607" t="s">
        <v>328</v>
      </c>
      <c r="R5" s="608" t="s">
        <v>948</v>
      </c>
    </row>
    <row r="6" spans="1:18" ht="11.25" customHeight="1" thickBot="1" thickTop="1">
      <c r="A6" s="609">
        <v>1</v>
      </c>
      <c r="B6" s="610">
        <v>2</v>
      </c>
      <c r="C6" s="609">
        <v>3</v>
      </c>
      <c r="D6" s="611">
        <v>4</v>
      </c>
      <c r="E6" s="611">
        <v>5</v>
      </c>
      <c r="F6" s="612">
        <v>6</v>
      </c>
      <c r="G6" s="613">
        <v>7</v>
      </c>
      <c r="H6" s="611">
        <v>8</v>
      </c>
      <c r="I6" s="614">
        <v>9</v>
      </c>
      <c r="J6" s="613">
        <v>10</v>
      </c>
      <c r="K6" s="611">
        <v>11</v>
      </c>
      <c r="L6" s="615">
        <v>12</v>
      </c>
      <c r="M6" s="613">
        <v>13</v>
      </c>
      <c r="N6" s="611">
        <v>14</v>
      </c>
      <c r="O6" s="614">
        <v>15</v>
      </c>
      <c r="P6" s="613">
        <v>16</v>
      </c>
      <c r="Q6" s="611">
        <v>17</v>
      </c>
      <c r="R6" s="615">
        <v>18</v>
      </c>
    </row>
    <row r="7" spans="1:18" s="628" customFormat="1" ht="27" customHeight="1" thickBot="1" thickTop="1">
      <c r="A7" s="616" t="s">
        <v>333</v>
      </c>
      <c r="B7" s="617" t="s">
        <v>949</v>
      </c>
      <c r="C7" s="618"/>
      <c r="D7" s="619">
        <f>G7+J7+M7+P7</f>
        <v>0</v>
      </c>
      <c r="E7" s="620">
        <f>E8</f>
        <v>0</v>
      </c>
      <c r="F7" s="621" t="e">
        <f aca="true" t="shared" si="0" ref="F7:F16">E7/D7*100</f>
        <v>#DIV/0!</v>
      </c>
      <c r="G7" s="622"/>
      <c r="H7" s="623"/>
      <c r="I7" s="624"/>
      <c r="J7" s="625">
        <f>J8</f>
        <v>0</v>
      </c>
      <c r="K7" s="620">
        <f>K8</f>
        <v>0</v>
      </c>
      <c r="L7" s="626" t="e">
        <f>K7/J7*100</f>
        <v>#DIV/0!</v>
      </c>
      <c r="M7" s="622"/>
      <c r="N7" s="623"/>
      <c r="O7" s="624"/>
      <c r="P7" s="622"/>
      <c r="Q7" s="623"/>
      <c r="R7" s="627"/>
    </row>
    <row r="8" spans="1:18" s="628" customFormat="1" ht="15" customHeight="1" thickTop="1">
      <c r="A8" s="629" t="s">
        <v>377</v>
      </c>
      <c r="B8" s="630" t="s">
        <v>378</v>
      </c>
      <c r="C8" s="631"/>
      <c r="D8" s="632">
        <f>D9</f>
        <v>0</v>
      </c>
      <c r="E8" s="632">
        <f>E9</f>
        <v>0</v>
      </c>
      <c r="F8" s="633" t="e">
        <f t="shared" si="0"/>
        <v>#DIV/0!</v>
      </c>
      <c r="G8" s="634"/>
      <c r="H8" s="635"/>
      <c r="I8" s="636"/>
      <c r="J8" s="637">
        <f>J9</f>
        <v>0</v>
      </c>
      <c r="K8" s="632">
        <f>K9</f>
        <v>0</v>
      </c>
      <c r="L8" s="638" t="e">
        <f>K8/J8*100</f>
        <v>#DIV/0!</v>
      </c>
      <c r="M8" s="634"/>
      <c r="N8" s="635"/>
      <c r="O8" s="636"/>
      <c r="P8" s="634"/>
      <c r="Q8" s="635"/>
      <c r="R8" s="639"/>
    </row>
    <row r="9" spans="1:18" ht="55.5" customHeight="1" thickBot="1">
      <c r="A9" s="640" t="s">
        <v>950</v>
      </c>
      <c r="B9" s="641" t="s">
        <v>951</v>
      </c>
      <c r="C9" s="642"/>
      <c r="D9" s="643">
        <f>G9+J9+M9+P9</f>
        <v>0</v>
      </c>
      <c r="E9" s="643">
        <f>H9+K9+N9+Q9</f>
        <v>0</v>
      </c>
      <c r="F9" s="644" t="e">
        <f t="shared" si="0"/>
        <v>#DIV/0!</v>
      </c>
      <c r="G9" s="645"/>
      <c r="H9" s="646"/>
      <c r="I9" s="647"/>
      <c r="J9" s="648"/>
      <c r="K9" s="649"/>
      <c r="L9" s="650" t="e">
        <f>K9/J9*100</f>
        <v>#DIV/0!</v>
      </c>
      <c r="M9" s="645"/>
      <c r="N9" s="646"/>
      <c r="O9" s="647"/>
      <c r="P9" s="645"/>
      <c r="Q9" s="646"/>
      <c r="R9" s="651"/>
    </row>
    <row r="10" spans="1:18" ht="29.25" customHeight="1" thickBot="1" thickTop="1">
      <c r="A10" s="652" t="s">
        <v>952</v>
      </c>
      <c r="B10" s="653" t="s">
        <v>953</v>
      </c>
      <c r="C10" s="654">
        <f>C11+C13+C18+C24</f>
        <v>19020</v>
      </c>
      <c r="D10" s="619">
        <f>G10+J10+M10+P10</f>
        <v>19020</v>
      </c>
      <c r="E10" s="655">
        <f>E11+E13+E18+E24+E22</f>
        <v>146086</v>
      </c>
      <c r="F10" s="656">
        <f t="shared" si="0"/>
        <v>768.0651945320715</v>
      </c>
      <c r="G10" s="655">
        <f>G11+G13+G18+G22+G24</f>
        <v>17020</v>
      </c>
      <c r="H10" s="655">
        <f>H11+H13+H18+H22+H24</f>
        <v>11881</v>
      </c>
      <c r="I10" s="657">
        <f>H10/G10*100</f>
        <v>69.80611045828438</v>
      </c>
      <c r="J10" s="658"/>
      <c r="K10" s="655"/>
      <c r="L10" s="659"/>
      <c r="M10" s="655">
        <f>M11+M13+M18+M22+M24</f>
        <v>2000</v>
      </c>
      <c r="N10" s="655">
        <f>N11+N13+N18+N22+N24</f>
        <v>134205</v>
      </c>
      <c r="O10" s="377">
        <f>N10/M10*100</f>
        <v>6710.250000000001</v>
      </c>
      <c r="P10" s="658"/>
      <c r="Q10" s="655"/>
      <c r="R10" s="659"/>
    </row>
    <row r="11" spans="1:18" ht="14.25" customHeight="1" thickTop="1">
      <c r="A11" s="660" t="s">
        <v>954</v>
      </c>
      <c r="B11" s="661" t="s">
        <v>389</v>
      </c>
      <c r="C11" s="662">
        <f>C12</f>
        <v>0</v>
      </c>
      <c r="D11" s="663">
        <f>D12</f>
        <v>0</v>
      </c>
      <c r="E11" s="664">
        <f>E12</f>
        <v>0</v>
      </c>
      <c r="F11" s="665" t="e">
        <f t="shared" si="0"/>
        <v>#DIV/0!</v>
      </c>
      <c r="G11" s="666">
        <f>G12</f>
        <v>0</v>
      </c>
      <c r="H11" s="533">
        <f>H12</f>
        <v>0</v>
      </c>
      <c r="I11" s="667" t="e">
        <f>H11/G11*100</f>
        <v>#DIV/0!</v>
      </c>
      <c r="J11" s="668"/>
      <c r="K11" s="669"/>
      <c r="L11" s="670"/>
      <c r="M11" s="668"/>
      <c r="N11" s="669"/>
      <c r="O11" s="219"/>
      <c r="P11" s="668"/>
      <c r="Q11" s="669"/>
      <c r="R11" s="671"/>
    </row>
    <row r="12" spans="1:18" ht="54.75" customHeight="1">
      <c r="A12" s="672" t="s">
        <v>955</v>
      </c>
      <c r="B12" s="673" t="s">
        <v>956</v>
      </c>
      <c r="C12" s="674"/>
      <c r="D12" s="675">
        <f>G12</f>
        <v>0</v>
      </c>
      <c r="E12" s="643">
        <f>H12+K12+N12+Q12</f>
        <v>0</v>
      </c>
      <c r="F12" s="676" t="e">
        <f t="shared" si="0"/>
        <v>#DIV/0!</v>
      </c>
      <c r="G12" s="677"/>
      <c r="H12" s="678"/>
      <c r="I12" s="679"/>
      <c r="J12" s="677"/>
      <c r="K12" s="678"/>
      <c r="L12" s="417"/>
      <c r="M12" s="677"/>
      <c r="N12" s="678"/>
      <c r="O12" s="190"/>
      <c r="P12" s="677"/>
      <c r="Q12" s="678"/>
      <c r="R12" s="417"/>
    </row>
    <row r="13" spans="1:18" ht="23.25" customHeight="1">
      <c r="A13" s="680" t="s">
        <v>957</v>
      </c>
      <c r="B13" s="681" t="s">
        <v>391</v>
      </c>
      <c r="C13" s="682">
        <f>SUM(C14:C15)</f>
        <v>2000</v>
      </c>
      <c r="D13" s="664">
        <f>SUM(D14:D17)</f>
        <v>2000</v>
      </c>
      <c r="E13" s="664">
        <f>SUM(E14:E17)</f>
        <v>134205</v>
      </c>
      <c r="F13" s="665">
        <f t="shared" si="0"/>
        <v>6710.250000000001</v>
      </c>
      <c r="G13" s="683"/>
      <c r="H13" s="684"/>
      <c r="I13" s="685"/>
      <c r="J13" s="683"/>
      <c r="K13" s="684"/>
      <c r="L13" s="427"/>
      <c r="M13" s="686">
        <f>SUM(M14:M17)</f>
        <v>2000</v>
      </c>
      <c r="N13" s="664">
        <f>SUM(N14:N17)</f>
        <v>134205</v>
      </c>
      <c r="O13" s="279">
        <f>N13/M13*100</f>
        <v>6710.250000000001</v>
      </c>
      <c r="P13" s="683"/>
      <c r="Q13" s="684"/>
      <c r="R13" s="687"/>
    </row>
    <row r="14" spans="1:18" ht="33" customHeight="1">
      <c r="A14" s="688" t="s">
        <v>958</v>
      </c>
      <c r="B14" s="641" t="s">
        <v>959</v>
      </c>
      <c r="C14" s="689">
        <v>2000</v>
      </c>
      <c r="D14" s="643">
        <f>G14+J14+M14</f>
        <v>2000</v>
      </c>
      <c r="E14" s="643">
        <f>H14+K14+N14+Q14</f>
        <v>0</v>
      </c>
      <c r="F14" s="676"/>
      <c r="G14" s="359"/>
      <c r="H14" s="358"/>
      <c r="I14" s="690"/>
      <c r="J14" s="359"/>
      <c r="K14" s="358"/>
      <c r="L14" s="416"/>
      <c r="M14" s="359">
        <v>2000</v>
      </c>
      <c r="N14" s="358"/>
      <c r="O14" s="416">
        <f>N14/M14*100</f>
        <v>0</v>
      </c>
      <c r="P14" s="359"/>
      <c r="Q14" s="358"/>
      <c r="R14" s="416"/>
    </row>
    <row r="15" spans="1:18" ht="13.5" customHeight="1">
      <c r="A15" s="688" t="s">
        <v>960</v>
      </c>
      <c r="B15" s="641" t="s">
        <v>961</v>
      </c>
      <c r="C15" s="689"/>
      <c r="D15" s="643">
        <f>G15+J15+M15</f>
        <v>0</v>
      </c>
      <c r="E15" s="643">
        <f>H15+K15+N15+Q15</f>
        <v>134205</v>
      </c>
      <c r="F15" s="676"/>
      <c r="G15" s="359"/>
      <c r="H15" s="358"/>
      <c r="I15" s="690"/>
      <c r="J15" s="359"/>
      <c r="K15" s="358"/>
      <c r="L15" s="416"/>
      <c r="M15" s="359"/>
      <c r="N15" s="358">
        <v>134205</v>
      </c>
      <c r="O15" s="194"/>
      <c r="P15" s="359"/>
      <c r="Q15" s="358"/>
      <c r="R15" s="416"/>
    </row>
    <row r="16" spans="1:18" s="692" customFormat="1" ht="45" customHeight="1">
      <c r="A16" s="688" t="s">
        <v>962</v>
      </c>
      <c r="B16" s="691" t="s">
        <v>963</v>
      </c>
      <c r="C16" s="689"/>
      <c r="D16" s="643">
        <f>G16+J16+M16</f>
        <v>0</v>
      </c>
      <c r="E16" s="643">
        <f>H16+K16+N16+Q16</f>
        <v>0</v>
      </c>
      <c r="F16" s="676" t="e">
        <f t="shared" si="0"/>
        <v>#DIV/0!</v>
      </c>
      <c r="G16" s="359"/>
      <c r="H16" s="358"/>
      <c r="I16" s="690"/>
      <c r="J16" s="359"/>
      <c r="K16" s="358"/>
      <c r="L16" s="416"/>
      <c r="M16" s="359"/>
      <c r="N16" s="358"/>
      <c r="O16" s="194" t="e">
        <f>N16/M16*100</f>
        <v>#DIV/0!</v>
      </c>
      <c r="P16" s="359"/>
      <c r="Q16" s="358"/>
      <c r="R16" s="416"/>
    </row>
    <row r="17" spans="1:18" ht="76.5" customHeight="1">
      <c r="A17" s="693" t="s">
        <v>964</v>
      </c>
      <c r="B17" s="694" t="s">
        <v>965</v>
      </c>
      <c r="C17" s="695"/>
      <c r="D17" s="696">
        <f>G17+J17+M17</f>
        <v>0</v>
      </c>
      <c r="E17" s="696"/>
      <c r="F17" s="697"/>
      <c r="G17" s="523"/>
      <c r="H17" s="524"/>
      <c r="I17" s="679"/>
      <c r="J17" s="523"/>
      <c r="K17" s="524"/>
      <c r="L17" s="424"/>
      <c r="M17" s="523"/>
      <c r="N17" s="524"/>
      <c r="O17" s="237"/>
      <c r="P17" s="523"/>
      <c r="Q17" s="524"/>
      <c r="R17" s="424"/>
    </row>
    <row r="18" spans="1:18" ht="17.25" customHeight="1">
      <c r="A18" s="698" t="s">
        <v>966</v>
      </c>
      <c r="B18" s="699" t="s">
        <v>967</v>
      </c>
      <c r="C18" s="700">
        <f>SUM(C19:C20)</f>
        <v>17000</v>
      </c>
      <c r="D18" s="664">
        <f>SUM(D19:D21)</f>
        <v>17000</v>
      </c>
      <c r="E18" s="664">
        <f>SUM(E19:E21)</f>
        <v>11872</v>
      </c>
      <c r="F18" s="701">
        <f aca="true" t="shared" si="1" ref="F18:F81">E18/D18*100</f>
        <v>69.83529411764707</v>
      </c>
      <c r="G18" s="702">
        <f>SUM(G19:G21)</f>
        <v>17000</v>
      </c>
      <c r="H18" s="703">
        <f>SUM(H19:H21)</f>
        <v>11872</v>
      </c>
      <c r="I18" s="704">
        <f aca="true" t="shared" si="2" ref="I18:I38">H18/G18*100</f>
        <v>69.83529411764707</v>
      </c>
      <c r="J18" s="702"/>
      <c r="K18" s="703"/>
      <c r="L18" s="427"/>
      <c r="M18" s="702"/>
      <c r="N18" s="703"/>
      <c r="O18" s="265"/>
      <c r="P18" s="702"/>
      <c r="Q18" s="703"/>
      <c r="R18" s="427"/>
    </row>
    <row r="19" spans="1:18" ht="34.5" customHeight="1">
      <c r="A19" s="705" t="s">
        <v>958</v>
      </c>
      <c r="B19" s="706" t="s">
        <v>968</v>
      </c>
      <c r="C19" s="707">
        <v>15000</v>
      </c>
      <c r="D19" s="708">
        <f aca="true" t="shared" si="3" ref="D19:E21">G19+J19</f>
        <v>15000</v>
      </c>
      <c r="E19" s="708">
        <f t="shared" si="3"/>
        <v>1262</v>
      </c>
      <c r="F19" s="709">
        <f t="shared" si="1"/>
        <v>8.413333333333334</v>
      </c>
      <c r="G19" s="710">
        <v>15000</v>
      </c>
      <c r="H19" s="711">
        <v>1262</v>
      </c>
      <c r="I19" s="709">
        <f t="shared" si="2"/>
        <v>8.413333333333334</v>
      </c>
      <c r="J19" s="710"/>
      <c r="K19" s="711"/>
      <c r="L19" s="426"/>
      <c r="M19" s="710"/>
      <c r="N19" s="711"/>
      <c r="O19" s="225"/>
      <c r="P19" s="710"/>
      <c r="Q19" s="711"/>
      <c r="R19" s="426"/>
    </row>
    <row r="20" spans="1:18" ht="15.75" customHeight="1">
      <c r="A20" s="688" t="s">
        <v>969</v>
      </c>
      <c r="B20" s="641" t="s">
        <v>961</v>
      </c>
      <c r="C20" s="689">
        <v>2000</v>
      </c>
      <c r="D20" s="643">
        <f t="shared" si="3"/>
        <v>2000</v>
      </c>
      <c r="E20" s="643">
        <f t="shared" si="3"/>
        <v>10610</v>
      </c>
      <c r="F20" s="690">
        <f t="shared" si="1"/>
        <v>530.5</v>
      </c>
      <c r="G20" s="359">
        <v>2000</v>
      </c>
      <c r="H20" s="358">
        <v>10610</v>
      </c>
      <c r="I20" s="690">
        <f t="shared" si="2"/>
        <v>530.5</v>
      </c>
      <c r="J20" s="511"/>
      <c r="K20" s="712"/>
      <c r="L20" s="416"/>
      <c r="M20" s="511"/>
      <c r="N20" s="712"/>
      <c r="O20" s="713"/>
      <c r="P20" s="511"/>
      <c r="Q20" s="712"/>
      <c r="R20" s="714"/>
    </row>
    <row r="21" spans="1:18" ht="45.75" customHeight="1">
      <c r="A21" s="693" t="s">
        <v>962</v>
      </c>
      <c r="B21" s="691" t="s">
        <v>970</v>
      </c>
      <c r="C21" s="695"/>
      <c r="D21" s="643">
        <f t="shared" si="3"/>
        <v>0</v>
      </c>
      <c r="E21" s="643">
        <f t="shared" si="3"/>
        <v>0</v>
      </c>
      <c r="F21" s="690" t="e">
        <f t="shared" si="1"/>
        <v>#DIV/0!</v>
      </c>
      <c r="G21" s="643"/>
      <c r="H21" s="524"/>
      <c r="I21" s="690" t="e">
        <f t="shared" si="2"/>
        <v>#DIV/0!</v>
      </c>
      <c r="J21" s="715"/>
      <c r="K21" s="716"/>
      <c r="L21" s="424"/>
      <c r="M21" s="715"/>
      <c r="N21" s="716"/>
      <c r="O21" s="717"/>
      <c r="P21" s="715"/>
      <c r="Q21" s="716"/>
      <c r="R21" s="718"/>
    </row>
    <row r="22" spans="1:18" ht="25.5" customHeight="1">
      <c r="A22" s="698" t="s">
        <v>971</v>
      </c>
      <c r="B22" s="699" t="s">
        <v>972</v>
      </c>
      <c r="C22" s="700">
        <f>C23</f>
        <v>0</v>
      </c>
      <c r="D22" s="664">
        <f>D23</f>
        <v>0</v>
      </c>
      <c r="E22" s="664">
        <f>E23</f>
        <v>0</v>
      </c>
      <c r="F22" s="719" t="e">
        <f t="shared" si="1"/>
        <v>#DIV/0!</v>
      </c>
      <c r="G22" s="702">
        <f>G23</f>
        <v>0</v>
      </c>
      <c r="H22" s="703">
        <f>H23</f>
        <v>0</v>
      </c>
      <c r="I22" s="665" t="e">
        <f t="shared" si="2"/>
        <v>#DIV/0!</v>
      </c>
      <c r="J22" s="702"/>
      <c r="K22" s="703"/>
      <c r="L22" s="427"/>
      <c r="M22" s="702"/>
      <c r="N22" s="703"/>
      <c r="O22" s="265"/>
      <c r="P22" s="702"/>
      <c r="Q22" s="703"/>
      <c r="R22" s="427"/>
    </row>
    <row r="23" spans="1:18" ht="31.5" customHeight="1">
      <c r="A23" s="693" t="s">
        <v>958</v>
      </c>
      <c r="B23" s="720" t="s">
        <v>968</v>
      </c>
      <c r="C23" s="689"/>
      <c r="D23" s="643">
        <f>G23+J23</f>
        <v>0</v>
      </c>
      <c r="E23" s="643">
        <f>H23+K23</f>
        <v>0</v>
      </c>
      <c r="F23" s="690" t="e">
        <f t="shared" si="1"/>
        <v>#DIV/0!</v>
      </c>
      <c r="G23" s="359"/>
      <c r="H23" s="358"/>
      <c r="I23" s="690" t="e">
        <f t="shared" si="2"/>
        <v>#DIV/0!</v>
      </c>
      <c r="J23" s="511"/>
      <c r="K23" s="712"/>
      <c r="L23" s="416"/>
      <c r="M23" s="511"/>
      <c r="N23" s="712"/>
      <c r="O23" s="713"/>
      <c r="P23" s="511"/>
      <c r="Q23" s="712"/>
      <c r="R23" s="714"/>
    </row>
    <row r="24" spans="1:18" ht="16.5" customHeight="1">
      <c r="A24" s="698" t="s">
        <v>973</v>
      </c>
      <c r="B24" s="699" t="s">
        <v>378</v>
      </c>
      <c r="C24" s="700">
        <f>C25</f>
        <v>20</v>
      </c>
      <c r="D24" s="664">
        <f>D25</f>
        <v>20</v>
      </c>
      <c r="E24" s="664">
        <f>E25</f>
        <v>9</v>
      </c>
      <c r="F24" s="665">
        <f t="shared" si="1"/>
        <v>45</v>
      </c>
      <c r="G24" s="702">
        <f>G25</f>
        <v>20</v>
      </c>
      <c r="H24" s="703">
        <f>H25</f>
        <v>9</v>
      </c>
      <c r="I24" s="665">
        <f t="shared" si="2"/>
        <v>45</v>
      </c>
      <c r="J24" s="702"/>
      <c r="K24" s="703"/>
      <c r="L24" s="427"/>
      <c r="M24" s="702"/>
      <c r="N24" s="703"/>
      <c r="O24" s="265"/>
      <c r="P24" s="702"/>
      <c r="Q24" s="703"/>
      <c r="R24" s="427"/>
    </row>
    <row r="25" spans="1:18" ht="14.25" customHeight="1" thickBot="1">
      <c r="A25" s="688" t="s">
        <v>969</v>
      </c>
      <c r="B25" s="721" t="s">
        <v>961</v>
      </c>
      <c r="C25" s="689">
        <v>20</v>
      </c>
      <c r="D25" s="643">
        <f aca="true" t="shared" si="4" ref="D25:E29">G25+J25+M25+P25</f>
        <v>20</v>
      </c>
      <c r="E25" s="643">
        <f t="shared" si="4"/>
        <v>9</v>
      </c>
      <c r="F25" s="690">
        <f t="shared" si="1"/>
        <v>45</v>
      </c>
      <c r="G25" s="359">
        <v>20</v>
      </c>
      <c r="H25" s="358">
        <v>9</v>
      </c>
      <c r="I25" s="709">
        <f t="shared" si="2"/>
        <v>45</v>
      </c>
      <c r="J25" s="511"/>
      <c r="K25" s="712"/>
      <c r="L25" s="416"/>
      <c r="M25" s="511"/>
      <c r="N25" s="712"/>
      <c r="O25" s="713"/>
      <c r="P25" s="511"/>
      <c r="Q25" s="712"/>
      <c r="R25" s="714"/>
    </row>
    <row r="26" spans="1:18" ht="18" customHeight="1" thickBot="1" thickTop="1">
      <c r="A26" s="722" t="s">
        <v>974</v>
      </c>
      <c r="B26" s="723" t="s">
        <v>470</v>
      </c>
      <c r="C26" s="724"/>
      <c r="D26" s="619">
        <f>G26+J26+M26+P26</f>
        <v>31151</v>
      </c>
      <c r="E26" s="725">
        <f t="shared" si="4"/>
        <v>0</v>
      </c>
      <c r="F26" s="656">
        <f t="shared" si="1"/>
        <v>0</v>
      </c>
      <c r="G26" s="726">
        <f>G27</f>
        <v>31151</v>
      </c>
      <c r="H26" s="727">
        <f>H27</f>
        <v>0</v>
      </c>
      <c r="I26" s="656">
        <f t="shared" si="2"/>
        <v>0</v>
      </c>
      <c r="J26" s="726"/>
      <c r="K26" s="727"/>
      <c r="L26" s="728"/>
      <c r="M26" s="726"/>
      <c r="N26" s="727"/>
      <c r="O26" s="729"/>
      <c r="P26" s="726"/>
      <c r="Q26" s="727"/>
      <c r="R26" s="728"/>
    </row>
    <row r="27" spans="1:18" ht="16.5" customHeight="1" thickTop="1">
      <c r="A27" s="730" t="s">
        <v>975</v>
      </c>
      <c r="B27" s="731" t="s">
        <v>378</v>
      </c>
      <c r="C27" s="732"/>
      <c r="D27" s="733">
        <f t="shared" si="4"/>
        <v>31151</v>
      </c>
      <c r="E27" s="733">
        <f t="shared" si="4"/>
        <v>0</v>
      </c>
      <c r="F27" s="685">
        <f t="shared" si="1"/>
        <v>0</v>
      </c>
      <c r="G27" s="734">
        <f>SUM(G28:G29)</f>
        <v>31151</v>
      </c>
      <c r="H27" s="735">
        <f>H28+H29</f>
        <v>0</v>
      </c>
      <c r="I27" s="685">
        <f t="shared" si="2"/>
        <v>0</v>
      </c>
      <c r="J27" s="734"/>
      <c r="K27" s="735"/>
      <c r="L27" s="736"/>
      <c r="M27" s="734"/>
      <c r="N27" s="735"/>
      <c r="O27" s="737"/>
      <c r="P27" s="734"/>
      <c r="Q27" s="735"/>
      <c r="R27" s="736"/>
    </row>
    <row r="28" spans="1:18" s="692" customFormat="1" ht="44.25" customHeight="1">
      <c r="A28" s="705" t="s">
        <v>976</v>
      </c>
      <c r="B28" s="706" t="s">
        <v>977</v>
      </c>
      <c r="C28" s="707"/>
      <c r="D28" s="643">
        <f>G28+J28</f>
        <v>31151</v>
      </c>
      <c r="E28" s="708">
        <f t="shared" si="4"/>
        <v>0</v>
      </c>
      <c r="F28" s="709"/>
      <c r="G28" s="710">
        <v>31151</v>
      </c>
      <c r="H28" s="711"/>
      <c r="I28" s="709"/>
      <c r="J28" s="738"/>
      <c r="K28" s="739"/>
      <c r="L28" s="426"/>
      <c r="M28" s="738"/>
      <c r="N28" s="739"/>
      <c r="O28" s="740"/>
      <c r="P28" s="738"/>
      <c r="Q28" s="739"/>
      <c r="R28" s="741"/>
    </row>
    <row r="29" spans="1:18" ht="67.5" customHeight="1" thickBot="1">
      <c r="A29" s="688" t="s">
        <v>978</v>
      </c>
      <c r="B29" s="641" t="s">
        <v>979</v>
      </c>
      <c r="C29" s="689"/>
      <c r="D29" s="643">
        <f t="shared" si="4"/>
        <v>0</v>
      </c>
      <c r="E29" s="643">
        <f t="shared" si="4"/>
        <v>0</v>
      </c>
      <c r="F29" s="690" t="e">
        <f>E29/D29*100</f>
        <v>#DIV/0!</v>
      </c>
      <c r="G29" s="359"/>
      <c r="H29" s="358"/>
      <c r="I29" s="690" t="e">
        <f>H29/G29*100</f>
        <v>#DIV/0!</v>
      </c>
      <c r="J29" s="511"/>
      <c r="K29" s="712"/>
      <c r="L29" s="416"/>
      <c r="M29" s="511"/>
      <c r="N29" s="712"/>
      <c r="O29" s="713"/>
      <c r="P29" s="511"/>
      <c r="Q29" s="712"/>
      <c r="R29" s="714"/>
    </row>
    <row r="30" spans="1:18" ht="26.25" customHeight="1" thickBot="1" thickTop="1">
      <c r="A30" s="652" t="s">
        <v>980</v>
      </c>
      <c r="B30" s="742" t="s">
        <v>482</v>
      </c>
      <c r="C30" s="654">
        <f>C31</f>
        <v>21834000</v>
      </c>
      <c r="D30" s="619">
        <f>G30+J30+M30+P30</f>
        <v>21834000</v>
      </c>
      <c r="E30" s="655">
        <f>E31+E41</f>
        <v>4410961</v>
      </c>
      <c r="F30" s="656">
        <f t="shared" si="1"/>
        <v>20.20225794632225</v>
      </c>
      <c r="G30" s="658">
        <f>G31+G41</f>
        <v>20996000</v>
      </c>
      <c r="H30" s="655">
        <f>H31+H41</f>
        <v>4253278</v>
      </c>
      <c r="I30" s="657">
        <f t="shared" si="2"/>
        <v>20.257563345399124</v>
      </c>
      <c r="J30" s="658"/>
      <c r="K30" s="655"/>
      <c r="L30" s="659"/>
      <c r="M30" s="658">
        <f>M31</f>
        <v>800000</v>
      </c>
      <c r="N30" s="655">
        <f>N31</f>
        <v>148185</v>
      </c>
      <c r="O30" s="657">
        <f>N30/M30*100</f>
        <v>18.523125</v>
      </c>
      <c r="P30" s="658">
        <f>P31</f>
        <v>38000</v>
      </c>
      <c r="Q30" s="655">
        <f>Q31</f>
        <v>9498</v>
      </c>
      <c r="R30" s="743">
        <f>Q30/P30*100</f>
        <v>24.994736842105265</v>
      </c>
    </row>
    <row r="31" spans="1:18" ht="25.5" customHeight="1" thickTop="1">
      <c r="A31" s="680" t="s">
        <v>981</v>
      </c>
      <c r="B31" s="681" t="s">
        <v>486</v>
      </c>
      <c r="C31" s="682">
        <f>SUM(C32:C40)</f>
        <v>21834000</v>
      </c>
      <c r="D31" s="663">
        <f>SUM(D32:D40)</f>
        <v>21834000</v>
      </c>
      <c r="E31" s="663">
        <f>SUM(E32:E40)</f>
        <v>4410961</v>
      </c>
      <c r="F31" s="685">
        <f t="shared" si="1"/>
        <v>20.20225794632225</v>
      </c>
      <c r="G31" s="744">
        <f>SUM(G32:G40)</f>
        <v>20996000</v>
      </c>
      <c r="H31" s="533">
        <f>SUM(H32:H40)</f>
        <v>4253278</v>
      </c>
      <c r="I31" s="685">
        <f t="shared" si="2"/>
        <v>20.257563345399124</v>
      </c>
      <c r="J31" s="683"/>
      <c r="K31" s="684"/>
      <c r="L31" s="687"/>
      <c r="M31" s="683">
        <f>SUM(M32:M40)</f>
        <v>800000</v>
      </c>
      <c r="N31" s="684">
        <f>SUM(N32:N40)</f>
        <v>148185</v>
      </c>
      <c r="O31" s="685">
        <f>N31/M31*100</f>
        <v>18.523125</v>
      </c>
      <c r="P31" s="745">
        <f>P39</f>
        <v>38000</v>
      </c>
      <c r="Q31" s="663">
        <f>Q39</f>
        <v>9498</v>
      </c>
      <c r="R31" s="746">
        <f>Q31/P31*100</f>
        <v>24.994736842105265</v>
      </c>
    </row>
    <row r="32" spans="1:18" ht="35.25" customHeight="1">
      <c r="A32" s="672" t="s">
        <v>982</v>
      </c>
      <c r="B32" s="673" t="s">
        <v>983</v>
      </c>
      <c r="C32" s="747">
        <v>4686000</v>
      </c>
      <c r="D32" s="675">
        <f>G32+J32+M32+P32</f>
        <v>4686000</v>
      </c>
      <c r="E32" s="675">
        <f>H32+K32+N32+Q32</f>
        <v>2130120</v>
      </c>
      <c r="F32" s="719">
        <f t="shared" si="1"/>
        <v>45.45710627400768</v>
      </c>
      <c r="G32" s="677">
        <v>4686000</v>
      </c>
      <c r="H32" s="678">
        <v>2130120</v>
      </c>
      <c r="I32" s="719">
        <f t="shared" si="2"/>
        <v>45.45710627400768</v>
      </c>
      <c r="J32" s="677"/>
      <c r="K32" s="678"/>
      <c r="L32" s="417"/>
      <c r="M32" s="677"/>
      <c r="N32" s="678"/>
      <c r="O32" s="719"/>
      <c r="P32" s="677"/>
      <c r="Q32" s="678"/>
      <c r="R32" s="748"/>
    </row>
    <row r="33" spans="1:18" s="692" customFormat="1" ht="35.25" customHeight="1">
      <c r="A33" s="688" t="s">
        <v>958</v>
      </c>
      <c r="B33" s="641" t="s">
        <v>968</v>
      </c>
      <c r="C33" s="689"/>
      <c r="D33" s="643">
        <f>G33+J33+M33+P33</f>
        <v>0</v>
      </c>
      <c r="E33" s="643">
        <f>H33+K33+N33+Q33</f>
        <v>1441</v>
      </c>
      <c r="F33" s="690" t="e">
        <f t="shared" si="1"/>
        <v>#DIV/0!</v>
      </c>
      <c r="G33" s="359">
        <v>0</v>
      </c>
      <c r="H33" s="358">
        <v>1441</v>
      </c>
      <c r="I33" s="690" t="e">
        <f t="shared" si="2"/>
        <v>#DIV/0!</v>
      </c>
      <c r="J33" s="359"/>
      <c r="K33" s="358"/>
      <c r="L33" s="416"/>
      <c r="M33" s="359"/>
      <c r="N33" s="358"/>
      <c r="O33" s="690"/>
      <c r="P33" s="359"/>
      <c r="Q33" s="358"/>
      <c r="R33" s="749"/>
    </row>
    <row r="34" spans="1:18" ht="53.25" customHeight="1">
      <c r="A34" s="688" t="s">
        <v>984</v>
      </c>
      <c r="B34" s="721" t="s">
        <v>985</v>
      </c>
      <c r="C34" s="689">
        <v>640000</v>
      </c>
      <c r="D34" s="643">
        <f>G34+J34</f>
        <v>640000</v>
      </c>
      <c r="E34" s="643">
        <f aca="true" t="shared" si="5" ref="E34:E42">H34+K34+N34+Q34</f>
        <v>472000</v>
      </c>
      <c r="F34" s="690">
        <f t="shared" si="1"/>
        <v>73.75</v>
      </c>
      <c r="G34" s="359">
        <v>640000</v>
      </c>
      <c r="H34" s="358">
        <v>472000</v>
      </c>
      <c r="I34" s="690">
        <f t="shared" si="2"/>
        <v>73.75</v>
      </c>
      <c r="J34" s="359"/>
      <c r="K34" s="358"/>
      <c r="L34" s="416"/>
      <c r="M34" s="359"/>
      <c r="N34" s="358"/>
      <c r="O34" s="690"/>
      <c r="P34" s="359"/>
      <c r="Q34" s="358"/>
      <c r="R34" s="749"/>
    </row>
    <row r="35" spans="1:18" ht="57" customHeight="1">
      <c r="A35" s="688" t="s">
        <v>986</v>
      </c>
      <c r="B35" s="641" t="s">
        <v>987</v>
      </c>
      <c r="C35" s="689">
        <v>750000</v>
      </c>
      <c r="D35" s="643">
        <f>G35+J35+M35+P35</f>
        <v>750000</v>
      </c>
      <c r="E35" s="643">
        <f t="shared" si="5"/>
        <v>190993</v>
      </c>
      <c r="F35" s="690">
        <f t="shared" si="1"/>
        <v>25.465733333333336</v>
      </c>
      <c r="G35" s="359">
        <v>750000</v>
      </c>
      <c r="H35" s="358">
        <v>190993</v>
      </c>
      <c r="I35" s="690">
        <f t="shared" si="2"/>
        <v>25.465733333333336</v>
      </c>
      <c r="J35" s="359"/>
      <c r="K35" s="358"/>
      <c r="L35" s="416"/>
      <c r="M35" s="359"/>
      <c r="N35" s="358"/>
      <c r="O35" s="690"/>
      <c r="P35" s="359"/>
      <c r="Q35" s="358"/>
      <c r="R35" s="749"/>
    </row>
    <row r="36" spans="1:18" ht="47.25" customHeight="1">
      <c r="A36" s="688" t="s">
        <v>988</v>
      </c>
      <c r="B36" s="641" t="s">
        <v>989</v>
      </c>
      <c r="C36" s="689">
        <v>1100000</v>
      </c>
      <c r="D36" s="643">
        <f>G36+J36</f>
        <v>1100000</v>
      </c>
      <c r="E36" s="643">
        <f t="shared" si="5"/>
        <v>254455</v>
      </c>
      <c r="F36" s="690">
        <f t="shared" si="1"/>
        <v>23.132272727272728</v>
      </c>
      <c r="G36" s="359">
        <v>1100000</v>
      </c>
      <c r="H36" s="358">
        <v>254455</v>
      </c>
      <c r="I36" s="690">
        <f t="shared" si="2"/>
        <v>23.132272727272728</v>
      </c>
      <c r="J36" s="359"/>
      <c r="K36" s="358"/>
      <c r="L36" s="416"/>
      <c r="M36" s="359"/>
      <c r="N36" s="358"/>
      <c r="O36" s="690"/>
      <c r="P36" s="359"/>
      <c r="Q36" s="358"/>
      <c r="R36" s="749"/>
    </row>
    <row r="37" spans="1:18" s="692" customFormat="1" ht="48.75" customHeight="1">
      <c r="A37" s="688" t="s">
        <v>990</v>
      </c>
      <c r="B37" s="641" t="s">
        <v>991</v>
      </c>
      <c r="C37" s="689">
        <v>13700000</v>
      </c>
      <c r="D37" s="643">
        <f>G37+J37+M37+P37</f>
        <v>13700000</v>
      </c>
      <c r="E37" s="643">
        <f t="shared" si="5"/>
        <v>1191095</v>
      </c>
      <c r="F37" s="690">
        <f t="shared" si="1"/>
        <v>8.694124087591241</v>
      </c>
      <c r="G37" s="359">
        <v>13700000</v>
      </c>
      <c r="H37" s="358">
        <v>1191095</v>
      </c>
      <c r="I37" s="690">
        <f t="shared" si="2"/>
        <v>8.694124087591241</v>
      </c>
      <c r="J37" s="359"/>
      <c r="K37" s="358"/>
      <c r="L37" s="416"/>
      <c r="M37" s="359"/>
      <c r="N37" s="358"/>
      <c r="O37" s="749"/>
      <c r="P37" s="359"/>
      <c r="Q37" s="358"/>
      <c r="R37" s="749"/>
    </row>
    <row r="38" spans="1:18" ht="35.25" customHeight="1">
      <c r="A38" s="688" t="s">
        <v>969</v>
      </c>
      <c r="B38" s="641" t="s">
        <v>992</v>
      </c>
      <c r="C38" s="689">
        <v>120000</v>
      </c>
      <c r="D38" s="643">
        <f>G38+J38</f>
        <v>120000</v>
      </c>
      <c r="E38" s="643">
        <f t="shared" si="5"/>
        <v>13174</v>
      </c>
      <c r="F38" s="690">
        <f t="shared" si="1"/>
        <v>10.978333333333333</v>
      </c>
      <c r="G38" s="359">
        <v>120000</v>
      </c>
      <c r="H38" s="358">
        <v>13174</v>
      </c>
      <c r="I38" s="690">
        <f t="shared" si="2"/>
        <v>10.978333333333333</v>
      </c>
      <c r="J38" s="359"/>
      <c r="K38" s="358"/>
      <c r="L38" s="416"/>
      <c r="M38" s="359"/>
      <c r="N38" s="358"/>
      <c r="O38" s="690"/>
      <c r="P38" s="359"/>
      <c r="Q38" s="358"/>
      <c r="R38" s="749"/>
    </row>
    <row r="39" spans="1:18" s="692" customFormat="1" ht="69" customHeight="1">
      <c r="A39" s="688" t="s">
        <v>993</v>
      </c>
      <c r="B39" s="750" t="s">
        <v>0</v>
      </c>
      <c r="C39" s="689">
        <v>38000</v>
      </c>
      <c r="D39" s="643">
        <f>G39+J39+M39+P39</f>
        <v>38000</v>
      </c>
      <c r="E39" s="643">
        <f t="shared" si="5"/>
        <v>9498</v>
      </c>
      <c r="F39" s="690">
        <f t="shared" si="1"/>
        <v>24.994736842105265</v>
      </c>
      <c r="G39" s="359"/>
      <c r="H39" s="358"/>
      <c r="I39" s="690"/>
      <c r="J39" s="359"/>
      <c r="K39" s="358"/>
      <c r="L39" s="416"/>
      <c r="M39" s="359"/>
      <c r="N39" s="358"/>
      <c r="O39" s="690"/>
      <c r="P39" s="359">
        <v>38000</v>
      </c>
      <c r="Q39" s="358">
        <v>9498</v>
      </c>
      <c r="R39" s="749">
        <f>Q39/P39*100</f>
        <v>24.994736842105265</v>
      </c>
    </row>
    <row r="40" spans="1:18" ht="57.75" customHeight="1">
      <c r="A40" s="688" t="s">
        <v>1</v>
      </c>
      <c r="B40" s="750" t="s">
        <v>2</v>
      </c>
      <c r="C40" s="689">
        <v>800000</v>
      </c>
      <c r="D40" s="643">
        <f>G40+J40+M40+P40</f>
        <v>800000</v>
      </c>
      <c r="E40" s="643">
        <f t="shared" si="5"/>
        <v>148185</v>
      </c>
      <c r="F40" s="690">
        <f t="shared" si="1"/>
        <v>18.523125</v>
      </c>
      <c r="G40" s="359"/>
      <c r="H40" s="358"/>
      <c r="I40" s="690"/>
      <c r="J40" s="359"/>
      <c r="K40" s="358"/>
      <c r="L40" s="416"/>
      <c r="M40" s="359">
        <v>800000</v>
      </c>
      <c r="N40" s="358">
        <v>148185</v>
      </c>
      <c r="O40" s="690">
        <f>N40/M40*100</f>
        <v>18.523125</v>
      </c>
      <c r="P40" s="359"/>
      <c r="Q40" s="358"/>
      <c r="R40" s="749"/>
    </row>
    <row r="41" spans="1:18" s="755" customFormat="1" ht="15" customHeight="1">
      <c r="A41" s="698" t="s">
        <v>3</v>
      </c>
      <c r="B41" s="751" t="s">
        <v>378</v>
      </c>
      <c r="C41" s="700"/>
      <c r="D41" s="752">
        <f>G41+J41+M41+P41</f>
        <v>0</v>
      </c>
      <c r="E41" s="752">
        <f t="shared" si="5"/>
        <v>0</v>
      </c>
      <c r="F41" s="753" t="e">
        <f>E41/D41*100</f>
        <v>#DIV/0!</v>
      </c>
      <c r="G41" s="702">
        <f>G42</f>
        <v>0</v>
      </c>
      <c r="H41" s="703">
        <f>H42</f>
        <v>0</v>
      </c>
      <c r="I41" s="754" t="e">
        <f>H41/G41*100</f>
        <v>#DIV/0!</v>
      </c>
      <c r="J41" s="702"/>
      <c r="K41" s="703"/>
      <c r="L41" s="427"/>
      <c r="M41" s="702"/>
      <c r="N41" s="703"/>
      <c r="O41" s="754"/>
      <c r="P41" s="702"/>
      <c r="Q41" s="703"/>
      <c r="R41" s="704"/>
    </row>
    <row r="42" spans="1:18" ht="18" customHeight="1">
      <c r="A42" s="672" t="s">
        <v>969</v>
      </c>
      <c r="B42" s="756" t="s">
        <v>4</v>
      </c>
      <c r="C42" s="747"/>
      <c r="D42" s="675">
        <f>G42+J42+M42+P42</f>
        <v>0</v>
      </c>
      <c r="E42" s="675">
        <f t="shared" si="5"/>
        <v>0</v>
      </c>
      <c r="F42" s="757" t="e">
        <f>E42/D42*100</f>
        <v>#DIV/0!</v>
      </c>
      <c r="G42" s="677"/>
      <c r="H42" s="678"/>
      <c r="I42" s="719" t="e">
        <f>H42/G42*100</f>
        <v>#DIV/0!</v>
      </c>
      <c r="J42" s="677"/>
      <c r="K42" s="678"/>
      <c r="L42" s="417"/>
      <c r="M42" s="677"/>
      <c r="N42" s="678"/>
      <c r="O42" s="719"/>
      <c r="P42" s="677"/>
      <c r="Q42" s="678"/>
      <c r="R42" s="748"/>
    </row>
    <row r="43" spans="1:18" ht="25.5" customHeight="1" thickBot="1">
      <c r="A43" s="758" t="s">
        <v>5</v>
      </c>
      <c r="B43" s="759" t="s">
        <v>507</v>
      </c>
      <c r="C43" s="760">
        <f>SUM(C44+C47+C50+C56)</f>
        <v>1684600</v>
      </c>
      <c r="D43" s="761">
        <f>G43+J43+M43+P43</f>
        <v>1684600</v>
      </c>
      <c r="E43" s="761">
        <f>H43+K43+N43+Q43</f>
        <v>377702</v>
      </c>
      <c r="F43" s="762">
        <f t="shared" si="1"/>
        <v>22.42087142348332</v>
      </c>
      <c r="G43" s="761">
        <f>G44+G50+G47+G56</f>
        <v>1249600</v>
      </c>
      <c r="H43" s="761">
        <f>H44+H50+H47+H56</f>
        <v>204503</v>
      </c>
      <c r="I43" s="763">
        <f>H43/G43*100</f>
        <v>16.365476952624842</v>
      </c>
      <c r="J43" s="764"/>
      <c r="K43" s="765"/>
      <c r="L43" s="766"/>
      <c r="M43" s="767">
        <f>M44+M47+M50</f>
        <v>0</v>
      </c>
      <c r="N43" s="761">
        <f>N44+N47+N50</f>
        <v>1</v>
      </c>
      <c r="O43" s="763"/>
      <c r="P43" s="767">
        <f>P44+P47+P50</f>
        <v>435000</v>
      </c>
      <c r="Q43" s="761">
        <f>Q44+Q47+Q50</f>
        <v>173198</v>
      </c>
      <c r="R43" s="768">
        <f aca="true" t="shared" si="6" ref="R43:R52">Q43/P43*100</f>
        <v>39.81563218390804</v>
      </c>
    </row>
    <row r="44" spans="1:18" ht="27" customHeight="1" thickTop="1">
      <c r="A44" s="680" t="s">
        <v>6</v>
      </c>
      <c r="B44" s="681" t="s">
        <v>7</v>
      </c>
      <c r="C44" s="769">
        <f>SUM(C45:C46)</f>
        <v>75000</v>
      </c>
      <c r="D44" s="770">
        <f>SUM(D45:D46)</f>
        <v>75000</v>
      </c>
      <c r="E44" s="663">
        <f>E46</f>
        <v>251</v>
      </c>
      <c r="F44" s="771">
        <f t="shared" si="1"/>
        <v>0.33466666666666667</v>
      </c>
      <c r="G44" s="683">
        <f>SUM(G45:G46)</f>
        <v>0</v>
      </c>
      <c r="H44" s="684">
        <f>SUM(H45:H46)</f>
        <v>251</v>
      </c>
      <c r="I44" s="690" t="e">
        <f>H44/G44*100</f>
        <v>#DIV/0!</v>
      </c>
      <c r="J44" s="683"/>
      <c r="K44" s="684"/>
      <c r="L44" s="687"/>
      <c r="M44" s="683"/>
      <c r="N44" s="684"/>
      <c r="O44" s="685"/>
      <c r="P44" s="682">
        <f>SUM(P45:P46)</f>
        <v>75000</v>
      </c>
      <c r="Q44" s="682">
        <f>SUM(Q45:Q46)</f>
        <v>19444</v>
      </c>
      <c r="R44" s="746">
        <f t="shared" si="6"/>
        <v>25.925333333333334</v>
      </c>
    </row>
    <row r="45" spans="1:18" s="692" customFormat="1" ht="64.5" customHeight="1">
      <c r="A45" s="705" t="s">
        <v>993</v>
      </c>
      <c r="B45" s="772" t="s">
        <v>0</v>
      </c>
      <c r="C45" s="707">
        <v>75000</v>
      </c>
      <c r="D45" s="708">
        <f>G45+J45+M45+P45</f>
        <v>75000</v>
      </c>
      <c r="E45" s="643">
        <f>H45+K45+N45+Q45</f>
        <v>19444</v>
      </c>
      <c r="F45" s="676">
        <f>E45/D45*100</f>
        <v>25.925333333333334</v>
      </c>
      <c r="G45" s="710"/>
      <c r="H45" s="711"/>
      <c r="I45" s="709"/>
      <c r="J45" s="710"/>
      <c r="K45" s="711"/>
      <c r="L45" s="426"/>
      <c r="M45" s="710"/>
      <c r="N45" s="711"/>
      <c r="O45" s="709"/>
      <c r="P45" s="710">
        <v>75000</v>
      </c>
      <c r="Q45" s="711">
        <v>19444</v>
      </c>
      <c r="R45" s="773">
        <f>Q45/P45*100</f>
        <v>25.925333333333334</v>
      </c>
    </row>
    <row r="46" spans="1:18" s="692" customFormat="1" ht="44.25" customHeight="1">
      <c r="A46" s="688" t="s">
        <v>958</v>
      </c>
      <c r="B46" s="641" t="s">
        <v>968</v>
      </c>
      <c r="C46" s="689"/>
      <c r="D46" s="643">
        <f>G46+J46+M46+P46</f>
        <v>0</v>
      </c>
      <c r="E46" s="696">
        <f>H46+K46+N46+Q46</f>
        <v>251</v>
      </c>
      <c r="F46" s="690" t="e">
        <f>E46/D46*100</f>
        <v>#DIV/0!</v>
      </c>
      <c r="G46" s="359">
        <v>0</v>
      </c>
      <c r="H46" s="358">
        <v>251</v>
      </c>
      <c r="I46" s="690" t="e">
        <f>H46/G46*100</f>
        <v>#DIV/0!</v>
      </c>
      <c r="J46" s="359"/>
      <c r="K46" s="358"/>
      <c r="L46" s="416"/>
      <c r="M46" s="359"/>
      <c r="N46" s="358"/>
      <c r="O46" s="690"/>
      <c r="P46" s="359"/>
      <c r="Q46" s="358"/>
      <c r="R46" s="749"/>
    </row>
    <row r="47" spans="1:18" ht="24.75" customHeight="1">
      <c r="A47" s="698" t="s">
        <v>8</v>
      </c>
      <c r="B47" s="699" t="s">
        <v>512</v>
      </c>
      <c r="C47" s="700">
        <f>SUM(C48)</f>
        <v>20000</v>
      </c>
      <c r="D47" s="664">
        <f>D48</f>
        <v>20000</v>
      </c>
      <c r="E47" s="664">
        <f>E48</f>
        <v>5184</v>
      </c>
      <c r="F47" s="774">
        <f t="shared" si="1"/>
        <v>25.919999999999998</v>
      </c>
      <c r="G47" s="702">
        <f>SUM(G48:G49)</f>
        <v>0</v>
      </c>
      <c r="H47" s="703">
        <f>SUM(H48:H49)</f>
        <v>66</v>
      </c>
      <c r="I47" s="719" t="e">
        <f>H47/G47*100</f>
        <v>#DIV/0!</v>
      </c>
      <c r="J47" s="702"/>
      <c r="K47" s="703"/>
      <c r="L47" s="427"/>
      <c r="M47" s="702"/>
      <c r="N47" s="703"/>
      <c r="O47" s="665"/>
      <c r="P47" s="702">
        <f>P48</f>
        <v>20000</v>
      </c>
      <c r="Q47" s="703">
        <f>Q48</f>
        <v>5184</v>
      </c>
      <c r="R47" s="704">
        <f t="shared" si="6"/>
        <v>25.919999999999998</v>
      </c>
    </row>
    <row r="48" spans="1:18" ht="64.5" customHeight="1">
      <c r="A48" s="672" t="s">
        <v>993</v>
      </c>
      <c r="B48" s="756" t="s">
        <v>0</v>
      </c>
      <c r="C48" s="747">
        <v>20000</v>
      </c>
      <c r="D48" s="675">
        <f>G48+J48+M48+P48</f>
        <v>20000</v>
      </c>
      <c r="E48" s="675">
        <f>H48+K48+N48+Q48</f>
        <v>5184</v>
      </c>
      <c r="F48" s="757">
        <f t="shared" si="1"/>
        <v>25.919999999999998</v>
      </c>
      <c r="G48" s="677"/>
      <c r="H48" s="678"/>
      <c r="I48" s="719"/>
      <c r="J48" s="775"/>
      <c r="K48" s="776"/>
      <c r="L48" s="417"/>
      <c r="M48" s="775"/>
      <c r="N48" s="776"/>
      <c r="O48" s="719"/>
      <c r="P48" s="775">
        <v>20000</v>
      </c>
      <c r="Q48" s="776">
        <v>5184</v>
      </c>
      <c r="R48" s="748">
        <f t="shared" si="6"/>
        <v>25.919999999999998</v>
      </c>
    </row>
    <row r="49" spans="1:18" s="692" customFormat="1" ht="44.25" customHeight="1">
      <c r="A49" s="688" t="s">
        <v>958</v>
      </c>
      <c r="B49" s="641" t="s">
        <v>968</v>
      </c>
      <c r="C49" s="689"/>
      <c r="D49" s="643">
        <f>G49+J49+M49+P49</f>
        <v>0</v>
      </c>
      <c r="E49" s="708">
        <f>H49+K49+N49+Q49</f>
        <v>66</v>
      </c>
      <c r="F49" s="690" t="e">
        <f t="shared" si="1"/>
        <v>#DIV/0!</v>
      </c>
      <c r="G49" s="359">
        <v>0</v>
      </c>
      <c r="H49" s="358">
        <v>66</v>
      </c>
      <c r="I49" s="690" t="e">
        <f>H49/G49*100</f>
        <v>#DIV/0!</v>
      </c>
      <c r="J49" s="359"/>
      <c r="K49" s="358"/>
      <c r="L49" s="416"/>
      <c r="M49" s="359"/>
      <c r="N49" s="358"/>
      <c r="O49" s="690"/>
      <c r="P49" s="359"/>
      <c r="Q49" s="358"/>
      <c r="R49" s="749"/>
    </row>
    <row r="50" spans="1:18" ht="13.5" customHeight="1">
      <c r="A50" s="698" t="s">
        <v>9</v>
      </c>
      <c r="B50" s="699" t="s">
        <v>10</v>
      </c>
      <c r="C50" s="700">
        <f>SUM(C52:C53)</f>
        <v>340000</v>
      </c>
      <c r="D50" s="700">
        <f>SUM(D52:D53)</f>
        <v>340000</v>
      </c>
      <c r="E50" s="664">
        <f>E52+E51</f>
        <v>108571</v>
      </c>
      <c r="F50" s="774">
        <f t="shared" si="1"/>
        <v>31.932647058823527</v>
      </c>
      <c r="G50" s="702"/>
      <c r="H50" s="703"/>
      <c r="I50" s="719"/>
      <c r="J50" s="702"/>
      <c r="K50" s="703"/>
      <c r="L50" s="417"/>
      <c r="M50" s="702"/>
      <c r="N50" s="703">
        <f>SUM(N51:N52)</f>
        <v>1</v>
      </c>
      <c r="O50" s="719"/>
      <c r="P50" s="700">
        <f>SUM(P52:P53)</f>
        <v>340000</v>
      </c>
      <c r="Q50" s="700">
        <f>SUM(Q52:Q53)</f>
        <v>148570</v>
      </c>
      <c r="R50" s="704">
        <f t="shared" si="6"/>
        <v>43.69705882352941</v>
      </c>
    </row>
    <row r="51" spans="1:18" s="692" customFormat="1" ht="12" customHeight="1">
      <c r="A51" s="688" t="s">
        <v>11</v>
      </c>
      <c r="B51" s="721" t="s">
        <v>12</v>
      </c>
      <c r="C51" s="689"/>
      <c r="D51" s="643">
        <f aca="true" t="shared" si="7" ref="D51:E53">G51+J51+M51+P51</f>
        <v>0</v>
      </c>
      <c r="E51" s="643">
        <f t="shared" si="7"/>
        <v>1</v>
      </c>
      <c r="F51" s="690"/>
      <c r="G51" s="359"/>
      <c r="H51" s="358"/>
      <c r="I51" s="690"/>
      <c r="J51" s="359"/>
      <c r="K51" s="358"/>
      <c r="L51" s="416"/>
      <c r="M51" s="359"/>
      <c r="N51" s="358">
        <v>1</v>
      </c>
      <c r="O51" s="690"/>
      <c r="P51" s="359"/>
      <c r="Q51" s="358"/>
      <c r="R51" s="749"/>
    </row>
    <row r="52" spans="1:18" ht="66" customHeight="1">
      <c r="A52" s="693" t="s">
        <v>993</v>
      </c>
      <c r="B52" s="777" t="s">
        <v>0</v>
      </c>
      <c r="C52" s="695">
        <v>300000</v>
      </c>
      <c r="D52" s="696">
        <f t="shared" si="7"/>
        <v>300000</v>
      </c>
      <c r="E52" s="696">
        <f t="shared" si="7"/>
        <v>108570</v>
      </c>
      <c r="F52" s="697">
        <f t="shared" si="1"/>
        <v>36.19</v>
      </c>
      <c r="G52" s="523"/>
      <c r="H52" s="524"/>
      <c r="I52" s="679"/>
      <c r="J52" s="715"/>
      <c r="K52" s="716"/>
      <c r="L52" s="424"/>
      <c r="M52" s="715"/>
      <c r="N52" s="716"/>
      <c r="O52" s="679"/>
      <c r="P52" s="715">
        <v>300000</v>
      </c>
      <c r="Q52" s="716">
        <v>108570</v>
      </c>
      <c r="R52" s="778">
        <f t="shared" si="6"/>
        <v>36.19</v>
      </c>
    </row>
    <row r="53" spans="1:18" ht="67.5" customHeight="1">
      <c r="A53" s="693" t="s">
        <v>13</v>
      </c>
      <c r="B53" s="720" t="s">
        <v>14</v>
      </c>
      <c r="C53" s="695">
        <v>40000</v>
      </c>
      <c r="D53" s="696">
        <f t="shared" si="7"/>
        <v>40000</v>
      </c>
      <c r="E53" s="643">
        <f t="shared" si="7"/>
        <v>40000</v>
      </c>
      <c r="F53" s="676">
        <f t="shared" si="1"/>
        <v>100</v>
      </c>
      <c r="G53" s="523"/>
      <c r="H53" s="524"/>
      <c r="I53" s="679"/>
      <c r="J53" s="523"/>
      <c r="K53" s="524"/>
      <c r="L53" s="778"/>
      <c r="M53" s="523"/>
      <c r="N53" s="524"/>
      <c r="O53" s="679"/>
      <c r="P53" s="523">
        <v>40000</v>
      </c>
      <c r="Q53" s="524">
        <v>40000</v>
      </c>
      <c r="R53" s="749">
        <f>Q53/P53*100</f>
        <v>100</v>
      </c>
    </row>
    <row r="54" spans="1:18" ht="36.75" customHeight="1">
      <c r="A54" s="698" t="s">
        <v>15</v>
      </c>
      <c r="B54" s="751" t="s">
        <v>16</v>
      </c>
      <c r="C54" s="700"/>
      <c r="D54" s="664">
        <f>D55</f>
        <v>0</v>
      </c>
      <c r="E54" s="664">
        <f>E55</f>
        <v>0</v>
      </c>
      <c r="F54" s="774"/>
      <c r="G54" s="702">
        <f>G55</f>
        <v>0</v>
      </c>
      <c r="H54" s="703">
        <f>H55</f>
        <v>0</v>
      </c>
      <c r="I54" s="665"/>
      <c r="J54" s="702"/>
      <c r="K54" s="703"/>
      <c r="L54" s="427"/>
      <c r="M54" s="702"/>
      <c r="N54" s="703"/>
      <c r="O54" s="665"/>
      <c r="P54" s="702"/>
      <c r="Q54" s="703"/>
      <c r="R54" s="704"/>
    </row>
    <row r="55" spans="1:18" ht="33" customHeight="1">
      <c r="A55" s="688" t="s">
        <v>958</v>
      </c>
      <c r="B55" s="641" t="s">
        <v>968</v>
      </c>
      <c r="C55" s="689"/>
      <c r="D55" s="643">
        <f>G55+J55+M55+P55</f>
        <v>0</v>
      </c>
      <c r="E55" s="708">
        <f>H55+K55+N55+Q55</f>
        <v>0</v>
      </c>
      <c r="F55" s="690"/>
      <c r="G55" s="359"/>
      <c r="H55" s="358"/>
      <c r="I55" s="690"/>
      <c r="J55" s="359"/>
      <c r="K55" s="358"/>
      <c r="L55" s="416"/>
      <c r="M55" s="359"/>
      <c r="N55" s="358"/>
      <c r="O55" s="690"/>
      <c r="P55" s="359"/>
      <c r="Q55" s="358"/>
      <c r="R55" s="749"/>
    </row>
    <row r="56" spans="1:18" ht="13.5" customHeight="1">
      <c r="A56" s="698" t="s">
        <v>17</v>
      </c>
      <c r="B56" s="751" t="s">
        <v>516</v>
      </c>
      <c r="C56" s="700">
        <f>SUM(C57:C58)</f>
        <v>1249600</v>
      </c>
      <c r="D56" s="664">
        <f>SUM(D57:D58)</f>
        <v>1249600</v>
      </c>
      <c r="E56" s="664">
        <f>SUM(E57:E58)</f>
        <v>204186</v>
      </c>
      <c r="F56" s="774">
        <f t="shared" si="1"/>
        <v>16.340108834827145</v>
      </c>
      <c r="G56" s="702">
        <f>SUM(G57:G58)</f>
        <v>1249600</v>
      </c>
      <c r="H56" s="703">
        <f>SUM(H57:H58)</f>
        <v>204186</v>
      </c>
      <c r="I56" s="665">
        <f>H56/G56*100</f>
        <v>16.340108834827145</v>
      </c>
      <c r="J56" s="702"/>
      <c r="K56" s="703"/>
      <c r="L56" s="427"/>
      <c r="M56" s="702"/>
      <c r="N56" s="703"/>
      <c r="O56" s="665"/>
      <c r="P56" s="702"/>
      <c r="Q56" s="703"/>
      <c r="R56" s="704"/>
    </row>
    <row r="57" spans="1:18" s="692" customFormat="1" ht="51.75" customHeight="1">
      <c r="A57" s="705" t="s">
        <v>986</v>
      </c>
      <c r="B57" s="706" t="s">
        <v>987</v>
      </c>
      <c r="C57" s="707">
        <v>1233000</v>
      </c>
      <c r="D57" s="708">
        <f>G57+J57+M57+P57</f>
        <v>1233000</v>
      </c>
      <c r="E57" s="708">
        <f>H57+K57+N57+Q57</f>
        <v>200037</v>
      </c>
      <c r="F57" s="779">
        <f t="shared" si="1"/>
        <v>16.22360097323601</v>
      </c>
      <c r="G57" s="710">
        <v>1233000</v>
      </c>
      <c r="H57" s="711">
        <v>200037</v>
      </c>
      <c r="I57" s="709">
        <f>H57/G57*100</f>
        <v>16.22360097323601</v>
      </c>
      <c r="J57" s="710"/>
      <c r="K57" s="711"/>
      <c r="L57" s="426"/>
      <c r="M57" s="710"/>
      <c r="N57" s="711"/>
      <c r="O57" s="709"/>
      <c r="P57" s="710"/>
      <c r="Q57" s="711"/>
      <c r="R57" s="773"/>
    </row>
    <row r="58" spans="1:18" ht="58.5" customHeight="1" thickBot="1">
      <c r="A58" s="688" t="s">
        <v>18</v>
      </c>
      <c r="B58" s="641" t="s">
        <v>19</v>
      </c>
      <c r="C58" s="689">
        <v>16600</v>
      </c>
      <c r="D58" s="643">
        <f>G58+J58+M58+P58</f>
        <v>16600</v>
      </c>
      <c r="E58" s="643">
        <f>H58+K58+N58+Q58</f>
        <v>4149</v>
      </c>
      <c r="F58" s="676">
        <f t="shared" si="1"/>
        <v>24.99397590361446</v>
      </c>
      <c r="G58" s="359">
        <v>16600</v>
      </c>
      <c r="H58" s="358">
        <v>4149</v>
      </c>
      <c r="I58" s="690">
        <f>H58/G58*100</f>
        <v>24.99397590361446</v>
      </c>
      <c r="J58" s="359"/>
      <c r="K58" s="358"/>
      <c r="L58" s="416"/>
      <c r="M58" s="359"/>
      <c r="N58" s="358"/>
      <c r="O58" s="690"/>
      <c r="P58" s="359"/>
      <c r="Q58" s="358"/>
      <c r="R58" s="749"/>
    </row>
    <row r="59" spans="1:18" ht="28.5" customHeight="1" thickBot="1" thickTop="1">
      <c r="A59" s="652" t="s">
        <v>20</v>
      </c>
      <c r="B59" s="742" t="s">
        <v>21</v>
      </c>
      <c r="C59" s="780">
        <f>C60+C64+C67+C73+C78</f>
        <v>3646400</v>
      </c>
      <c r="D59" s="619">
        <f>G59+J59+M59+P59</f>
        <v>3646400</v>
      </c>
      <c r="E59" s="619">
        <f>E60+E64+E67+E73+E78+E76</f>
        <v>951722</v>
      </c>
      <c r="F59" s="657">
        <f t="shared" si="1"/>
        <v>26.100318121983324</v>
      </c>
      <c r="G59" s="780">
        <f>G60+G64+G67+G73+G78+G76</f>
        <v>329500</v>
      </c>
      <c r="H59" s="619">
        <f>H60+H64+H67+H73+H78+H76</f>
        <v>70491</v>
      </c>
      <c r="I59" s="657">
        <f>H59/G59*100</f>
        <v>21.393323216995448</v>
      </c>
      <c r="J59" s="780">
        <f>J60+J64+J67+J73+J78</f>
        <v>738000</v>
      </c>
      <c r="K59" s="619">
        <f>K60+K64+K67+K73+K78</f>
        <v>227974</v>
      </c>
      <c r="L59" s="743">
        <f>K59/J59*100</f>
        <v>30.89078590785908</v>
      </c>
      <c r="M59" s="780">
        <f>M60+M64+M73</f>
        <v>2309900</v>
      </c>
      <c r="N59" s="619">
        <f>N60+N64+N73</f>
        <v>546855</v>
      </c>
      <c r="O59" s="657">
        <f>N59/M59*100</f>
        <v>23.67440148924196</v>
      </c>
      <c r="P59" s="780">
        <f>P60+P73</f>
        <v>269000</v>
      </c>
      <c r="Q59" s="619">
        <f>Q60+Q73</f>
        <v>106402</v>
      </c>
      <c r="R59" s="743">
        <f>Q59/P59*100</f>
        <v>39.5546468401487</v>
      </c>
    </row>
    <row r="60" spans="1:18" ht="18" customHeight="1" thickTop="1">
      <c r="A60" s="680" t="s">
        <v>22</v>
      </c>
      <c r="B60" s="681" t="s">
        <v>23</v>
      </c>
      <c r="C60" s="745">
        <f>SUM(C61:C63)</f>
        <v>998500</v>
      </c>
      <c r="D60" s="663">
        <f>SUM(D61:D63)</f>
        <v>998500</v>
      </c>
      <c r="E60" s="663">
        <f>SUM(E61:E63)</f>
        <v>306651</v>
      </c>
      <c r="F60" s="771">
        <f t="shared" si="1"/>
        <v>30.711166750125184</v>
      </c>
      <c r="G60" s="683">
        <f>SUM(G61:G63)</f>
        <v>25500</v>
      </c>
      <c r="H60" s="684">
        <f>SUM(H61:H63)</f>
        <v>6275</v>
      </c>
      <c r="I60" s="746">
        <f>H60/G60*100</f>
        <v>24.6078431372549</v>
      </c>
      <c r="J60" s="683">
        <f>J61</f>
        <v>738000</v>
      </c>
      <c r="K60" s="684">
        <f>K61</f>
        <v>227974</v>
      </c>
      <c r="L60" s="746">
        <f>K60/J60*100</f>
        <v>30.89078590785908</v>
      </c>
      <c r="M60" s="683">
        <f>SUM(M61:M63)</f>
        <v>0</v>
      </c>
      <c r="N60" s="684">
        <f>SUM(N61:N63)</f>
        <v>0</v>
      </c>
      <c r="O60" s="685"/>
      <c r="P60" s="683">
        <f>P62</f>
        <v>235000</v>
      </c>
      <c r="Q60" s="684">
        <f>SUM(Q61:Q62)</f>
        <v>72402</v>
      </c>
      <c r="R60" s="746">
        <f>Q60/P60*100</f>
        <v>30.809361702127656</v>
      </c>
    </row>
    <row r="61" spans="1:18" ht="57" customHeight="1">
      <c r="A61" s="705" t="s">
        <v>950</v>
      </c>
      <c r="B61" s="706" t="s">
        <v>951</v>
      </c>
      <c r="C61" s="707">
        <v>738000</v>
      </c>
      <c r="D61" s="708">
        <f aca="true" t="shared" si="8" ref="D61:E63">G61+J61+M61+P61</f>
        <v>738000</v>
      </c>
      <c r="E61" s="708">
        <f t="shared" si="8"/>
        <v>227974</v>
      </c>
      <c r="F61" s="709">
        <f t="shared" si="1"/>
        <v>30.89078590785908</v>
      </c>
      <c r="G61" s="710"/>
      <c r="H61" s="711"/>
      <c r="I61" s="709"/>
      <c r="J61" s="710">
        <v>738000</v>
      </c>
      <c r="K61" s="711">
        <v>227974</v>
      </c>
      <c r="L61" s="773">
        <f>K61/J61*100</f>
        <v>30.89078590785908</v>
      </c>
      <c r="M61" s="710"/>
      <c r="N61" s="711"/>
      <c r="O61" s="709"/>
      <c r="P61" s="710"/>
      <c r="Q61" s="711"/>
      <c r="R61" s="773"/>
    </row>
    <row r="62" spans="1:18" s="692" customFormat="1" ht="66" customHeight="1">
      <c r="A62" s="693" t="s">
        <v>993</v>
      </c>
      <c r="B62" s="777" t="s">
        <v>0</v>
      </c>
      <c r="C62" s="695">
        <v>235000</v>
      </c>
      <c r="D62" s="696">
        <f t="shared" si="8"/>
        <v>235000</v>
      </c>
      <c r="E62" s="696">
        <f t="shared" si="8"/>
        <v>72402</v>
      </c>
      <c r="F62" s="679">
        <f t="shared" si="1"/>
        <v>30.809361702127656</v>
      </c>
      <c r="G62" s="523"/>
      <c r="H62" s="524"/>
      <c r="I62" s="679"/>
      <c r="J62" s="523"/>
      <c r="K62" s="524"/>
      <c r="L62" s="778"/>
      <c r="M62" s="523"/>
      <c r="N62" s="524"/>
      <c r="O62" s="679"/>
      <c r="P62" s="523">
        <v>235000</v>
      </c>
      <c r="Q62" s="524">
        <v>72402</v>
      </c>
      <c r="R62" s="778">
        <f>Q62/P62*100</f>
        <v>30.809361702127656</v>
      </c>
    </row>
    <row r="63" spans="1:18" ht="57" customHeight="1">
      <c r="A63" s="693" t="s">
        <v>1</v>
      </c>
      <c r="B63" s="777" t="s">
        <v>24</v>
      </c>
      <c r="C63" s="695">
        <v>25500</v>
      </c>
      <c r="D63" s="696">
        <f t="shared" si="8"/>
        <v>25500</v>
      </c>
      <c r="E63" s="696">
        <f t="shared" si="8"/>
        <v>6275</v>
      </c>
      <c r="F63" s="679">
        <f t="shared" si="1"/>
        <v>24.6078431372549</v>
      </c>
      <c r="G63" s="523">
        <v>25500</v>
      </c>
      <c r="H63" s="524">
        <v>6275</v>
      </c>
      <c r="I63" s="679">
        <f>H63/G63*100</f>
        <v>24.6078431372549</v>
      </c>
      <c r="J63" s="523"/>
      <c r="K63" s="524"/>
      <c r="L63" s="778"/>
      <c r="M63" s="523"/>
      <c r="N63" s="524"/>
      <c r="O63" s="679"/>
      <c r="P63" s="523"/>
      <c r="Q63" s="524"/>
      <c r="R63" s="778"/>
    </row>
    <row r="64" spans="1:18" ht="15" customHeight="1">
      <c r="A64" s="680" t="s">
        <v>25</v>
      </c>
      <c r="B64" s="681" t="s">
        <v>522</v>
      </c>
      <c r="C64" s="682">
        <f>SUM(C65:C66)</f>
        <v>2301900</v>
      </c>
      <c r="D64" s="663">
        <f>SUM(D65:D66)</f>
        <v>2301900</v>
      </c>
      <c r="E64" s="663">
        <f>SUM(E65:E66)</f>
        <v>538855</v>
      </c>
      <c r="F64" s="771">
        <f t="shared" si="1"/>
        <v>23.40914027542465</v>
      </c>
      <c r="G64" s="683"/>
      <c r="H64" s="684"/>
      <c r="I64" s="719"/>
      <c r="J64" s="683"/>
      <c r="K64" s="684"/>
      <c r="L64" s="687"/>
      <c r="M64" s="683">
        <f>M65+M66</f>
        <v>2301900</v>
      </c>
      <c r="N64" s="684">
        <f>SUM(N65:N66)</f>
        <v>538855</v>
      </c>
      <c r="O64" s="685">
        <f>N64/M64*100</f>
        <v>23.40914027542465</v>
      </c>
      <c r="P64" s="683"/>
      <c r="Q64" s="684"/>
      <c r="R64" s="746"/>
    </row>
    <row r="65" spans="1:18" ht="24" customHeight="1">
      <c r="A65" s="705" t="s">
        <v>26</v>
      </c>
      <c r="B65" s="706" t="s">
        <v>27</v>
      </c>
      <c r="C65" s="707">
        <v>2300000</v>
      </c>
      <c r="D65" s="708">
        <f>G65+J65+M65+P65</f>
        <v>2300000</v>
      </c>
      <c r="E65" s="708">
        <f>H65+K65+N65+Q65</f>
        <v>538365</v>
      </c>
      <c r="F65" s="709">
        <f t="shared" si="1"/>
        <v>23.40717391304348</v>
      </c>
      <c r="G65" s="710"/>
      <c r="H65" s="711"/>
      <c r="I65" s="709"/>
      <c r="J65" s="738"/>
      <c r="K65" s="739"/>
      <c r="L65" s="426"/>
      <c r="M65" s="738">
        <v>2300000</v>
      </c>
      <c r="N65" s="739">
        <v>538365</v>
      </c>
      <c r="O65" s="709">
        <f>N65/M65*100</f>
        <v>23.40717391304348</v>
      </c>
      <c r="P65" s="738"/>
      <c r="Q65" s="739"/>
      <c r="R65" s="773"/>
    </row>
    <row r="66" spans="1:18" ht="27.75" customHeight="1">
      <c r="A66" s="693" t="s">
        <v>984</v>
      </c>
      <c r="B66" s="781" t="s">
        <v>28</v>
      </c>
      <c r="C66" s="695">
        <v>1900</v>
      </c>
      <c r="D66" s="696">
        <f>G66+J66+M66+P66</f>
        <v>1900</v>
      </c>
      <c r="E66" s="696">
        <f>H66+K66+N66+Q66</f>
        <v>490</v>
      </c>
      <c r="F66" s="697">
        <f t="shared" si="1"/>
        <v>25.789473684210527</v>
      </c>
      <c r="G66" s="523"/>
      <c r="H66" s="524"/>
      <c r="I66" s="679"/>
      <c r="J66" s="715"/>
      <c r="K66" s="716"/>
      <c r="L66" s="424"/>
      <c r="M66" s="715">
        <v>1900</v>
      </c>
      <c r="N66" s="716">
        <v>490</v>
      </c>
      <c r="O66" s="679">
        <f>N66/M66*100</f>
        <v>25.789473684210527</v>
      </c>
      <c r="P66" s="715"/>
      <c r="Q66" s="716"/>
      <c r="R66" s="778"/>
    </row>
    <row r="67" spans="1:18" ht="16.5" customHeight="1">
      <c r="A67" s="698" t="s">
        <v>29</v>
      </c>
      <c r="B67" s="699" t="s">
        <v>30</v>
      </c>
      <c r="C67" s="700">
        <f>SUM(C69:C72)</f>
        <v>104000</v>
      </c>
      <c r="D67" s="664">
        <f>SUM(D69:D72)</f>
        <v>104000</v>
      </c>
      <c r="E67" s="664">
        <f>SUM(E68:E72)</f>
        <v>12711</v>
      </c>
      <c r="F67" s="774">
        <f t="shared" si="1"/>
        <v>12.222115384615384</v>
      </c>
      <c r="G67" s="703">
        <f>SUM(G68:G72)</f>
        <v>104000</v>
      </c>
      <c r="H67" s="703">
        <f>SUM(H68:H72)</f>
        <v>12711</v>
      </c>
      <c r="I67" s="665">
        <f>H67/G67*100</f>
        <v>12.222115384615384</v>
      </c>
      <c r="J67" s="702"/>
      <c r="K67" s="703"/>
      <c r="L67" s="427"/>
      <c r="M67" s="702"/>
      <c r="N67" s="703"/>
      <c r="O67" s="665"/>
      <c r="P67" s="702"/>
      <c r="Q67" s="703"/>
      <c r="R67" s="704"/>
    </row>
    <row r="68" spans="1:18" s="692" customFormat="1" ht="35.25" customHeight="1">
      <c r="A68" s="705" t="s">
        <v>958</v>
      </c>
      <c r="B68" s="706" t="s">
        <v>968</v>
      </c>
      <c r="C68" s="707"/>
      <c r="D68" s="708">
        <f aca="true" t="shared" si="9" ref="D68:E70">G68+J68+M68+P68</f>
        <v>0</v>
      </c>
      <c r="E68" s="708">
        <f t="shared" si="9"/>
        <v>468</v>
      </c>
      <c r="F68" s="709" t="e">
        <f t="shared" si="1"/>
        <v>#DIV/0!</v>
      </c>
      <c r="G68" s="710"/>
      <c r="H68" s="711">
        <v>468</v>
      </c>
      <c r="I68" s="709" t="e">
        <f>H68/G68*100</f>
        <v>#DIV/0!</v>
      </c>
      <c r="J68" s="710"/>
      <c r="K68" s="711"/>
      <c r="L68" s="426"/>
      <c r="M68" s="710"/>
      <c r="N68" s="711"/>
      <c r="O68" s="709"/>
      <c r="P68" s="710"/>
      <c r="Q68" s="711"/>
      <c r="R68" s="773"/>
    </row>
    <row r="69" spans="1:18" s="692" customFormat="1" ht="34.5" customHeight="1">
      <c r="A69" s="688" t="s">
        <v>984</v>
      </c>
      <c r="B69" s="721" t="s">
        <v>31</v>
      </c>
      <c r="C69" s="689"/>
      <c r="D69" s="643">
        <f t="shared" si="9"/>
        <v>0</v>
      </c>
      <c r="E69" s="643">
        <f t="shared" si="9"/>
        <v>4014</v>
      </c>
      <c r="F69" s="690" t="e">
        <f t="shared" si="1"/>
        <v>#DIV/0!</v>
      </c>
      <c r="G69" s="782"/>
      <c r="H69" s="358">
        <v>4014</v>
      </c>
      <c r="I69" s="690" t="e">
        <f>H69/G69*100</f>
        <v>#DIV/0!</v>
      </c>
      <c r="J69" s="359"/>
      <c r="K69" s="358"/>
      <c r="L69" s="416"/>
      <c r="M69" s="359"/>
      <c r="N69" s="358"/>
      <c r="O69" s="690"/>
      <c r="P69" s="359"/>
      <c r="Q69" s="358"/>
      <c r="R69" s="749"/>
    </row>
    <row r="70" spans="1:18" ht="48" customHeight="1">
      <c r="A70" s="688" t="s">
        <v>986</v>
      </c>
      <c r="B70" s="641" t="s">
        <v>32</v>
      </c>
      <c r="C70" s="689">
        <v>58000</v>
      </c>
      <c r="D70" s="643">
        <f t="shared" si="9"/>
        <v>58000</v>
      </c>
      <c r="E70" s="643">
        <f t="shared" si="9"/>
        <v>5953</v>
      </c>
      <c r="F70" s="690">
        <f t="shared" si="1"/>
        <v>10.263793103448277</v>
      </c>
      <c r="G70" s="782">
        <v>58000</v>
      </c>
      <c r="H70" s="358">
        <v>5953</v>
      </c>
      <c r="I70" s="690">
        <f>H70/G70*100</f>
        <v>10.263793103448277</v>
      </c>
      <c r="J70" s="511"/>
      <c r="K70" s="712"/>
      <c r="L70" s="416"/>
      <c r="M70" s="511"/>
      <c r="N70" s="712"/>
      <c r="O70" s="690"/>
      <c r="P70" s="511"/>
      <c r="Q70" s="712"/>
      <c r="R70" s="749"/>
    </row>
    <row r="71" spans="1:18" ht="23.25" customHeight="1">
      <c r="A71" s="688" t="s">
        <v>960</v>
      </c>
      <c r="B71" s="721" t="s">
        <v>33</v>
      </c>
      <c r="C71" s="689">
        <v>30000</v>
      </c>
      <c r="D71" s="643">
        <f>G71</f>
        <v>30000</v>
      </c>
      <c r="E71" s="643"/>
      <c r="F71" s="690"/>
      <c r="G71" s="782">
        <v>30000</v>
      </c>
      <c r="H71" s="358"/>
      <c r="I71" s="690"/>
      <c r="J71" s="511"/>
      <c r="K71" s="712"/>
      <c r="L71" s="416"/>
      <c r="M71" s="511"/>
      <c r="N71" s="712"/>
      <c r="O71" s="690"/>
      <c r="P71" s="511"/>
      <c r="Q71" s="712"/>
      <c r="R71" s="749"/>
    </row>
    <row r="72" spans="1:18" ht="34.5" customHeight="1">
      <c r="A72" s="693" t="s">
        <v>969</v>
      </c>
      <c r="B72" s="781" t="s">
        <v>34</v>
      </c>
      <c r="C72" s="695">
        <v>16000</v>
      </c>
      <c r="D72" s="696">
        <f>G72+J72+M72+P72</f>
        <v>16000</v>
      </c>
      <c r="E72" s="696">
        <f>H72+K72+N72+Q72</f>
        <v>2276</v>
      </c>
      <c r="F72" s="679">
        <f t="shared" si="1"/>
        <v>14.224999999999998</v>
      </c>
      <c r="G72" s="783">
        <v>16000</v>
      </c>
      <c r="H72" s="524">
        <v>2276</v>
      </c>
      <c r="I72" s="679">
        <f>H72/G72*100</f>
        <v>14.224999999999998</v>
      </c>
      <c r="J72" s="715"/>
      <c r="K72" s="716"/>
      <c r="L72" s="424"/>
      <c r="M72" s="715"/>
      <c r="N72" s="716"/>
      <c r="O72" s="679"/>
      <c r="P72" s="715"/>
      <c r="Q72" s="716"/>
      <c r="R72" s="778"/>
    </row>
    <row r="73" spans="1:18" ht="16.5" customHeight="1">
      <c r="A73" s="698" t="s">
        <v>35</v>
      </c>
      <c r="B73" s="699" t="s">
        <v>36</v>
      </c>
      <c r="C73" s="700">
        <f>C74+C75</f>
        <v>42000</v>
      </c>
      <c r="D73" s="664">
        <f>SUM(D74:D75)</f>
        <v>42000</v>
      </c>
      <c r="E73" s="664">
        <f>SUM(E74:E75)</f>
        <v>42000</v>
      </c>
      <c r="F73" s="771">
        <f t="shared" si="1"/>
        <v>100</v>
      </c>
      <c r="G73" s="702"/>
      <c r="H73" s="703"/>
      <c r="I73" s="719"/>
      <c r="J73" s="702"/>
      <c r="K73" s="703"/>
      <c r="L73" s="417"/>
      <c r="M73" s="702">
        <f>M75</f>
        <v>8000</v>
      </c>
      <c r="N73" s="703">
        <f>N75</f>
        <v>8000</v>
      </c>
      <c r="O73" s="704">
        <f>N73/M73*100</f>
        <v>100</v>
      </c>
      <c r="P73" s="702">
        <f>P74</f>
        <v>34000</v>
      </c>
      <c r="Q73" s="703">
        <f>Q74</f>
        <v>34000</v>
      </c>
      <c r="R73" s="704">
        <f>Q73/P73*100</f>
        <v>100</v>
      </c>
    </row>
    <row r="74" spans="1:18" ht="66" customHeight="1">
      <c r="A74" s="672" t="s">
        <v>993</v>
      </c>
      <c r="B74" s="756" t="s">
        <v>0</v>
      </c>
      <c r="C74" s="747">
        <v>34000</v>
      </c>
      <c r="D74" s="675">
        <f aca="true" t="shared" si="10" ref="D74:E77">G74+J74+M74+P74</f>
        <v>34000</v>
      </c>
      <c r="E74" s="675">
        <f t="shared" si="10"/>
        <v>34000</v>
      </c>
      <c r="F74" s="757">
        <f t="shared" si="1"/>
        <v>100</v>
      </c>
      <c r="G74" s="677"/>
      <c r="H74" s="678"/>
      <c r="I74" s="719"/>
      <c r="J74" s="677"/>
      <c r="K74" s="678"/>
      <c r="L74" s="417"/>
      <c r="M74" s="677"/>
      <c r="N74" s="678"/>
      <c r="O74" s="719"/>
      <c r="P74" s="677">
        <v>34000</v>
      </c>
      <c r="Q74" s="678">
        <v>34000</v>
      </c>
      <c r="R74" s="748">
        <f>Q74/P74*100</f>
        <v>100</v>
      </c>
    </row>
    <row r="75" spans="1:18" s="692" customFormat="1" ht="66" customHeight="1">
      <c r="A75" s="693" t="s">
        <v>37</v>
      </c>
      <c r="B75" s="777" t="s">
        <v>38</v>
      </c>
      <c r="C75" s="695">
        <v>8000</v>
      </c>
      <c r="D75" s="696">
        <f t="shared" si="10"/>
        <v>8000</v>
      </c>
      <c r="E75" s="696">
        <f t="shared" si="10"/>
        <v>8000</v>
      </c>
      <c r="F75" s="697">
        <f t="shared" si="1"/>
        <v>100</v>
      </c>
      <c r="G75" s="523"/>
      <c r="H75" s="524"/>
      <c r="I75" s="679"/>
      <c r="J75" s="523"/>
      <c r="K75" s="524"/>
      <c r="L75" s="424"/>
      <c r="M75" s="523">
        <v>8000</v>
      </c>
      <c r="N75" s="524">
        <v>8000</v>
      </c>
      <c r="O75" s="679">
        <f>N75/M75*100</f>
        <v>100</v>
      </c>
      <c r="P75" s="523"/>
      <c r="Q75" s="524"/>
      <c r="R75" s="778"/>
    </row>
    <row r="76" spans="1:18" s="784" customFormat="1" ht="26.25" customHeight="1">
      <c r="A76" s="698" t="s">
        <v>39</v>
      </c>
      <c r="B76" s="751" t="s">
        <v>40</v>
      </c>
      <c r="C76" s="700"/>
      <c r="D76" s="752">
        <f t="shared" si="10"/>
        <v>0</v>
      </c>
      <c r="E76" s="752">
        <f t="shared" si="10"/>
        <v>0</v>
      </c>
      <c r="F76" s="665" t="e">
        <f>E76/D76*100</f>
        <v>#DIV/0!</v>
      </c>
      <c r="G76" s="702">
        <f>G77</f>
        <v>0</v>
      </c>
      <c r="H76" s="703">
        <f>H77</f>
        <v>0</v>
      </c>
      <c r="I76" s="665" t="e">
        <f>H76/G76*100</f>
        <v>#DIV/0!</v>
      </c>
      <c r="J76" s="702"/>
      <c r="K76" s="703"/>
      <c r="L76" s="427"/>
      <c r="M76" s="702"/>
      <c r="N76" s="703"/>
      <c r="O76" s="665"/>
      <c r="P76" s="702"/>
      <c r="Q76" s="703"/>
      <c r="R76" s="704"/>
    </row>
    <row r="77" spans="1:18" ht="45" customHeight="1">
      <c r="A77" s="672" t="s">
        <v>41</v>
      </c>
      <c r="B77" s="756" t="s">
        <v>42</v>
      </c>
      <c r="C77" s="747"/>
      <c r="D77" s="675">
        <f t="shared" si="10"/>
        <v>0</v>
      </c>
      <c r="E77" s="675">
        <f t="shared" si="10"/>
        <v>0</v>
      </c>
      <c r="F77" s="719" t="e">
        <f>E77/D77*100</f>
        <v>#DIV/0!</v>
      </c>
      <c r="G77" s="677"/>
      <c r="H77" s="678"/>
      <c r="I77" s="719" t="e">
        <f>H77/G77*100</f>
        <v>#DIV/0!</v>
      </c>
      <c r="J77" s="677"/>
      <c r="K77" s="678"/>
      <c r="L77" s="417"/>
      <c r="M77" s="677"/>
      <c r="N77" s="678"/>
      <c r="O77" s="719"/>
      <c r="P77" s="677"/>
      <c r="Q77" s="678"/>
      <c r="R77" s="748"/>
    </row>
    <row r="78" spans="1:18" ht="15.75" customHeight="1">
      <c r="A78" s="698" t="s">
        <v>43</v>
      </c>
      <c r="B78" s="699" t="s">
        <v>378</v>
      </c>
      <c r="C78" s="700">
        <f>SUM(C79:C79)</f>
        <v>200000</v>
      </c>
      <c r="D78" s="664">
        <f>SUM(D79:D80)</f>
        <v>200000</v>
      </c>
      <c r="E78" s="664">
        <f>SUM(E79:E80)</f>
        <v>51505</v>
      </c>
      <c r="F78" s="665">
        <f t="shared" si="1"/>
        <v>25.7525</v>
      </c>
      <c r="G78" s="702">
        <f>SUM(G79:G80)</f>
        <v>200000</v>
      </c>
      <c r="H78" s="703">
        <f>SUM(H79:H80)</f>
        <v>51505</v>
      </c>
      <c r="I78" s="665">
        <f>H78/G78*100</f>
        <v>25.7525</v>
      </c>
      <c r="J78" s="702"/>
      <c r="K78" s="703"/>
      <c r="L78" s="427"/>
      <c r="M78" s="702"/>
      <c r="N78" s="703"/>
      <c r="O78" s="665"/>
      <c r="P78" s="702"/>
      <c r="Q78" s="703"/>
      <c r="R78" s="704"/>
    </row>
    <row r="79" spans="1:18" ht="21" customHeight="1">
      <c r="A79" s="705" t="s">
        <v>44</v>
      </c>
      <c r="B79" s="785" t="s">
        <v>45</v>
      </c>
      <c r="C79" s="707">
        <v>200000</v>
      </c>
      <c r="D79" s="708">
        <f aca="true" t="shared" si="11" ref="D79:E85">G79+J79+M79+P79</f>
        <v>200000</v>
      </c>
      <c r="E79" s="708">
        <f t="shared" si="11"/>
        <v>51505</v>
      </c>
      <c r="F79" s="709">
        <f t="shared" si="1"/>
        <v>25.7525</v>
      </c>
      <c r="G79" s="786">
        <v>200000</v>
      </c>
      <c r="H79" s="711">
        <v>51505</v>
      </c>
      <c r="I79" s="709">
        <f>H79/G79*100</f>
        <v>25.7525</v>
      </c>
      <c r="J79" s="738"/>
      <c r="K79" s="739"/>
      <c r="L79" s="426"/>
      <c r="M79" s="738"/>
      <c r="N79" s="739"/>
      <c r="O79" s="709"/>
      <c r="P79" s="738"/>
      <c r="Q79" s="739"/>
      <c r="R79" s="773"/>
    </row>
    <row r="80" spans="1:18" ht="34.5" customHeight="1">
      <c r="A80" s="693" t="s">
        <v>46</v>
      </c>
      <c r="B80" s="781" t="s">
        <v>47</v>
      </c>
      <c r="C80" s="695"/>
      <c r="D80" s="696">
        <f t="shared" si="11"/>
        <v>0</v>
      </c>
      <c r="E80" s="696">
        <f t="shared" si="11"/>
        <v>0</v>
      </c>
      <c r="F80" s="679" t="e">
        <f t="shared" si="1"/>
        <v>#DIV/0!</v>
      </c>
      <c r="G80" s="783"/>
      <c r="H80" s="524"/>
      <c r="I80" s="679" t="e">
        <f>H80/G80*100</f>
        <v>#DIV/0!</v>
      </c>
      <c r="J80" s="715"/>
      <c r="K80" s="716"/>
      <c r="L80" s="424"/>
      <c r="M80" s="715"/>
      <c r="N80" s="716"/>
      <c r="O80" s="679"/>
      <c r="P80" s="715"/>
      <c r="Q80" s="716"/>
      <c r="R80" s="778"/>
    </row>
    <row r="81" spans="1:18" ht="58.5" customHeight="1" thickBot="1">
      <c r="A81" s="787" t="s">
        <v>48</v>
      </c>
      <c r="B81" s="788" t="s">
        <v>609</v>
      </c>
      <c r="C81" s="789">
        <f>C82</f>
        <v>17910</v>
      </c>
      <c r="D81" s="761">
        <f>G81+J81+M81+P81</f>
        <v>15917</v>
      </c>
      <c r="E81" s="790">
        <f t="shared" si="11"/>
        <v>3978</v>
      </c>
      <c r="F81" s="791">
        <f t="shared" si="1"/>
        <v>24.99214676132437</v>
      </c>
      <c r="G81" s="792"/>
      <c r="H81" s="793"/>
      <c r="I81" s="794"/>
      <c r="J81" s="795">
        <f>J82+J84</f>
        <v>15917</v>
      </c>
      <c r="K81" s="793">
        <f>K82+K84</f>
        <v>3978</v>
      </c>
      <c r="L81" s="796">
        <f aca="true" t="shared" si="12" ref="L81:L86">K81/J81*100</f>
        <v>24.99214676132437</v>
      </c>
      <c r="M81" s="795"/>
      <c r="N81" s="793"/>
      <c r="O81" s="794"/>
      <c r="P81" s="795"/>
      <c r="Q81" s="793"/>
      <c r="R81" s="797"/>
    </row>
    <row r="82" spans="1:18" ht="39" customHeight="1" thickTop="1">
      <c r="A82" s="798" t="s">
        <v>49</v>
      </c>
      <c r="B82" s="799" t="s">
        <v>610</v>
      </c>
      <c r="C82" s="800">
        <f>SUM(C83)</f>
        <v>17910</v>
      </c>
      <c r="D82" s="801">
        <f t="shared" si="11"/>
        <v>15917</v>
      </c>
      <c r="E82" s="801">
        <f t="shared" si="11"/>
        <v>3978</v>
      </c>
      <c r="F82" s="802">
        <f aca="true" t="shared" si="13" ref="F82:F130">E82/D82*100</f>
        <v>24.99214676132437</v>
      </c>
      <c r="G82" s="803"/>
      <c r="H82" s="804"/>
      <c r="I82" s="805"/>
      <c r="J82" s="806">
        <f>J83</f>
        <v>15917</v>
      </c>
      <c r="K82" s="804">
        <f>K83</f>
        <v>3978</v>
      </c>
      <c r="L82" s="807">
        <f t="shared" si="12"/>
        <v>24.99214676132437</v>
      </c>
      <c r="M82" s="806"/>
      <c r="N82" s="804"/>
      <c r="O82" s="805"/>
      <c r="P82" s="806"/>
      <c r="Q82" s="804"/>
      <c r="R82" s="808"/>
    </row>
    <row r="83" spans="1:18" ht="57" customHeight="1">
      <c r="A83" s="705" t="s">
        <v>950</v>
      </c>
      <c r="B83" s="706" t="s">
        <v>951</v>
      </c>
      <c r="C83" s="707">
        <v>17910</v>
      </c>
      <c r="D83" s="708">
        <f>G83+J83+M83+P83</f>
        <v>15917</v>
      </c>
      <c r="E83" s="708">
        <f>H83+K83+N83+Q83</f>
        <v>3978</v>
      </c>
      <c r="F83" s="225">
        <f>E83/D83*100</f>
        <v>24.99214676132437</v>
      </c>
      <c r="G83" s="786"/>
      <c r="H83" s="711"/>
      <c r="I83" s="709"/>
      <c r="J83" s="738">
        <v>15917</v>
      </c>
      <c r="K83" s="739">
        <v>3978</v>
      </c>
      <c r="L83" s="426">
        <f t="shared" si="12"/>
        <v>24.99214676132437</v>
      </c>
      <c r="M83" s="738"/>
      <c r="N83" s="739"/>
      <c r="O83" s="709"/>
      <c r="P83" s="738"/>
      <c r="Q83" s="739"/>
      <c r="R83" s="773"/>
    </row>
    <row r="84" spans="1:18" ht="17.25" customHeight="1">
      <c r="A84" s="809" t="s">
        <v>50</v>
      </c>
      <c r="B84" s="810" t="s">
        <v>614</v>
      </c>
      <c r="C84" s="811"/>
      <c r="D84" s="752">
        <f>G84+J84+M84+P84</f>
        <v>0</v>
      </c>
      <c r="E84" s="752">
        <f>H84+K84+N84+Q84</f>
        <v>0</v>
      </c>
      <c r="F84" s="812" t="e">
        <f>E84/D84*100</f>
        <v>#DIV/0!</v>
      </c>
      <c r="G84" s="813"/>
      <c r="H84" s="814"/>
      <c r="I84" s="815"/>
      <c r="J84" s="816">
        <f>J85</f>
        <v>0</v>
      </c>
      <c r="K84" s="814">
        <f>K85</f>
        <v>0</v>
      </c>
      <c r="L84" s="817" t="e">
        <f t="shared" si="12"/>
        <v>#DIV/0!</v>
      </c>
      <c r="M84" s="816"/>
      <c r="N84" s="814"/>
      <c r="O84" s="815"/>
      <c r="P84" s="816"/>
      <c r="Q84" s="814"/>
      <c r="R84" s="818"/>
    </row>
    <row r="85" spans="1:18" ht="58.5" customHeight="1" thickBot="1">
      <c r="A85" s="705" t="s">
        <v>950</v>
      </c>
      <c r="B85" s="706" t="s">
        <v>951</v>
      </c>
      <c r="C85" s="707"/>
      <c r="D85" s="708">
        <f t="shared" si="11"/>
        <v>0</v>
      </c>
      <c r="E85" s="708">
        <f t="shared" si="11"/>
        <v>0</v>
      </c>
      <c r="F85" s="225" t="e">
        <f t="shared" si="13"/>
        <v>#DIV/0!</v>
      </c>
      <c r="G85" s="786"/>
      <c r="H85" s="711"/>
      <c r="I85" s="709"/>
      <c r="J85" s="738"/>
      <c r="K85" s="739"/>
      <c r="L85" s="426" t="e">
        <f t="shared" si="12"/>
        <v>#DIV/0!</v>
      </c>
      <c r="M85" s="738"/>
      <c r="N85" s="739"/>
      <c r="O85" s="709"/>
      <c r="P85" s="738"/>
      <c r="Q85" s="739"/>
      <c r="R85" s="773"/>
    </row>
    <row r="86" spans="1:18" ht="39" customHeight="1" thickBot="1" thickTop="1">
      <c r="A86" s="652" t="s">
        <v>51</v>
      </c>
      <c r="B86" s="742" t="s">
        <v>620</v>
      </c>
      <c r="C86" s="819">
        <f>C87+C93</f>
        <v>6917600</v>
      </c>
      <c r="D86" s="619">
        <f>G86+J86+M86+P86</f>
        <v>7807186</v>
      </c>
      <c r="E86" s="619">
        <f>E87+E93</f>
        <v>2496896</v>
      </c>
      <c r="F86" s="657">
        <f t="shared" si="13"/>
        <v>31.98202271599524</v>
      </c>
      <c r="G86" s="658"/>
      <c r="H86" s="655"/>
      <c r="I86" s="820"/>
      <c r="J86" s="658">
        <f>J87+J93</f>
        <v>8000</v>
      </c>
      <c r="K86" s="655">
        <f>K87+K93</f>
        <v>8000</v>
      </c>
      <c r="L86" s="743">
        <f t="shared" si="12"/>
        <v>100</v>
      </c>
      <c r="M86" s="658">
        <f>M87</f>
        <v>0</v>
      </c>
      <c r="N86" s="655">
        <f>N87</f>
        <v>284</v>
      </c>
      <c r="O86" s="657" t="e">
        <f>N86/M86*100</f>
        <v>#DIV/0!</v>
      </c>
      <c r="P86" s="658">
        <f>P87</f>
        <v>7799186</v>
      </c>
      <c r="Q86" s="655">
        <f>Q87</f>
        <v>2488612</v>
      </c>
      <c r="R86" s="743">
        <f>Q86/P86*100</f>
        <v>31.908612001303727</v>
      </c>
    </row>
    <row r="87" spans="1:18" ht="27.75" customHeight="1" thickTop="1">
      <c r="A87" s="680" t="s">
        <v>52</v>
      </c>
      <c r="B87" s="681" t="s">
        <v>53</v>
      </c>
      <c r="C87" s="682">
        <f>SUM(C89:C92)</f>
        <v>6909600</v>
      </c>
      <c r="D87" s="663">
        <f>SUM(D88:D92)</f>
        <v>7799186</v>
      </c>
      <c r="E87" s="663">
        <f>SUM(E88:E92)</f>
        <v>2488896</v>
      </c>
      <c r="F87" s="771">
        <f t="shared" si="13"/>
        <v>31.912253406958115</v>
      </c>
      <c r="G87" s="683"/>
      <c r="H87" s="684"/>
      <c r="I87" s="679"/>
      <c r="J87" s="683"/>
      <c r="K87" s="684"/>
      <c r="L87" s="746"/>
      <c r="M87" s="683">
        <f>SUM(M88:M92)</f>
        <v>0</v>
      </c>
      <c r="N87" s="684">
        <f>SUM(N88:N92)</f>
        <v>284</v>
      </c>
      <c r="O87" s="685" t="e">
        <f>N87/M87*100</f>
        <v>#DIV/0!</v>
      </c>
      <c r="P87" s="683">
        <f>SUM(P89:P92)</f>
        <v>7799186</v>
      </c>
      <c r="Q87" s="684">
        <f>SUM(Q89:Q92)</f>
        <v>2488612</v>
      </c>
      <c r="R87" s="746">
        <f>Q87/P87*100</f>
        <v>31.908612001303727</v>
      </c>
    </row>
    <row r="88" spans="1:18" s="821" customFormat="1" ht="15.75" customHeight="1">
      <c r="A88" s="705" t="s">
        <v>11</v>
      </c>
      <c r="B88" s="785" t="s">
        <v>394</v>
      </c>
      <c r="C88" s="707"/>
      <c r="D88" s="708">
        <f aca="true" t="shared" si="14" ref="D88:E92">G88+J88+M88+P88</f>
        <v>0</v>
      </c>
      <c r="E88" s="708">
        <f t="shared" si="14"/>
        <v>2</v>
      </c>
      <c r="F88" s="779"/>
      <c r="G88" s="710"/>
      <c r="H88" s="711"/>
      <c r="I88" s="709"/>
      <c r="J88" s="710"/>
      <c r="K88" s="711"/>
      <c r="L88" s="773"/>
      <c r="M88" s="710"/>
      <c r="N88" s="711">
        <v>2</v>
      </c>
      <c r="O88" s="709"/>
      <c r="P88" s="710"/>
      <c r="Q88" s="711"/>
      <c r="R88" s="773"/>
    </row>
    <row r="89" spans="1:18" ht="66.75" customHeight="1">
      <c r="A89" s="688" t="s">
        <v>993</v>
      </c>
      <c r="B89" s="750" t="s">
        <v>0</v>
      </c>
      <c r="C89" s="689">
        <v>6259600</v>
      </c>
      <c r="D89" s="643">
        <f t="shared" si="14"/>
        <v>7149186</v>
      </c>
      <c r="E89" s="643">
        <f t="shared" si="14"/>
        <v>2458612</v>
      </c>
      <c r="F89" s="676">
        <f t="shared" si="13"/>
        <v>34.39009699845549</v>
      </c>
      <c r="G89" s="359"/>
      <c r="H89" s="358"/>
      <c r="I89" s="690"/>
      <c r="J89" s="359"/>
      <c r="K89" s="358"/>
      <c r="L89" s="749"/>
      <c r="M89" s="359"/>
      <c r="N89" s="358"/>
      <c r="O89" s="690"/>
      <c r="P89" s="359">
        <v>7149186</v>
      </c>
      <c r="Q89" s="358">
        <v>2458612</v>
      </c>
      <c r="R89" s="749">
        <f>Q89/P89*100</f>
        <v>34.39009699845549</v>
      </c>
    </row>
    <row r="90" spans="1:19" s="692" customFormat="1" ht="52.5" customHeight="1">
      <c r="A90" s="688" t="s">
        <v>1</v>
      </c>
      <c r="B90" s="750" t="s">
        <v>54</v>
      </c>
      <c r="C90" s="689"/>
      <c r="D90" s="643">
        <f>G90+J90+M90+P90</f>
        <v>0</v>
      </c>
      <c r="E90" s="643">
        <f>H90+K90+N90+Q90</f>
        <v>282</v>
      </c>
      <c r="F90" s="676" t="e">
        <f>E90/D90*100</f>
        <v>#DIV/0!</v>
      </c>
      <c r="G90" s="359"/>
      <c r="H90" s="358"/>
      <c r="I90" s="690"/>
      <c r="J90" s="359"/>
      <c r="K90" s="358"/>
      <c r="L90" s="749"/>
      <c r="M90" s="359"/>
      <c r="N90" s="358">
        <v>282</v>
      </c>
      <c r="O90" s="690" t="e">
        <f>N90/M90*100</f>
        <v>#DIV/0!</v>
      </c>
      <c r="P90" s="359"/>
      <c r="Q90" s="358"/>
      <c r="R90" s="749"/>
      <c r="S90" s="822"/>
    </row>
    <row r="91" spans="1:18" ht="61.5" customHeight="1">
      <c r="A91" s="688" t="s">
        <v>55</v>
      </c>
      <c r="B91" s="750" t="s">
        <v>56</v>
      </c>
      <c r="C91" s="689"/>
      <c r="D91" s="643">
        <f t="shared" si="14"/>
        <v>0</v>
      </c>
      <c r="E91" s="643">
        <f t="shared" si="14"/>
        <v>0</v>
      </c>
      <c r="F91" s="676" t="e">
        <f t="shared" si="13"/>
        <v>#DIV/0!</v>
      </c>
      <c r="G91" s="359"/>
      <c r="H91" s="358"/>
      <c r="I91" s="690"/>
      <c r="J91" s="359"/>
      <c r="K91" s="358"/>
      <c r="L91" s="749"/>
      <c r="M91" s="359"/>
      <c r="N91" s="358"/>
      <c r="O91" s="690" t="e">
        <f>N91/M91*100</f>
        <v>#DIV/0!</v>
      </c>
      <c r="P91" s="359"/>
      <c r="Q91" s="358"/>
      <c r="R91" s="749"/>
    </row>
    <row r="92" spans="1:18" ht="67.5" customHeight="1">
      <c r="A92" s="693" t="s">
        <v>13</v>
      </c>
      <c r="B92" s="720" t="s">
        <v>14</v>
      </c>
      <c r="C92" s="695">
        <v>650000</v>
      </c>
      <c r="D92" s="696">
        <f t="shared" si="14"/>
        <v>650000</v>
      </c>
      <c r="E92" s="643">
        <f t="shared" si="14"/>
        <v>30000</v>
      </c>
      <c r="F92" s="676">
        <f t="shared" si="13"/>
        <v>4.615384615384616</v>
      </c>
      <c r="G92" s="523"/>
      <c r="H92" s="524"/>
      <c r="I92" s="679"/>
      <c r="J92" s="523"/>
      <c r="K92" s="524"/>
      <c r="L92" s="778"/>
      <c r="M92" s="523"/>
      <c r="N92" s="524"/>
      <c r="O92" s="679"/>
      <c r="P92" s="523">
        <v>650000</v>
      </c>
      <c r="Q92" s="524">
        <v>30000</v>
      </c>
      <c r="R92" s="749">
        <f>Q92/P92*100</f>
        <v>4.615384615384616</v>
      </c>
    </row>
    <row r="93" spans="1:18" ht="17.25" customHeight="1">
      <c r="A93" s="698" t="s">
        <v>57</v>
      </c>
      <c r="B93" s="699" t="s">
        <v>641</v>
      </c>
      <c r="C93" s="700">
        <f>C94</f>
        <v>8000</v>
      </c>
      <c r="D93" s="664">
        <f>D94</f>
        <v>8000</v>
      </c>
      <c r="E93" s="664">
        <f>E94</f>
        <v>8000</v>
      </c>
      <c r="F93" s="823">
        <f t="shared" si="13"/>
        <v>100</v>
      </c>
      <c r="G93" s="702"/>
      <c r="H93" s="703"/>
      <c r="I93" s="665"/>
      <c r="J93" s="702">
        <f>J94</f>
        <v>8000</v>
      </c>
      <c r="K93" s="703">
        <f>K94</f>
        <v>8000</v>
      </c>
      <c r="L93" s="818">
        <f>K93/J93*100</f>
        <v>100</v>
      </c>
      <c r="M93" s="702"/>
      <c r="N93" s="703"/>
      <c r="O93" s="665"/>
      <c r="P93" s="702"/>
      <c r="Q93" s="703"/>
      <c r="R93" s="704"/>
    </row>
    <row r="94" spans="1:18" ht="67.5" customHeight="1" thickBot="1">
      <c r="A94" s="705" t="s">
        <v>950</v>
      </c>
      <c r="B94" s="772" t="s">
        <v>58</v>
      </c>
      <c r="C94" s="707">
        <v>8000</v>
      </c>
      <c r="D94" s="708">
        <f>J94</f>
        <v>8000</v>
      </c>
      <c r="E94" s="708">
        <f>K94</f>
        <v>8000</v>
      </c>
      <c r="F94" s="779">
        <f t="shared" si="13"/>
        <v>100</v>
      </c>
      <c r="G94" s="710"/>
      <c r="H94" s="711"/>
      <c r="I94" s="709"/>
      <c r="J94" s="710">
        <v>8000</v>
      </c>
      <c r="K94" s="711">
        <v>8000</v>
      </c>
      <c r="L94" s="773">
        <f>K94/J94*100</f>
        <v>100</v>
      </c>
      <c r="M94" s="710"/>
      <c r="N94" s="711"/>
      <c r="O94" s="709"/>
      <c r="P94" s="710"/>
      <c r="Q94" s="711"/>
      <c r="R94" s="773"/>
    </row>
    <row r="95" spans="1:18" ht="109.5" customHeight="1" thickBot="1" thickTop="1">
      <c r="A95" s="652" t="s">
        <v>59</v>
      </c>
      <c r="B95" s="742" t="s">
        <v>60</v>
      </c>
      <c r="C95" s="658">
        <f>C96+C98+C105+C116+C123+C126+C129+C131</f>
        <v>141832589</v>
      </c>
      <c r="D95" s="658">
        <f>D96+D98+D105+D116+D123+D126+D129+D131</f>
        <v>141832589</v>
      </c>
      <c r="E95" s="658">
        <f>E96+E98+E105+E116+E121+E123+E126+E129+E131</f>
        <v>34742110</v>
      </c>
      <c r="F95" s="824">
        <f t="shared" si="13"/>
        <v>24.495153226033263</v>
      </c>
      <c r="G95" s="825">
        <f>G96+G98+G105+G116+G121+G123+G129+G131</f>
        <v>121995896</v>
      </c>
      <c r="H95" s="825">
        <f>H96+H98+H105+H116+H121+H123+H129+H131</f>
        <v>30424661</v>
      </c>
      <c r="I95" s="824">
        <f aca="true" t="shared" si="15" ref="I95:I156">H95/G95*100</f>
        <v>24.93908565579944</v>
      </c>
      <c r="J95" s="658"/>
      <c r="K95" s="655"/>
      <c r="L95" s="659"/>
      <c r="M95" s="658">
        <f>M96+M98+M105+M116+M123+M126</f>
        <v>19836693</v>
      </c>
      <c r="N95" s="655">
        <f>N116+N126</f>
        <v>4317449</v>
      </c>
      <c r="O95" s="824">
        <f>N95/M95*100</f>
        <v>21.764963545082843</v>
      </c>
      <c r="P95" s="658"/>
      <c r="Q95" s="655"/>
      <c r="R95" s="743"/>
    </row>
    <row r="96" spans="1:18" ht="36.75" thickTop="1">
      <c r="A96" s="680" t="s">
        <v>61</v>
      </c>
      <c r="B96" s="681" t="s">
        <v>62</v>
      </c>
      <c r="C96" s="682">
        <f>SUM(C97)</f>
        <v>520000</v>
      </c>
      <c r="D96" s="663">
        <f>D97</f>
        <v>520000</v>
      </c>
      <c r="E96" s="663">
        <f>E97</f>
        <v>90140</v>
      </c>
      <c r="F96" s="685">
        <f t="shared" si="13"/>
        <v>17.334615384615386</v>
      </c>
      <c r="G96" s="683">
        <f>G97</f>
        <v>520000</v>
      </c>
      <c r="H96" s="684">
        <f>H97</f>
        <v>90140</v>
      </c>
      <c r="I96" s="685">
        <f t="shared" si="15"/>
        <v>17.334615384615386</v>
      </c>
      <c r="J96" s="683"/>
      <c r="K96" s="684"/>
      <c r="L96" s="687"/>
      <c r="M96" s="683"/>
      <c r="N96" s="684"/>
      <c r="O96" s="685"/>
      <c r="P96" s="683"/>
      <c r="Q96" s="684"/>
      <c r="R96" s="746"/>
    </row>
    <row r="97" spans="1:18" ht="46.5" customHeight="1">
      <c r="A97" s="672" t="s">
        <v>63</v>
      </c>
      <c r="B97" s="826" t="s">
        <v>64</v>
      </c>
      <c r="C97" s="747">
        <v>520000</v>
      </c>
      <c r="D97" s="675">
        <f>G97+J97+M97+P97</f>
        <v>520000</v>
      </c>
      <c r="E97" s="675">
        <f>H97+K97+N97+Q97</f>
        <v>90140</v>
      </c>
      <c r="F97" s="719">
        <f t="shared" si="13"/>
        <v>17.334615384615386</v>
      </c>
      <c r="G97" s="677">
        <v>520000</v>
      </c>
      <c r="H97" s="678">
        <v>90140</v>
      </c>
      <c r="I97" s="719">
        <f t="shared" si="15"/>
        <v>17.334615384615386</v>
      </c>
      <c r="J97" s="677"/>
      <c r="K97" s="678"/>
      <c r="L97" s="417"/>
      <c r="M97" s="677"/>
      <c r="N97" s="678"/>
      <c r="O97" s="719"/>
      <c r="P97" s="677"/>
      <c r="Q97" s="678"/>
      <c r="R97" s="748"/>
    </row>
    <row r="98" spans="1:18" ht="68.25" customHeight="1">
      <c r="A98" s="827" t="s">
        <v>65</v>
      </c>
      <c r="B98" s="828" t="s">
        <v>66</v>
      </c>
      <c r="C98" s="700">
        <f>SUM(C99:C104)</f>
        <v>29838700</v>
      </c>
      <c r="D98" s="664">
        <f>SUM(D99:D104)</f>
        <v>29838700</v>
      </c>
      <c r="E98" s="664">
        <f>SUM(E99:E104)</f>
        <v>7528488</v>
      </c>
      <c r="F98" s="665">
        <f t="shared" si="13"/>
        <v>25.230616615335116</v>
      </c>
      <c r="G98" s="702">
        <f>SUM(G99:G104)</f>
        <v>29838700</v>
      </c>
      <c r="H98" s="703">
        <f>SUM(H99:H104)</f>
        <v>7528488</v>
      </c>
      <c r="I98" s="665">
        <f t="shared" si="15"/>
        <v>25.230616615335116</v>
      </c>
      <c r="J98" s="702"/>
      <c r="K98" s="703"/>
      <c r="L98" s="427"/>
      <c r="M98" s="702"/>
      <c r="N98" s="703"/>
      <c r="O98" s="665"/>
      <c r="P98" s="702"/>
      <c r="Q98" s="703"/>
      <c r="R98" s="704"/>
    </row>
    <row r="99" spans="1:18" ht="15" customHeight="1">
      <c r="A99" s="705" t="s">
        <v>67</v>
      </c>
      <c r="B99" s="785" t="s">
        <v>370</v>
      </c>
      <c r="C99" s="707">
        <v>27147880</v>
      </c>
      <c r="D99" s="708">
        <f aca="true" t="shared" si="16" ref="D99:E104">G99+J99+M99+P99</f>
        <v>27147880</v>
      </c>
      <c r="E99" s="708">
        <f t="shared" si="16"/>
        <v>6610700</v>
      </c>
      <c r="F99" s="709">
        <f t="shared" si="13"/>
        <v>24.35070436439236</v>
      </c>
      <c r="G99" s="786">
        <v>27147880</v>
      </c>
      <c r="H99" s="711">
        <v>6610700</v>
      </c>
      <c r="I99" s="709">
        <f t="shared" si="15"/>
        <v>24.35070436439236</v>
      </c>
      <c r="J99" s="710"/>
      <c r="K99" s="711"/>
      <c r="L99" s="426"/>
      <c r="M99" s="710"/>
      <c r="N99" s="711"/>
      <c r="O99" s="709"/>
      <c r="P99" s="710"/>
      <c r="Q99" s="711"/>
      <c r="R99" s="773"/>
    </row>
    <row r="100" spans="1:18" ht="14.25" customHeight="1">
      <c r="A100" s="688" t="s">
        <v>68</v>
      </c>
      <c r="B100" s="721" t="s">
        <v>69</v>
      </c>
      <c r="C100" s="689">
        <v>35940</v>
      </c>
      <c r="D100" s="643">
        <f t="shared" si="16"/>
        <v>35940</v>
      </c>
      <c r="E100" s="643">
        <f t="shared" si="16"/>
        <v>8503</v>
      </c>
      <c r="F100" s="690">
        <f t="shared" si="13"/>
        <v>23.65887590428492</v>
      </c>
      <c r="G100" s="782">
        <v>35940</v>
      </c>
      <c r="H100" s="358">
        <v>8503</v>
      </c>
      <c r="I100" s="690">
        <f t="shared" si="15"/>
        <v>23.65887590428492</v>
      </c>
      <c r="J100" s="359"/>
      <c r="K100" s="358"/>
      <c r="L100" s="416"/>
      <c r="M100" s="359"/>
      <c r="N100" s="358"/>
      <c r="O100" s="690"/>
      <c r="P100" s="359"/>
      <c r="Q100" s="358"/>
      <c r="R100" s="749"/>
    </row>
    <row r="101" spans="1:18" ht="14.25" customHeight="1">
      <c r="A101" s="688" t="s">
        <v>70</v>
      </c>
      <c r="B101" s="721" t="s">
        <v>71</v>
      </c>
      <c r="C101" s="689">
        <v>41880</v>
      </c>
      <c r="D101" s="643">
        <f t="shared" si="16"/>
        <v>41880</v>
      </c>
      <c r="E101" s="643">
        <f t="shared" si="16"/>
        <v>11609</v>
      </c>
      <c r="F101" s="690">
        <f t="shared" si="13"/>
        <v>27.71967526265521</v>
      </c>
      <c r="G101" s="782">
        <v>41880</v>
      </c>
      <c r="H101" s="358">
        <v>11609</v>
      </c>
      <c r="I101" s="690">
        <f t="shared" si="15"/>
        <v>27.71967526265521</v>
      </c>
      <c r="J101" s="359"/>
      <c r="K101" s="358"/>
      <c r="L101" s="416"/>
      <c r="M101" s="359"/>
      <c r="N101" s="358"/>
      <c r="O101" s="690"/>
      <c r="P101" s="359"/>
      <c r="Q101" s="358"/>
      <c r="R101" s="749"/>
    </row>
    <row r="102" spans="1:18" ht="24">
      <c r="A102" s="688" t="s">
        <v>72</v>
      </c>
      <c r="B102" s="721" t="s">
        <v>73</v>
      </c>
      <c r="C102" s="689">
        <v>1093000</v>
      </c>
      <c r="D102" s="643">
        <f t="shared" si="16"/>
        <v>1093000</v>
      </c>
      <c r="E102" s="643">
        <f t="shared" si="16"/>
        <v>705308</v>
      </c>
      <c r="F102" s="690">
        <f t="shared" si="13"/>
        <v>64.52955169258921</v>
      </c>
      <c r="G102" s="782">
        <v>1093000</v>
      </c>
      <c r="H102" s="358">
        <v>705308</v>
      </c>
      <c r="I102" s="690">
        <f t="shared" si="15"/>
        <v>64.52955169258921</v>
      </c>
      <c r="J102" s="359"/>
      <c r="K102" s="358"/>
      <c r="L102" s="416"/>
      <c r="M102" s="359"/>
      <c r="N102" s="358"/>
      <c r="O102" s="690"/>
      <c r="P102" s="359"/>
      <c r="Q102" s="358"/>
      <c r="R102" s="749"/>
    </row>
    <row r="103" spans="1:18" s="692" customFormat="1" ht="13.5" customHeight="1">
      <c r="A103" s="688" t="s">
        <v>74</v>
      </c>
      <c r="B103" s="721" t="s">
        <v>75</v>
      </c>
      <c r="C103" s="689">
        <v>520000</v>
      </c>
      <c r="D103" s="643">
        <f t="shared" si="16"/>
        <v>520000</v>
      </c>
      <c r="E103" s="643">
        <f t="shared" si="16"/>
        <v>122792</v>
      </c>
      <c r="F103" s="690">
        <f t="shared" si="13"/>
        <v>23.613846153846154</v>
      </c>
      <c r="G103" s="782">
        <v>520000</v>
      </c>
      <c r="H103" s="358">
        <v>122792</v>
      </c>
      <c r="I103" s="690">
        <f t="shared" si="15"/>
        <v>23.613846153846154</v>
      </c>
      <c r="J103" s="359"/>
      <c r="K103" s="358"/>
      <c r="L103" s="416"/>
      <c r="M103" s="359"/>
      <c r="N103" s="358"/>
      <c r="O103" s="690"/>
      <c r="P103" s="359"/>
      <c r="Q103" s="358"/>
      <c r="R103" s="749"/>
    </row>
    <row r="104" spans="1:18" ht="24" customHeight="1">
      <c r="A104" s="693" t="s">
        <v>76</v>
      </c>
      <c r="B104" s="781" t="s">
        <v>77</v>
      </c>
      <c r="C104" s="695">
        <v>1000000</v>
      </c>
      <c r="D104" s="696">
        <f t="shared" si="16"/>
        <v>1000000</v>
      </c>
      <c r="E104" s="696">
        <f t="shared" si="16"/>
        <v>69576</v>
      </c>
      <c r="F104" s="679">
        <f t="shared" si="13"/>
        <v>6.9576</v>
      </c>
      <c r="G104" s="783">
        <v>1000000</v>
      </c>
      <c r="H104" s="524">
        <v>69576</v>
      </c>
      <c r="I104" s="679">
        <f t="shared" si="15"/>
        <v>6.9576</v>
      </c>
      <c r="J104" s="523"/>
      <c r="K104" s="524"/>
      <c r="L104" s="424"/>
      <c r="M104" s="523"/>
      <c r="N104" s="524"/>
      <c r="O104" s="679"/>
      <c r="P104" s="523"/>
      <c r="Q104" s="524"/>
      <c r="R104" s="778"/>
    </row>
    <row r="105" spans="1:18" ht="71.25" customHeight="1">
      <c r="A105" s="827" t="s">
        <v>78</v>
      </c>
      <c r="B105" s="828" t="s">
        <v>79</v>
      </c>
      <c r="C105" s="700">
        <f>SUM(C106:C115)</f>
        <v>14635568</v>
      </c>
      <c r="D105" s="664">
        <f>SUM(D106:D115)</f>
        <v>14635568</v>
      </c>
      <c r="E105" s="664">
        <f>SUM(E106:E115)</f>
        <v>5061250</v>
      </c>
      <c r="F105" s="665">
        <f t="shared" si="13"/>
        <v>34.581848821993106</v>
      </c>
      <c r="G105" s="702">
        <f>SUM(G106:G115)</f>
        <v>14635568</v>
      </c>
      <c r="H105" s="703">
        <f>SUM(H106:H115)</f>
        <v>5061250</v>
      </c>
      <c r="I105" s="665">
        <f t="shared" si="15"/>
        <v>34.581848821993106</v>
      </c>
      <c r="J105" s="702"/>
      <c r="K105" s="703"/>
      <c r="L105" s="427"/>
      <c r="M105" s="702"/>
      <c r="N105" s="703"/>
      <c r="O105" s="665"/>
      <c r="P105" s="702"/>
      <c r="Q105" s="703"/>
      <c r="R105" s="704"/>
    </row>
    <row r="106" spans="1:18" ht="15" customHeight="1">
      <c r="A106" s="705" t="s">
        <v>67</v>
      </c>
      <c r="B106" s="785" t="s">
        <v>370</v>
      </c>
      <c r="C106" s="707">
        <v>7658720</v>
      </c>
      <c r="D106" s="708">
        <f aca="true" t="shared" si="17" ref="D106:E115">G106+J106+M106+P106</f>
        <v>7658720</v>
      </c>
      <c r="E106" s="708">
        <f t="shared" si="17"/>
        <v>2794084</v>
      </c>
      <c r="F106" s="709">
        <f t="shared" si="13"/>
        <v>36.48238870202854</v>
      </c>
      <c r="G106" s="710">
        <v>7658720</v>
      </c>
      <c r="H106" s="711">
        <v>2794084</v>
      </c>
      <c r="I106" s="690">
        <f t="shared" si="15"/>
        <v>36.48238870202854</v>
      </c>
      <c r="J106" s="738"/>
      <c r="K106" s="739"/>
      <c r="L106" s="426"/>
      <c r="M106" s="738"/>
      <c r="N106" s="739"/>
      <c r="O106" s="709"/>
      <c r="P106" s="738"/>
      <c r="Q106" s="739"/>
      <c r="R106" s="773"/>
    </row>
    <row r="107" spans="1:18" ht="15" customHeight="1">
      <c r="A107" s="688" t="s">
        <v>68</v>
      </c>
      <c r="B107" s="721" t="s">
        <v>69</v>
      </c>
      <c r="C107" s="689">
        <v>585870</v>
      </c>
      <c r="D107" s="643">
        <f t="shared" si="17"/>
        <v>585870</v>
      </c>
      <c r="E107" s="643">
        <f t="shared" si="17"/>
        <v>176101</v>
      </c>
      <c r="F107" s="690">
        <f t="shared" si="13"/>
        <v>30.058033352108833</v>
      </c>
      <c r="G107" s="359">
        <v>585870</v>
      </c>
      <c r="H107" s="358">
        <v>176101</v>
      </c>
      <c r="I107" s="690">
        <f t="shared" si="15"/>
        <v>30.058033352108833</v>
      </c>
      <c r="J107" s="511"/>
      <c r="K107" s="712"/>
      <c r="L107" s="416"/>
      <c r="M107" s="511"/>
      <c r="N107" s="712"/>
      <c r="O107" s="690"/>
      <c r="P107" s="511"/>
      <c r="Q107" s="712"/>
      <c r="R107" s="749"/>
    </row>
    <row r="108" spans="1:18" ht="14.25" customHeight="1">
      <c r="A108" s="688" t="s">
        <v>70</v>
      </c>
      <c r="B108" s="721" t="s">
        <v>71</v>
      </c>
      <c r="C108" s="689">
        <v>260</v>
      </c>
      <c r="D108" s="643">
        <f t="shared" si="17"/>
        <v>260</v>
      </c>
      <c r="E108" s="643">
        <f t="shared" si="17"/>
        <v>131</v>
      </c>
      <c r="F108" s="690">
        <f t="shared" si="13"/>
        <v>50.38461538461539</v>
      </c>
      <c r="G108" s="359">
        <v>260</v>
      </c>
      <c r="H108" s="358">
        <v>131</v>
      </c>
      <c r="I108" s="690">
        <f t="shared" si="15"/>
        <v>50.38461538461539</v>
      </c>
      <c r="J108" s="511"/>
      <c r="K108" s="712"/>
      <c r="L108" s="416"/>
      <c r="M108" s="511"/>
      <c r="N108" s="712"/>
      <c r="O108" s="690"/>
      <c r="P108" s="511"/>
      <c r="Q108" s="712"/>
      <c r="R108" s="749"/>
    </row>
    <row r="109" spans="1:18" s="692" customFormat="1" ht="24">
      <c r="A109" s="688" t="s">
        <v>72</v>
      </c>
      <c r="B109" s="721" t="s">
        <v>73</v>
      </c>
      <c r="C109" s="689">
        <v>678600</v>
      </c>
      <c r="D109" s="643">
        <f t="shared" si="17"/>
        <v>678600</v>
      </c>
      <c r="E109" s="643">
        <f t="shared" si="17"/>
        <v>275885</v>
      </c>
      <c r="F109" s="690">
        <f t="shared" si="13"/>
        <v>40.65502505157678</v>
      </c>
      <c r="G109" s="359">
        <v>678600</v>
      </c>
      <c r="H109" s="358">
        <v>275885</v>
      </c>
      <c r="I109" s="690">
        <f t="shared" si="15"/>
        <v>40.65502505157678</v>
      </c>
      <c r="J109" s="511"/>
      <c r="K109" s="712"/>
      <c r="L109" s="416"/>
      <c r="M109" s="511"/>
      <c r="N109" s="712"/>
      <c r="O109" s="690"/>
      <c r="P109" s="511"/>
      <c r="Q109" s="712"/>
      <c r="R109" s="749"/>
    </row>
    <row r="110" spans="1:18" s="692" customFormat="1" ht="24">
      <c r="A110" s="688" t="s">
        <v>80</v>
      </c>
      <c r="B110" s="721" t="s">
        <v>81</v>
      </c>
      <c r="C110" s="689">
        <v>350000</v>
      </c>
      <c r="D110" s="643">
        <f t="shared" si="17"/>
        <v>350000</v>
      </c>
      <c r="E110" s="643">
        <f t="shared" si="17"/>
        <v>183215</v>
      </c>
      <c r="F110" s="690">
        <f t="shared" si="13"/>
        <v>52.347142857142856</v>
      </c>
      <c r="G110" s="359">
        <v>350000</v>
      </c>
      <c r="H110" s="358">
        <v>183215</v>
      </c>
      <c r="I110" s="690">
        <f t="shared" si="15"/>
        <v>52.347142857142856</v>
      </c>
      <c r="J110" s="511"/>
      <c r="K110" s="712"/>
      <c r="L110" s="416"/>
      <c r="M110" s="511"/>
      <c r="N110" s="712"/>
      <c r="O110" s="690"/>
      <c r="P110" s="511"/>
      <c r="Q110" s="712"/>
      <c r="R110" s="749"/>
    </row>
    <row r="111" spans="1:18" ht="15" customHeight="1">
      <c r="A111" s="688" t="s">
        <v>74</v>
      </c>
      <c r="B111" s="721" t="s">
        <v>75</v>
      </c>
      <c r="C111" s="689">
        <v>200000</v>
      </c>
      <c r="D111" s="643">
        <f t="shared" si="17"/>
        <v>200000</v>
      </c>
      <c r="E111" s="643">
        <f t="shared" si="17"/>
        <v>29536</v>
      </c>
      <c r="F111" s="690">
        <f t="shared" si="13"/>
        <v>14.768</v>
      </c>
      <c r="G111" s="359">
        <v>200000</v>
      </c>
      <c r="H111" s="358">
        <v>29536</v>
      </c>
      <c r="I111" s="690">
        <f t="shared" si="15"/>
        <v>14.768</v>
      </c>
      <c r="J111" s="511"/>
      <c r="K111" s="712"/>
      <c r="L111" s="416"/>
      <c r="M111" s="511"/>
      <c r="N111" s="712"/>
      <c r="O111" s="690"/>
      <c r="P111" s="511"/>
      <c r="Q111" s="712"/>
      <c r="R111" s="749"/>
    </row>
    <row r="112" spans="1:18" s="692" customFormat="1" ht="24">
      <c r="A112" s="688" t="s">
        <v>76</v>
      </c>
      <c r="B112" s="721" t="s">
        <v>77</v>
      </c>
      <c r="C112" s="689">
        <v>4500000</v>
      </c>
      <c r="D112" s="643">
        <f t="shared" si="17"/>
        <v>4500000</v>
      </c>
      <c r="E112" s="643">
        <f t="shared" si="17"/>
        <v>1602178</v>
      </c>
      <c r="F112" s="690">
        <f t="shared" si="13"/>
        <v>35.60395555555556</v>
      </c>
      <c r="G112" s="359">
        <v>4500000</v>
      </c>
      <c r="H112" s="358">
        <v>1602178</v>
      </c>
      <c r="I112" s="690">
        <f t="shared" si="15"/>
        <v>35.60395555555556</v>
      </c>
      <c r="J112" s="511"/>
      <c r="K112" s="712"/>
      <c r="L112" s="416"/>
      <c r="M112" s="511"/>
      <c r="N112" s="712"/>
      <c r="O112" s="690"/>
      <c r="P112" s="511"/>
      <c r="Q112" s="712"/>
      <c r="R112" s="749"/>
    </row>
    <row r="113" spans="1:18" ht="24.75" customHeight="1">
      <c r="A113" s="688" t="s">
        <v>82</v>
      </c>
      <c r="B113" s="721" t="s">
        <v>83</v>
      </c>
      <c r="C113" s="689">
        <v>100000</v>
      </c>
      <c r="D113" s="643">
        <f t="shared" si="17"/>
        <v>100000</v>
      </c>
      <c r="E113" s="643">
        <f t="shared" si="17"/>
        <v>120</v>
      </c>
      <c r="F113" s="690">
        <f t="shared" si="13"/>
        <v>0.12</v>
      </c>
      <c r="G113" s="359">
        <v>100000</v>
      </c>
      <c r="H113" s="358">
        <v>120</v>
      </c>
      <c r="I113" s="690">
        <f t="shared" si="15"/>
        <v>0.12</v>
      </c>
      <c r="J113" s="511"/>
      <c r="K113" s="712"/>
      <c r="L113" s="416"/>
      <c r="M113" s="511"/>
      <c r="N113" s="712"/>
      <c r="O113" s="690"/>
      <c r="P113" s="511"/>
      <c r="Q113" s="712"/>
      <c r="R113" s="749"/>
    </row>
    <row r="114" spans="1:18" s="692" customFormat="1" ht="24.75" customHeight="1">
      <c r="A114" s="688" t="s">
        <v>84</v>
      </c>
      <c r="B114" s="721" t="s">
        <v>85</v>
      </c>
      <c r="C114" s="689"/>
      <c r="D114" s="643"/>
      <c r="E114" s="643">
        <f t="shared" si="17"/>
        <v>0</v>
      </c>
      <c r="F114" s="690"/>
      <c r="G114" s="359"/>
      <c r="H114" s="358"/>
      <c r="I114" s="690"/>
      <c r="J114" s="511"/>
      <c r="K114" s="712"/>
      <c r="L114" s="416"/>
      <c r="M114" s="511"/>
      <c r="N114" s="712"/>
      <c r="O114" s="690"/>
      <c r="P114" s="511"/>
      <c r="Q114" s="712"/>
      <c r="R114" s="749"/>
    </row>
    <row r="115" spans="1:18" ht="46.5" customHeight="1">
      <c r="A115" s="693" t="s">
        <v>86</v>
      </c>
      <c r="B115" s="720" t="s">
        <v>87</v>
      </c>
      <c r="C115" s="695">
        <v>562118</v>
      </c>
      <c r="D115" s="643">
        <f t="shared" si="17"/>
        <v>562118</v>
      </c>
      <c r="E115" s="696">
        <f>H115+K115+N115+Q115</f>
        <v>0</v>
      </c>
      <c r="F115" s="679">
        <f t="shared" si="13"/>
        <v>0</v>
      </c>
      <c r="G115" s="523">
        <v>562118</v>
      </c>
      <c r="H115" s="524"/>
      <c r="I115" s="679">
        <f t="shared" si="15"/>
        <v>0</v>
      </c>
      <c r="J115" s="715"/>
      <c r="K115" s="716"/>
      <c r="L115" s="424"/>
      <c r="M115" s="715"/>
      <c r="N115" s="716"/>
      <c r="O115" s="679"/>
      <c r="P115" s="715"/>
      <c r="Q115" s="716"/>
      <c r="R115" s="778"/>
    </row>
    <row r="116" spans="1:18" ht="36.75" customHeight="1">
      <c r="A116" s="698" t="s">
        <v>88</v>
      </c>
      <c r="B116" s="699" t="s">
        <v>89</v>
      </c>
      <c r="C116" s="829">
        <f>SUM(C117:C120)</f>
        <v>4954000</v>
      </c>
      <c r="D116" s="703">
        <f>SUM(D117:D120)</f>
        <v>4954000</v>
      </c>
      <c r="E116" s="703">
        <f>SUM(E117:E120)</f>
        <v>2006740</v>
      </c>
      <c r="F116" s="665">
        <f t="shared" si="13"/>
        <v>40.5074687121518</v>
      </c>
      <c r="G116" s="702">
        <f>SUM(G117:G120)</f>
        <v>4904000</v>
      </c>
      <c r="H116" s="703">
        <f>SUM(H117:H120)</f>
        <v>1989399</v>
      </c>
      <c r="I116" s="665">
        <f t="shared" si="15"/>
        <v>40.56686378466558</v>
      </c>
      <c r="J116" s="702"/>
      <c r="K116" s="703"/>
      <c r="L116" s="427"/>
      <c r="M116" s="702">
        <f>SUM(M117:M120)</f>
        <v>50000</v>
      </c>
      <c r="N116" s="703">
        <f>SUM(N117:N120)</f>
        <v>17341</v>
      </c>
      <c r="O116" s="665">
        <f>N116/M116*100</f>
        <v>34.682</v>
      </c>
      <c r="P116" s="702"/>
      <c r="Q116" s="703"/>
      <c r="R116" s="704"/>
    </row>
    <row r="117" spans="1:18" ht="14.25" customHeight="1">
      <c r="A117" s="705" t="s">
        <v>90</v>
      </c>
      <c r="B117" s="785" t="s">
        <v>91</v>
      </c>
      <c r="C117" s="707">
        <v>3000000</v>
      </c>
      <c r="D117" s="708">
        <f aca="true" t="shared" si="18" ref="D117:E122">G117+J117+M117+P117</f>
        <v>3000000</v>
      </c>
      <c r="E117" s="708">
        <f t="shared" si="18"/>
        <v>735812</v>
      </c>
      <c r="F117" s="709">
        <f t="shared" si="13"/>
        <v>24.527066666666666</v>
      </c>
      <c r="G117" s="710">
        <v>3000000</v>
      </c>
      <c r="H117" s="711">
        <v>735812</v>
      </c>
      <c r="I117" s="709">
        <f t="shared" si="15"/>
        <v>24.527066666666666</v>
      </c>
      <c r="J117" s="710"/>
      <c r="K117" s="711"/>
      <c r="L117" s="426"/>
      <c r="M117" s="710"/>
      <c r="N117" s="711"/>
      <c r="O117" s="709"/>
      <c r="P117" s="710"/>
      <c r="Q117" s="711"/>
      <c r="R117" s="773"/>
    </row>
    <row r="118" spans="1:18" ht="38.25" customHeight="1">
      <c r="A118" s="688" t="s">
        <v>92</v>
      </c>
      <c r="B118" s="721" t="s">
        <v>93</v>
      </c>
      <c r="C118" s="689"/>
      <c r="D118" s="643">
        <f t="shared" si="18"/>
        <v>0</v>
      </c>
      <c r="E118" s="643">
        <f t="shared" si="18"/>
        <v>0</v>
      </c>
      <c r="F118" s="690" t="e">
        <f t="shared" si="13"/>
        <v>#DIV/0!</v>
      </c>
      <c r="G118" s="359"/>
      <c r="H118" s="358"/>
      <c r="I118" s="690" t="e">
        <f t="shared" si="15"/>
        <v>#DIV/0!</v>
      </c>
      <c r="J118" s="359"/>
      <c r="K118" s="358"/>
      <c r="L118" s="416"/>
      <c r="M118" s="359"/>
      <c r="N118" s="358"/>
      <c r="O118" s="690"/>
      <c r="P118" s="359"/>
      <c r="Q118" s="358"/>
      <c r="R118" s="749"/>
    </row>
    <row r="119" spans="1:18" s="692" customFormat="1" ht="21.75" customHeight="1">
      <c r="A119" s="693" t="s">
        <v>94</v>
      </c>
      <c r="B119" s="720" t="s">
        <v>95</v>
      </c>
      <c r="C119" s="695">
        <v>1800000</v>
      </c>
      <c r="D119" s="696">
        <f t="shared" si="18"/>
        <v>1800000</v>
      </c>
      <c r="E119" s="696">
        <f t="shared" si="18"/>
        <v>1219712</v>
      </c>
      <c r="F119" s="679">
        <f t="shared" si="13"/>
        <v>67.76177777777778</v>
      </c>
      <c r="G119" s="523">
        <v>1800000</v>
      </c>
      <c r="H119" s="524">
        <v>1219712</v>
      </c>
      <c r="I119" s="679">
        <f t="shared" si="15"/>
        <v>67.76177777777778</v>
      </c>
      <c r="J119" s="523"/>
      <c r="K119" s="524"/>
      <c r="L119" s="424"/>
      <c r="M119" s="523"/>
      <c r="N119" s="524"/>
      <c r="O119" s="679"/>
      <c r="P119" s="523"/>
      <c r="Q119" s="524"/>
      <c r="R119" s="778"/>
    </row>
    <row r="120" spans="1:18" ht="72" customHeight="1">
      <c r="A120" s="693" t="s">
        <v>96</v>
      </c>
      <c r="B120" s="720" t="s">
        <v>97</v>
      </c>
      <c r="C120" s="695">
        <f>104000+50000</f>
        <v>154000</v>
      </c>
      <c r="D120" s="696">
        <f t="shared" si="18"/>
        <v>154000</v>
      </c>
      <c r="E120" s="696">
        <f t="shared" si="18"/>
        <v>51216</v>
      </c>
      <c r="F120" s="679">
        <f t="shared" si="13"/>
        <v>33.25714285714286</v>
      </c>
      <c r="G120" s="523">
        <v>104000</v>
      </c>
      <c r="H120" s="524">
        <v>33875</v>
      </c>
      <c r="I120" s="679">
        <f t="shared" si="15"/>
        <v>32.57211538461539</v>
      </c>
      <c r="J120" s="523"/>
      <c r="K120" s="524"/>
      <c r="L120" s="424"/>
      <c r="M120" s="523">
        <v>50000</v>
      </c>
      <c r="N120" s="524">
        <v>17341</v>
      </c>
      <c r="O120" s="679">
        <f>N120/M120*100</f>
        <v>34.682</v>
      </c>
      <c r="P120" s="523"/>
      <c r="Q120" s="524"/>
      <c r="R120" s="778"/>
    </row>
    <row r="121" spans="1:18" s="784" customFormat="1" ht="22.5" customHeight="1">
      <c r="A121" s="680" t="s">
        <v>98</v>
      </c>
      <c r="B121" s="681" t="s">
        <v>99</v>
      </c>
      <c r="C121" s="682"/>
      <c r="D121" s="801">
        <f t="shared" si="18"/>
        <v>0</v>
      </c>
      <c r="E121" s="801">
        <f t="shared" si="18"/>
        <v>11258</v>
      </c>
      <c r="F121" s="685" t="e">
        <f>E121/D121*100</f>
        <v>#DIV/0!</v>
      </c>
      <c r="G121" s="683">
        <f>G122</f>
        <v>0</v>
      </c>
      <c r="H121" s="684">
        <f>H122</f>
        <v>11258</v>
      </c>
      <c r="I121" s="685" t="e">
        <f>H121/G121*100</f>
        <v>#DIV/0!</v>
      </c>
      <c r="J121" s="683"/>
      <c r="K121" s="684"/>
      <c r="L121" s="687"/>
      <c r="M121" s="683"/>
      <c r="N121" s="684"/>
      <c r="O121" s="685"/>
      <c r="P121" s="683"/>
      <c r="Q121" s="684"/>
      <c r="R121" s="746"/>
    </row>
    <row r="122" spans="1:18" ht="21.75" customHeight="1">
      <c r="A122" s="693" t="s">
        <v>100</v>
      </c>
      <c r="B122" s="720" t="s">
        <v>101</v>
      </c>
      <c r="C122" s="695"/>
      <c r="D122" s="830">
        <f t="shared" si="18"/>
        <v>0</v>
      </c>
      <c r="E122" s="696">
        <f t="shared" si="18"/>
        <v>11258</v>
      </c>
      <c r="F122" s="679" t="e">
        <f>E122/D122*100</f>
        <v>#DIV/0!</v>
      </c>
      <c r="G122" s="523"/>
      <c r="H122" s="524">
        <v>11258</v>
      </c>
      <c r="I122" s="679" t="e">
        <f>H122/G122*100</f>
        <v>#DIV/0!</v>
      </c>
      <c r="J122" s="523"/>
      <c r="K122" s="524"/>
      <c r="L122" s="424"/>
      <c r="M122" s="523"/>
      <c r="N122" s="524"/>
      <c r="O122" s="679"/>
      <c r="P122" s="523"/>
      <c r="Q122" s="524"/>
      <c r="R122" s="778"/>
    </row>
    <row r="123" spans="1:18" ht="36">
      <c r="A123" s="698" t="s">
        <v>102</v>
      </c>
      <c r="B123" s="699" t="s">
        <v>103</v>
      </c>
      <c r="C123" s="829">
        <f>SUM(C124:C125)</f>
        <v>72010628</v>
      </c>
      <c r="D123" s="703">
        <f>SUM(D124:D125)</f>
        <v>72010628</v>
      </c>
      <c r="E123" s="703">
        <f>SUM(E124:E125)</f>
        <v>15706498</v>
      </c>
      <c r="F123" s="665">
        <f t="shared" si="13"/>
        <v>21.811360956329946</v>
      </c>
      <c r="G123" s="702">
        <f>G124+G125</f>
        <v>72010628</v>
      </c>
      <c r="H123" s="703">
        <f>SUM(H124:H125)</f>
        <v>15706498</v>
      </c>
      <c r="I123" s="665">
        <f t="shared" si="15"/>
        <v>21.811360956329946</v>
      </c>
      <c r="J123" s="702"/>
      <c r="K123" s="703"/>
      <c r="L123" s="427"/>
      <c r="M123" s="702"/>
      <c r="N123" s="703"/>
      <c r="O123" s="665"/>
      <c r="P123" s="702"/>
      <c r="Q123" s="703"/>
      <c r="R123" s="704"/>
    </row>
    <row r="124" spans="1:18" s="692" customFormat="1" ht="24">
      <c r="A124" s="705" t="s">
        <v>104</v>
      </c>
      <c r="B124" s="785" t="s">
        <v>105</v>
      </c>
      <c r="C124" s="707">
        <v>68660628</v>
      </c>
      <c r="D124" s="708">
        <f>G124+J124+M124+P124</f>
        <v>68660628</v>
      </c>
      <c r="E124" s="708">
        <f>H124+K124+N124+Q124</f>
        <v>14158774</v>
      </c>
      <c r="F124" s="709">
        <f t="shared" si="13"/>
        <v>20.621387267241424</v>
      </c>
      <c r="G124" s="786">
        <v>68660628</v>
      </c>
      <c r="H124" s="711">
        <v>14158774</v>
      </c>
      <c r="I124" s="709">
        <f t="shared" si="15"/>
        <v>20.621387267241424</v>
      </c>
      <c r="J124" s="710"/>
      <c r="K124" s="711"/>
      <c r="L124" s="426"/>
      <c r="M124" s="710"/>
      <c r="N124" s="711"/>
      <c r="O124" s="709"/>
      <c r="P124" s="710"/>
      <c r="Q124" s="711"/>
      <c r="R124" s="773"/>
    </row>
    <row r="125" spans="1:18" ht="24">
      <c r="A125" s="693" t="s">
        <v>106</v>
      </c>
      <c r="B125" s="781" t="s">
        <v>107</v>
      </c>
      <c r="C125" s="695">
        <v>3350000</v>
      </c>
      <c r="D125" s="696">
        <f>G125+J125+M125+P125</f>
        <v>3350000</v>
      </c>
      <c r="E125" s="696">
        <f>H125+K125+N125+Q125</f>
        <v>1547724</v>
      </c>
      <c r="F125" s="679">
        <f t="shared" si="13"/>
        <v>46.20071641791045</v>
      </c>
      <c r="G125" s="783">
        <v>3350000</v>
      </c>
      <c r="H125" s="524">
        <v>1547724</v>
      </c>
      <c r="I125" s="679">
        <f t="shared" si="15"/>
        <v>46.20071641791045</v>
      </c>
      <c r="J125" s="523"/>
      <c r="K125" s="524"/>
      <c r="L125" s="424"/>
      <c r="M125" s="523"/>
      <c r="N125" s="524"/>
      <c r="O125" s="679"/>
      <c r="P125" s="523"/>
      <c r="Q125" s="524"/>
      <c r="R125" s="778"/>
    </row>
    <row r="126" spans="1:18" ht="36">
      <c r="A126" s="698" t="s">
        <v>108</v>
      </c>
      <c r="B126" s="699" t="s">
        <v>109</v>
      </c>
      <c r="C126" s="829">
        <f>SUM(C127:C128)</f>
        <v>19786693</v>
      </c>
      <c r="D126" s="703">
        <f>SUM(D127:D128)</f>
        <v>19786693</v>
      </c>
      <c r="E126" s="703">
        <f>SUM(E127:E128)</f>
        <v>4300108</v>
      </c>
      <c r="F126" s="665">
        <f t="shared" si="13"/>
        <v>21.73232282928734</v>
      </c>
      <c r="G126" s="702"/>
      <c r="H126" s="703"/>
      <c r="I126" s="719"/>
      <c r="J126" s="702"/>
      <c r="K126" s="703"/>
      <c r="L126" s="427"/>
      <c r="M126" s="702">
        <f>M127+M128</f>
        <v>19786693</v>
      </c>
      <c r="N126" s="703">
        <f>SUM(N127:N128)</f>
        <v>4300108</v>
      </c>
      <c r="O126" s="665">
        <f aca="true" t="shared" si="19" ref="O126:O138">N126/M126*100</f>
        <v>21.73232282928734</v>
      </c>
      <c r="P126" s="702"/>
      <c r="Q126" s="703"/>
      <c r="R126" s="704"/>
    </row>
    <row r="127" spans="1:18" s="692" customFormat="1" ht="24">
      <c r="A127" s="146" t="s">
        <v>104</v>
      </c>
      <c r="B127" s="785" t="s">
        <v>110</v>
      </c>
      <c r="C127" s="707">
        <v>19286693</v>
      </c>
      <c r="D127" s="708">
        <f aca="true" t="shared" si="20" ref="D127:E133">G127+J127+M127+P127</f>
        <v>19286693</v>
      </c>
      <c r="E127" s="708">
        <f t="shared" si="20"/>
        <v>3977185</v>
      </c>
      <c r="F127" s="709">
        <f t="shared" si="13"/>
        <v>20.62139424317067</v>
      </c>
      <c r="G127" s="710"/>
      <c r="H127" s="711"/>
      <c r="I127" s="709"/>
      <c r="J127" s="710"/>
      <c r="K127" s="711"/>
      <c r="L127" s="426"/>
      <c r="M127" s="710">
        <v>19286693</v>
      </c>
      <c r="N127" s="711">
        <v>3977185</v>
      </c>
      <c r="O127" s="709">
        <f t="shared" si="19"/>
        <v>20.62139424317067</v>
      </c>
      <c r="P127" s="710"/>
      <c r="Q127" s="711"/>
      <c r="R127" s="773"/>
    </row>
    <row r="128" spans="1:18" ht="24">
      <c r="A128" s="693" t="s">
        <v>106</v>
      </c>
      <c r="B128" s="781" t="s">
        <v>107</v>
      </c>
      <c r="C128" s="695">
        <v>500000</v>
      </c>
      <c r="D128" s="696">
        <f t="shared" si="20"/>
        <v>500000</v>
      </c>
      <c r="E128" s="696">
        <f t="shared" si="20"/>
        <v>322923</v>
      </c>
      <c r="F128" s="679">
        <f t="shared" si="13"/>
        <v>64.58460000000001</v>
      </c>
      <c r="G128" s="523"/>
      <c r="H128" s="524"/>
      <c r="I128" s="679"/>
      <c r="J128" s="523"/>
      <c r="K128" s="524"/>
      <c r="L128" s="424"/>
      <c r="M128" s="523">
        <v>500000</v>
      </c>
      <c r="N128" s="524">
        <v>322923</v>
      </c>
      <c r="O128" s="679">
        <f t="shared" si="19"/>
        <v>64.58460000000001</v>
      </c>
      <c r="P128" s="523"/>
      <c r="Q128" s="524"/>
      <c r="R128" s="778"/>
    </row>
    <row r="129" spans="1:18" s="784" customFormat="1" ht="15.75" customHeight="1">
      <c r="A129" s="698" t="s">
        <v>111</v>
      </c>
      <c r="B129" s="699" t="s">
        <v>112</v>
      </c>
      <c r="C129" s="700"/>
      <c r="D129" s="801">
        <f t="shared" si="20"/>
        <v>0</v>
      </c>
      <c r="E129" s="752">
        <f t="shared" si="20"/>
        <v>0</v>
      </c>
      <c r="F129" s="831" t="e">
        <f t="shared" si="13"/>
        <v>#DIV/0!</v>
      </c>
      <c r="G129" s="702">
        <f>G130</f>
        <v>0</v>
      </c>
      <c r="H129" s="703">
        <f>H130</f>
        <v>0</v>
      </c>
      <c r="I129" s="665" t="e">
        <f>H129/G129*10</f>
        <v>#DIV/0!</v>
      </c>
      <c r="J129" s="702"/>
      <c r="K129" s="703"/>
      <c r="L129" s="427"/>
      <c r="M129" s="702"/>
      <c r="N129" s="703"/>
      <c r="O129" s="665"/>
      <c r="P129" s="702"/>
      <c r="Q129" s="703"/>
      <c r="R129" s="704"/>
    </row>
    <row r="130" spans="1:18" ht="18" customHeight="1">
      <c r="A130" s="688" t="s">
        <v>113</v>
      </c>
      <c r="B130" s="721" t="s">
        <v>114</v>
      </c>
      <c r="C130" s="689"/>
      <c r="D130" s="696">
        <f t="shared" si="20"/>
        <v>0</v>
      </c>
      <c r="E130" s="643">
        <f t="shared" si="20"/>
        <v>0</v>
      </c>
      <c r="F130" s="679" t="e">
        <f t="shared" si="13"/>
        <v>#DIV/0!</v>
      </c>
      <c r="G130" s="359"/>
      <c r="H130" s="358"/>
      <c r="I130" s="832" t="e">
        <f>H130/G130*10</f>
        <v>#DIV/0!</v>
      </c>
      <c r="J130" s="359"/>
      <c r="K130" s="358"/>
      <c r="L130" s="416"/>
      <c r="M130" s="359"/>
      <c r="N130" s="358"/>
      <c r="O130" s="690"/>
      <c r="P130" s="359"/>
      <c r="Q130" s="358"/>
      <c r="R130" s="749"/>
    </row>
    <row r="131" spans="1:18" s="784" customFormat="1" ht="36" customHeight="1">
      <c r="A131" s="698" t="s">
        <v>115</v>
      </c>
      <c r="B131" s="699" t="s">
        <v>116</v>
      </c>
      <c r="C131" s="700">
        <f>SUM(C132:C133)</f>
        <v>87000</v>
      </c>
      <c r="D131" s="801">
        <f t="shared" si="20"/>
        <v>87000</v>
      </c>
      <c r="E131" s="752">
        <f t="shared" si="20"/>
        <v>37628</v>
      </c>
      <c r="F131" s="831">
        <f>E131/D131*100</f>
        <v>43.25057471264368</v>
      </c>
      <c r="G131" s="702">
        <f>SUM(G132:G133)</f>
        <v>87000</v>
      </c>
      <c r="H131" s="702">
        <f>SUM(H132:H133)</f>
        <v>37628</v>
      </c>
      <c r="I131" s="665">
        <f>H131/G131*10</f>
        <v>4.325057471264368</v>
      </c>
      <c r="J131" s="702"/>
      <c r="K131" s="703"/>
      <c r="L131" s="427"/>
      <c r="M131" s="702"/>
      <c r="N131" s="703"/>
      <c r="O131" s="665"/>
      <c r="P131" s="702"/>
      <c r="Q131" s="703"/>
      <c r="R131" s="704"/>
    </row>
    <row r="132" spans="1:18" s="692" customFormat="1" ht="15" customHeight="1">
      <c r="A132" s="705" t="s">
        <v>984</v>
      </c>
      <c r="B132" s="785" t="s">
        <v>117</v>
      </c>
      <c r="C132" s="707">
        <v>80000</v>
      </c>
      <c r="D132" s="708">
        <f t="shared" si="20"/>
        <v>80000</v>
      </c>
      <c r="E132" s="708">
        <f t="shared" si="20"/>
        <v>33932</v>
      </c>
      <c r="F132" s="709">
        <f>E132/D132*100</f>
        <v>42.415000000000006</v>
      </c>
      <c r="G132" s="710">
        <v>80000</v>
      </c>
      <c r="H132" s="711">
        <v>33932</v>
      </c>
      <c r="I132" s="709">
        <f>H132/G132*100</f>
        <v>42.415000000000006</v>
      </c>
      <c r="J132" s="710"/>
      <c r="K132" s="711"/>
      <c r="L132" s="426"/>
      <c r="M132" s="710"/>
      <c r="N132" s="711"/>
      <c r="O132" s="225"/>
      <c r="P132" s="710"/>
      <c r="Q132" s="711"/>
      <c r="R132" s="426"/>
    </row>
    <row r="133" spans="1:18" ht="27" customHeight="1" thickBot="1">
      <c r="A133" s="693" t="s">
        <v>969</v>
      </c>
      <c r="B133" s="781" t="s">
        <v>4</v>
      </c>
      <c r="C133" s="695">
        <v>7000</v>
      </c>
      <c r="D133" s="696">
        <f t="shared" si="20"/>
        <v>7000</v>
      </c>
      <c r="E133" s="696">
        <f t="shared" si="20"/>
        <v>3696</v>
      </c>
      <c r="F133" s="679">
        <f>E133/D133*100</f>
        <v>52.800000000000004</v>
      </c>
      <c r="G133" s="783">
        <v>7000</v>
      </c>
      <c r="H133" s="524">
        <v>3696</v>
      </c>
      <c r="I133" s="679">
        <f>H133/G133*100</f>
        <v>52.800000000000004</v>
      </c>
      <c r="J133" s="715"/>
      <c r="K133" s="716"/>
      <c r="L133" s="424"/>
      <c r="M133" s="715"/>
      <c r="N133" s="716"/>
      <c r="O133" s="679"/>
      <c r="P133" s="715"/>
      <c r="Q133" s="716"/>
      <c r="R133" s="778"/>
    </row>
    <row r="134" spans="1:18" ht="18" customHeight="1" thickTop="1">
      <c r="A134" s="833" t="s">
        <v>118</v>
      </c>
      <c r="B134" s="834" t="s">
        <v>666</v>
      </c>
      <c r="C134" s="835">
        <f>C135+C139+C145+C147</f>
        <v>84602688</v>
      </c>
      <c r="D134" s="836">
        <f>G134+J134+M134+P134</f>
        <v>90825285</v>
      </c>
      <c r="E134" s="533">
        <f>E135+E139+E145+E147+E137</f>
        <v>34153177</v>
      </c>
      <c r="F134" s="667">
        <f>E134/D134*100</f>
        <v>37.60315973685081</v>
      </c>
      <c r="G134" s="835">
        <f>G135+G139+G145</f>
        <v>39482902</v>
      </c>
      <c r="H134" s="533">
        <f>H135+H139+H145</f>
        <v>15062814</v>
      </c>
      <c r="I134" s="667">
        <f t="shared" si="15"/>
        <v>38.150220062344964</v>
      </c>
      <c r="J134" s="835"/>
      <c r="K134" s="533"/>
      <c r="L134" s="837"/>
      <c r="M134" s="838">
        <f>M135+M137+M139+M145+M147</f>
        <v>51342383</v>
      </c>
      <c r="N134" s="533">
        <f>N135+N137+N139+N145+N147</f>
        <v>19090363</v>
      </c>
      <c r="O134" s="667">
        <f t="shared" si="19"/>
        <v>37.18246385252512</v>
      </c>
      <c r="P134" s="835"/>
      <c r="Q134" s="533"/>
      <c r="R134" s="839"/>
    </row>
    <row r="135" spans="1:18" ht="40.5" customHeight="1">
      <c r="A135" s="680" t="s">
        <v>119</v>
      </c>
      <c r="B135" s="681" t="s">
        <v>120</v>
      </c>
      <c r="C135" s="744">
        <f>SUM(C136)</f>
        <v>78044009</v>
      </c>
      <c r="D135" s="684">
        <f>SUM(D136)</f>
        <v>84266606</v>
      </c>
      <c r="E135" s="684">
        <f>SUM(E136)</f>
        <v>32410230</v>
      </c>
      <c r="F135" s="840">
        <f>E135/D135*100</f>
        <v>38.46153481012395</v>
      </c>
      <c r="G135" s="683">
        <f>G136</f>
        <v>37840365</v>
      </c>
      <c r="H135" s="684">
        <f>H136</f>
        <v>14553985</v>
      </c>
      <c r="I135" s="841">
        <f t="shared" si="15"/>
        <v>38.461534395875944</v>
      </c>
      <c r="J135" s="683"/>
      <c r="K135" s="684"/>
      <c r="L135" s="687"/>
      <c r="M135" s="683">
        <f>M136</f>
        <v>46426241</v>
      </c>
      <c r="N135" s="684">
        <f>N136</f>
        <v>17856245</v>
      </c>
      <c r="O135" s="685">
        <f t="shared" si="19"/>
        <v>38.46153514776267</v>
      </c>
      <c r="P135" s="683"/>
      <c r="Q135" s="684"/>
      <c r="R135" s="746"/>
    </row>
    <row r="136" spans="1:18" ht="24">
      <c r="A136" s="672" t="s">
        <v>121</v>
      </c>
      <c r="B136" s="826" t="s">
        <v>122</v>
      </c>
      <c r="C136" s="747">
        <f>36121645+41922364</f>
        <v>78044009</v>
      </c>
      <c r="D136" s="696">
        <f aca="true" t="shared" si="21" ref="D136:E138">G136+J136+M136+P136</f>
        <v>84266606</v>
      </c>
      <c r="E136" s="696">
        <f t="shared" si="21"/>
        <v>32410230</v>
      </c>
      <c r="F136" s="719">
        <f aca="true" t="shared" si="22" ref="F136:F198">E136/D136*100</f>
        <v>38.46153481012395</v>
      </c>
      <c r="G136" s="677">
        <v>37840365</v>
      </c>
      <c r="H136" s="678">
        <v>14553985</v>
      </c>
      <c r="I136" s="719">
        <f t="shared" si="15"/>
        <v>38.461534395875944</v>
      </c>
      <c r="J136" s="677"/>
      <c r="K136" s="678"/>
      <c r="L136" s="417"/>
      <c r="M136" s="677">
        <v>46426241</v>
      </c>
      <c r="N136" s="678">
        <v>17856245</v>
      </c>
      <c r="O136" s="719">
        <f t="shared" si="19"/>
        <v>38.46153514776267</v>
      </c>
      <c r="P136" s="677"/>
      <c r="Q136" s="678"/>
      <c r="R136" s="748"/>
    </row>
    <row r="137" spans="1:18" s="784" customFormat="1" ht="24" customHeight="1">
      <c r="A137" s="698" t="s">
        <v>123</v>
      </c>
      <c r="B137" s="699" t="s">
        <v>124</v>
      </c>
      <c r="C137" s="842"/>
      <c r="D137" s="663">
        <f t="shared" si="21"/>
        <v>0</v>
      </c>
      <c r="E137" s="663">
        <f t="shared" si="21"/>
        <v>0</v>
      </c>
      <c r="F137" s="665" t="e">
        <f t="shared" si="22"/>
        <v>#DIV/0!</v>
      </c>
      <c r="G137" s="702"/>
      <c r="H137" s="703"/>
      <c r="I137" s="665"/>
      <c r="J137" s="702"/>
      <c r="K137" s="703"/>
      <c r="L137" s="427"/>
      <c r="M137" s="702">
        <f>M138</f>
        <v>0</v>
      </c>
      <c r="N137" s="703">
        <f>N138</f>
        <v>0</v>
      </c>
      <c r="O137" s="665" t="e">
        <f>N137/M137*100</f>
        <v>#DIV/0!</v>
      </c>
      <c r="P137" s="702"/>
      <c r="Q137" s="703"/>
      <c r="R137" s="704"/>
    </row>
    <row r="138" spans="1:18" ht="79.5" customHeight="1">
      <c r="A138" s="672" t="s">
        <v>125</v>
      </c>
      <c r="B138" s="673" t="s">
        <v>126</v>
      </c>
      <c r="C138" s="843"/>
      <c r="D138" s="696">
        <f t="shared" si="21"/>
        <v>0</v>
      </c>
      <c r="E138" s="696">
        <f t="shared" si="21"/>
        <v>0</v>
      </c>
      <c r="F138" s="690" t="e">
        <f t="shared" si="22"/>
        <v>#DIV/0!</v>
      </c>
      <c r="G138" s="677"/>
      <c r="H138" s="678"/>
      <c r="I138" s="719"/>
      <c r="J138" s="677"/>
      <c r="K138" s="678"/>
      <c r="L138" s="417"/>
      <c r="M138" s="677"/>
      <c r="N138" s="678"/>
      <c r="O138" s="719" t="e">
        <f t="shared" si="19"/>
        <v>#DIV/0!</v>
      </c>
      <c r="P138" s="677"/>
      <c r="Q138" s="678"/>
      <c r="R138" s="748"/>
    </row>
    <row r="139" spans="1:18" ht="21" customHeight="1">
      <c r="A139" s="134" t="s">
        <v>127</v>
      </c>
      <c r="B139" s="699" t="s">
        <v>128</v>
      </c>
      <c r="C139" s="842">
        <f>SUM(C141:C143)</f>
        <v>1070500</v>
      </c>
      <c r="D139" s="664">
        <f>SUM(D141:D144)</f>
        <v>1070500</v>
      </c>
      <c r="E139" s="664">
        <f>SUM(E140:E144)</f>
        <v>370903</v>
      </c>
      <c r="F139" s="665">
        <f t="shared" si="22"/>
        <v>34.64764128911724</v>
      </c>
      <c r="G139" s="702">
        <f>SUM(G140:G144)</f>
        <v>1064100</v>
      </c>
      <c r="H139" s="703">
        <f>SUM(H140:H144)</f>
        <v>364220</v>
      </c>
      <c r="I139" s="665">
        <f t="shared" si="15"/>
        <v>34.227986091532756</v>
      </c>
      <c r="J139" s="775"/>
      <c r="K139" s="776"/>
      <c r="L139" s="417"/>
      <c r="M139" s="702">
        <f>SUM(M141:M144)</f>
        <v>6400</v>
      </c>
      <c r="N139" s="703">
        <f>SUM(N141:N144)</f>
        <v>6683</v>
      </c>
      <c r="O139" s="844">
        <f>N139/M139*100</f>
        <v>104.421875</v>
      </c>
      <c r="P139" s="775"/>
      <c r="Q139" s="776"/>
      <c r="R139" s="748"/>
    </row>
    <row r="140" spans="1:18" s="692" customFormat="1" ht="36.75" customHeight="1">
      <c r="A140" s="705" t="s">
        <v>129</v>
      </c>
      <c r="B140" s="706" t="s">
        <v>130</v>
      </c>
      <c r="C140" s="707"/>
      <c r="D140" s="708">
        <f>G140+J140+M140+P140</f>
        <v>0</v>
      </c>
      <c r="E140" s="708">
        <f>H140+K140+N140+Q140</f>
        <v>0</v>
      </c>
      <c r="F140" s="709"/>
      <c r="G140" s="710"/>
      <c r="H140" s="711"/>
      <c r="I140" s="709"/>
      <c r="J140" s="710"/>
      <c r="K140" s="711"/>
      <c r="L140" s="426"/>
      <c r="M140" s="710"/>
      <c r="N140" s="711"/>
      <c r="O140" s="709"/>
      <c r="P140" s="710"/>
      <c r="Q140" s="711"/>
      <c r="R140" s="773"/>
    </row>
    <row r="141" spans="1:18" s="692" customFormat="1" ht="33.75" customHeight="1">
      <c r="A141" s="688" t="s">
        <v>100</v>
      </c>
      <c r="B141" s="641" t="s">
        <v>101</v>
      </c>
      <c r="C141" s="689">
        <v>500000</v>
      </c>
      <c r="D141" s="643">
        <f aca="true" t="shared" si="23" ref="D141:E143">G141+J141+M141+P141</f>
        <v>500000</v>
      </c>
      <c r="E141" s="643">
        <f t="shared" si="23"/>
        <v>128337</v>
      </c>
      <c r="F141" s="690">
        <f t="shared" si="22"/>
        <v>25.6674</v>
      </c>
      <c r="G141" s="359">
        <v>500000</v>
      </c>
      <c r="H141" s="358">
        <v>128337</v>
      </c>
      <c r="I141" s="690">
        <f t="shared" si="15"/>
        <v>25.6674</v>
      </c>
      <c r="J141" s="359"/>
      <c r="K141" s="358"/>
      <c r="L141" s="416"/>
      <c r="M141" s="359"/>
      <c r="N141" s="358"/>
      <c r="O141" s="690"/>
      <c r="P141" s="359"/>
      <c r="Q141" s="358"/>
      <c r="R141" s="749"/>
    </row>
    <row r="142" spans="1:18" s="692" customFormat="1" ht="14.25" customHeight="1">
      <c r="A142" s="688" t="s">
        <v>11</v>
      </c>
      <c r="B142" s="721" t="s">
        <v>12</v>
      </c>
      <c r="C142" s="689">
        <f>556300+100</f>
        <v>556400</v>
      </c>
      <c r="D142" s="643">
        <f t="shared" si="23"/>
        <v>556400</v>
      </c>
      <c r="E142" s="643">
        <f t="shared" si="23"/>
        <v>168901</v>
      </c>
      <c r="F142" s="690">
        <f t="shared" si="22"/>
        <v>30.356038820992094</v>
      </c>
      <c r="G142" s="359">
        <v>556300</v>
      </c>
      <c r="H142" s="358">
        <v>163938</v>
      </c>
      <c r="I142" s="690">
        <f t="shared" si="15"/>
        <v>29.46935106956678</v>
      </c>
      <c r="J142" s="359"/>
      <c r="K142" s="358"/>
      <c r="L142" s="416"/>
      <c r="M142" s="359">
        <v>100</v>
      </c>
      <c r="N142" s="358">
        <v>4963</v>
      </c>
      <c r="O142" s="845">
        <f>N142/M142*100</f>
        <v>4963</v>
      </c>
      <c r="P142" s="359"/>
      <c r="Q142" s="358"/>
      <c r="R142" s="749"/>
    </row>
    <row r="143" spans="1:18" s="692" customFormat="1" ht="41.25" customHeight="1">
      <c r="A143" s="688" t="s">
        <v>969</v>
      </c>
      <c r="B143" s="721" t="s">
        <v>131</v>
      </c>
      <c r="C143" s="689">
        <f>7800+6300</f>
        <v>14100</v>
      </c>
      <c r="D143" s="643">
        <f t="shared" si="23"/>
        <v>14100</v>
      </c>
      <c r="E143" s="643">
        <f t="shared" si="23"/>
        <v>73665</v>
      </c>
      <c r="F143" s="690">
        <f t="shared" si="22"/>
        <v>522.4468085106383</v>
      </c>
      <c r="G143" s="359">
        <v>7800</v>
      </c>
      <c r="H143" s="358">
        <v>71945</v>
      </c>
      <c r="I143" s="690">
        <f t="shared" si="15"/>
        <v>922.3717948717949</v>
      </c>
      <c r="J143" s="359"/>
      <c r="K143" s="358"/>
      <c r="L143" s="416"/>
      <c r="M143" s="359">
        <v>6300</v>
      </c>
      <c r="N143" s="358">
        <v>1720</v>
      </c>
      <c r="O143" s="690">
        <f>N143/M143*100</f>
        <v>27.3015873015873</v>
      </c>
      <c r="P143" s="359"/>
      <c r="Q143" s="358"/>
      <c r="R143" s="749"/>
    </row>
    <row r="144" spans="1:18" s="692" customFormat="1" ht="54.75" customHeight="1">
      <c r="A144" s="693" t="s">
        <v>1</v>
      </c>
      <c r="B144" s="777" t="s">
        <v>132</v>
      </c>
      <c r="C144" s="695"/>
      <c r="D144" s="696">
        <f>G144+J144+M144+P144</f>
        <v>0</v>
      </c>
      <c r="E144" s="696">
        <f>H144+K144+N144+Q144</f>
        <v>0</v>
      </c>
      <c r="F144" s="690" t="e">
        <f t="shared" si="22"/>
        <v>#DIV/0!</v>
      </c>
      <c r="G144" s="523"/>
      <c r="H144" s="524"/>
      <c r="I144" s="679"/>
      <c r="J144" s="523"/>
      <c r="K144" s="524"/>
      <c r="L144" s="424"/>
      <c r="M144" s="523"/>
      <c r="N144" s="524"/>
      <c r="O144" s="679" t="e">
        <f>N144/M144*100</f>
        <v>#DIV/0!</v>
      </c>
      <c r="P144" s="523"/>
      <c r="Q144" s="524"/>
      <c r="R144" s="778"/>
    </row>
    <row r="145" spans="1:18" ht="23.25" customHeight="1">
      <c r="A145" s="698" t="s">
        <v>133</v>
      </c>
      <c r="B145" s="699" t="s">
        <v>134</v>
      </c>
      <c r="C145" s="700">
        <f>SUM(C146)</f>
        <v>578437</v>
      </c>
      <c r="D145" s="664">
        <f>D146</f>
        <v>578437</v>
      </c>
      <c r="E145" s="664">
        <f>E146</f>
        <v>144609</v>
      </c>
      <c r="F145" s="665">
        <f t="shared" si="22"/>
        <v>24.999956780081494</v>
      </c>
      <c r="G145" s="702">
        <f>G146</f>
        <v>578437</v>
      </c>
      <c r="H145" s="703">
        <f>H146</f>
        <v>144609</v>
      </c>
      <c r="I145" s="665">
        <f t="shared" si="15"/>
        <v>24.999956780081494</v>
      </c>
      <c r="J145" s="775"/>
      <c r="K145" s="776"/>
      <c r="L145" s="417"/>
      <c r="M145" s="816"/>
      <c r="N145" s="814"/>
      <c r="O145" s="719"/>
      <c r="P145" s="816"/>
      <c r="Q145" s="814"/>
      <c r="R145" s="748"/>
    </row>
    <row r="146" spans="1:18" ht="24">
      <c r="A146" s="672" t="s">
        <v>121</v>
      </c>
      <c r="B146" s="826" t="s">
        <v>122</v>
      </c>
      <c r="C146" s="747">
        <v>578437</v>
      </c>
      <c r="D146" s="696">
        <f>G146+J146+M146+P146</f>
        <v>578437</v>
      </c>
      <c r="E146" s="696">
        <f>H146+K146+N146+Q146</f>
        <v>144609</v>
      </c>
      <c r="F146" s="719">
        <f t="shared" si="22"/>
        <v>24.999956780081494</v>
      </c>
      <c r="G146" s="677">
        <v>578437</v>
      </c>
      <c r="H146" s="678">
        <v>144609</v>
      </c>
      <c r="I146" s="719">
        <f t="shared" si="15"/>
        <v>24.999956780081494</v>
      </c>
      <c r="J146" s="677"/>
      <c r="K146" s="678"/>
      <c r="L146" s="417"/>
      <c r="M146" s="677"/>
      <c r="N146" s="678"/>
      <c r="O146" s="690"/>
      <c r="P146" s="677"/>
      <c r="Q146" s="678"/>
      <c r="R146" s="748"/>
    </row>
    <row r="147" spans="1:18" ht="34.5" customHeight="1">
      <c r="A147" s="698" t="s">
        <v>135</v>
      </c>
      <c r="B147" s="699" t="s">
        <v>136</v>
      </c>
      <c r="C147" s="700">
        <f>C148</f>
        <v>4909742</v>
      </c>
      <c r="D147" s="664">
        <f>D148</f>
        <v>4909742</v>
      </c>
      <c r="E147" s="664">
        <f>E148</f>
        <v>1227435</v>
      </c>
      <c r="F147" s="665">
        <f t="shared" si="22"/>
        <v>24.999989816165495</v>
      </c>
      <c r="G147" s="702"/>
      <c r="H147" s="703"/>
      <c r="I147" s="719"/>
      <c r="J147" s="702"/>
      <c r="K147" s="703"/>
      <c r="L147" s="427"/>
      <c r="M147" s="702">
        <f>M148</f>
        <v>4909742</v>
      </c>
      <c r="N147" s="703">
        <f>N148</f>
        <v>1227435</v>
      </c>
      <c r="O147" s="665">
        <f>N147/M147*100</f>
        <v>24.999989816165495</v>
      </c>
      <c r="P147" s="702"/>
      <c r="Q147" s="703"/>
      <c r="R147" s="704"/>
    </row>
    <row r="148" spans="1:18" ht="29.25" customHeight="1" thickBot="1">
      <c r="A148" s="705" t="s">
        <v>121</v>
      </c>
      <c r="B148" s="785" t="s">
        <v>122</v>
      </c>
      <c r="C148" s="707">
        <v>4909742</v>
      </c>
      <c r="D148" s="708">
        <f>G148+J148+M148+P148</f>
        <v>4909742</v>
      </c>
      <c r="E148" s="708">
        <f>H148+K148+N148+Q148</f>
        <v>1227435</v>
      </c>
      <c r="F148" s="709">
        <f t="shared" si="22"/>
        <v>24.999989816165495</v>
      </c>
      <c r="G148" s="846"/>
      <c r="H148" s="847"/>
      <c r="I148" s="709"/>
      <c r="J148" s="846"/>
      <c r="K148" s="847"/>
      <c r="L148" s="848"/>
      <c r="M148" s="710">
        <v>4909742</v>
      </c>
      <c r="N148" s="711">
        <v>1227435</v>
      </c>
      <c r="O148" s="709">
        <f>N148/M148*100</f>
        <v>24.999989816165495</v>
      </c>
      <c r="P148" s="846"/>
      <c r="Q148" s="847"/>
      <c r="R148" s="849"/>
    </row>
    <row r="149" spans="1:18" ht="24.75" customHeight="1" thickBot="1" thickTop="1">
      <c r="A149" s="652" t="s">
        <v>137</v>
      </c>
      <c r="B149" s="742" t="s">
        <v>674</v>
      </c>
      <c r="C149" s="619">
        <f>C150+C158+C163+C167+C170+C172+C179+C185+C187+C193</f>
        <v>1025900</v>
      </c>
      <c r="D149" s="619">
        <f>D150+D158+D163+D167+D170+D172+D179+D185+D187+D193</f>
        <v>1070735</v>
      </c>
      <c r="E149" s="619">
        <f>E150+E158+E163+E167+E170+E172+E179+E187+E193</f>
        <v>575899</v>
      </c>
      <c r="F149" s="657">
        <f t="shared" si="22"/>
        <v>53.785390409391674</v>
      </c>
      <c r="G149" s="619">
        <f>G150+G158+G163+G167+G170+G172+G179+G185+G187+G187+G193</f>
        <v>693135</v>
      </c>
      <c r="H149" s="619">
        <f>H150+H158+H163+H167+H170+H172+H179+H185+H187+H187+H193</f>
        <v>381980</v>
      </c>
      <c r="I149" s="657">
        <f t="shared" si="15"/>
        <v>55.109033593744364</v>
      </c>
      <c r="J149" s="658"/>
      <c r="K149" s="655"/>
      <c r="L149" s="743"/>
      <c r="M149" s="658">
        <f>M158+M172+M179+M185+M187+M193</f>
        <v>377600</v>
      </c>
      <c r="N149" s="655">
        <f>N158+N172+N179+N185+N187+N193</f>
        <v>193919</v>
      </c>
      <c r="O149" s="657">
        <f>N149/M149*100</f>
        <v>51.355667372881356</v>
      </c>
      <c r="P149" s="658"/>
      <c r="Q149" s="655"/>
      <c r="R149" s="659"/>
    </row>
    <row r="150" spans="1:18" ht="18.75" customHeight="1" thickTop="1">
      <c r="A150" s="833" t="s">
        <v>138</v>
      </c>
      <c r="B150" s="834" t="s">
        <v>675</v>
      </c>
      <c r="C150" s="838">
        <f>SUM(C151:C157)</f>
        <v>315500</v>
      </c>
      <c r="D150" s="533">
        <f>SUM(D151:D157)</f>
        <v>315500</v>
      </c>
      <c r="E150" s="533">
        <f>SUM(E151:E157)</f>
        <v>140253</v>
      </c>
      <c r="F150" s="685">
        <f t="shared" si="22"/>
        <v>44.45419968304279</v>
      </c>
      <c r="G150" s="835">
        <f>SUM(G151:G157)</f>
        <v>315500</v>
      </c>
      <c r="H150" s="533">
        <f>SUM(H151:H157)</f>
        <v>140253</v>
      </c>
      <c r="I150" s="667">
        <f t="shared" si="15"/>
        <v>44.45419968304279</v>
      </c>
      <c r="J150" s="835"/>
      <c r="K150" s="533"/>
      <c r="L150" s="839"/>
      <c r="M150" s="835"/>
      <c r="N150" s="533"/>
      <c r="O150" s="380"/>
      <c r="P150" s="835"/>
      <c r="Q150" s="533"/>
      <c r="R150" s="837"/>
    </row>
    <row r="151" spans="1:18" s="692" customFormat="1" ht="22.5">
      <c r="A151" s="705" t="s">
        <v>984</v>
      </c>
      <c r="B151" s="785" t="s">
        <v>139</v>
      </c>
      <c r="C151" s="707">
        <v>4300</v>
      </c>
      <c r="D151" s="708">
        <f aca="true" t="shared" si="24" ref="D151:E157">G151+J151+M151+P151</f>
        <v>4300</v>
      </c>
      <c r="E151" s="708">
        <f t="shared" si="24"/>
        <v>884</v>
      </c>
      <c r="F151" s="709">
        <f t="shared" si="22"/>
        <v>20.558139534883722</v>
      </c>
      <c r="G151" s="710">
        <v>4300</v>
      </c>
      <c r="H151" s="711">
        <v>884</v>
      </c>
      <c r="I151" s="709">
        <f t="shared" si="15"/>
        <v>20.558139534883722</v>
      </c>
      <c r="J151" s="710"/>
      <c r="K151" s="711"/>
      <c r="L151" s="426"/>
      <c r="M151" s="710"/>
      <c r="N151" s="711"/>
      <c r="O151" s="225"/>
      <c r="P151" s="710"/>
      <c r="Q151" s="711"/>
      <c r="R151" s="426"/>
    </row>
    <row r="152" spans="1:18" ht="59.25" customHeight="1">
      <c r="A152" s="688" t="s">
        <v>986</v>
      </c>
      <c r="B152" s="641" t="s">
        <v>987</v>
      </c>
      <c r="C152" s="689">
        <v>303400</v>
      </c>
      <c r="D152" s="643">
        <f t="shared" si="24"/>
        <v>303400</v>
      </c>
      <c r="E152" s="643">
        <f t="shared" si="24"/>
        <v>132890</v>
      </c>
      <c r="F152" s="690">
        <f t="shared" si="22"/>
        <v>43.800263678312454</v>
      </c>
      <c r="G152" s="359">
        <v>303400</v>
      </c>
      <c r="H152" s="358">
        <v>132890</v>
      </c>
      <c r="I152" s="690">
        <f t="shared" si="15"/>
        <v>43.800263678312454</v>
      </c>
      <c r="J152" s="359"/>
      <c r="K152" s="358"/>
      <c r="L152" s="416"/>
      <c r="M152" s="359"/>
      <c r="N152" s="358"/>
      <c r="O152" s="194"/>
      <c r="P152" s="359"/>
      <c r="Q152" s="358"/>
      <c r="R152" s="416"/>
    </row>
    <row r="153" spans="1:18" ht="14.25" customHeight="1">
      <c r="A153" s="688" t="s">
        <v>140</v>
      </c>
      <c r="B153" s="721" t="s">
        <v>141</v>
      </c>
      <c r="C153" s="689">
        <v>5000</v>
      </c>
      <c r="D153" s="643">
        <f t="shared" si="24"/>
        <v>5000</v>
      </c>
      <c r="E153" s="643">
        <f t="shared" si="24"/>
        <v>2172</v>
      </c>
      <c r="F153" s="690">
        <f t="shared" si="22"/>
        <v>43.44</v>
      </c>
      <c r="G153" s="359">
        <v>5000</v>
      </c>
      <c r="H153" s="358">
        <v>2172</v>
      </c>
      <c r="I153" s="690">
        <f t="shared" si="15"/>
        <v>43.44</v>
      </c>
      <c r="J153" s="359"/>
      <c r="K153" s="358"/>
      <c r="L153" s="416"/>
      <c r="M153" s="359"/>
      <c r="N153" s="358"/>
      <c r="O153" s="194"/>
      <c r="P153" s="359"/>
      <c r="Q153" s="358"/>
      <c r="R153" s="416"/>
    </row>
    <row r="154" spans="1:18" s="692" customFormat="1" ht="23.25" customHeight="1">
      <c r="A154" s="688" t="s">
        <v>960</v>
      </c>
      <c r="B154" s="850" t="s">
        <v>33</v>
      </c>
      <c r="C154" s="689"/>
      <c r="D154" s="643"/>
      <c r="E154" s="643">
        <f t="shared" si="24"/>
        <v>1485</v>
      </c>
      <c r="F154" s="690"/>
      <c r="G154" s="359"/>
      <c r="H154" s="358">
        <v>1485</v>
      </c>
      <c r="I154" s="690" t="e">
        <f t="shared" si="15"/>
        <v>#DIV/0!</v>
      </c>
      <c r="J154" s="359"/>
      <c r="K154" s="358"/>
      <c r="L154" s="416"/>
      <c r="M154" s="359"/>
      <c r="N154" s="358"/>
      <c r="O154" s="194"/>
      <c r="P154" s="359"/>
      <c r="Q154" s="358"/>
      <c r="R154" s="416"/>
    </row>
    <row r="155" spans="1:18" ht="14.25" customHeight="1">
      <c r="A155" s="688" t="s">
        <v>11</v>
      </c>
      <c r="B155" s="850" t="s">
        <v>394</v>
      </c>
      <c r="C155" s="689">
        <v>200</v>
      </c>
      <c r="D155" s="643">
        <f t="shared" si="24"/>
        <v>200</v>
      </c>
      <c r="E155" s="643">
        <f t="shared" si="24"/>
        <v>60</v>
      </c>
      <c r="F155" s="690">
        <f t="shared" si="22"/>
        <v>30</v>
      </c>
      <c r="G155" s="359">
        <v>200</v>
      </c>
      <c r="H155" s="358">
        <v>60</v>
      </c>
      <c r="I155" s="690">
        <f t="shared" si="15"/>
        <v>30</v>
      </c>
      <c r="J155" s="359"/>
      <c r="K155" s="358"/>
      <c r="L155" s="416"/>
      <c r="M155" s="359"/>
      <c r="N155" s="358"/>
      <c r="O155" s="194"/>
      <c r="P155" s="359"/>
      <c r="Q155" s="358"/>
      <c r="R155" s="416"/>
    </row>
    <row r="156" spans="1:18" s="692" customFormat="1" ht="21" customHeight="1">
      <c r="A156" s="688" t="s">
        <v>969</v>
      </c>
      <c r="B156" s="721" t="s">
        <v>4</v>
      </c>
      <c r="C156" s="689">
        <v>2600</v>
      </c>
      <c r="D156" s="643">
        <f t="shared" si="24"/>
        <v>2600</v>
      </c>
      <c r="E156" s="643">
        <f t="shared" si="24"/>
        <v>2762</v>
      </c>
      <c r="F156" s="690">
        <f t="shared" si="22"/>
        <v>106.23076923076924</v>
      </c>
      <c r="G156" s="359">
        <v>2600</v>
      </c>
      <c r="H156" s="358">
        <v>2762</v>
      </c>
      <c r="I156" s="690">
        <f t="shared" si="15"/>
        <v>106.23076923076924</v>
      </c>
      <c r="J156" s="359"/>
      <c r="K156" s="358"/>
      <c r="L156" s="416"/>
      <c r="M156" s="359"/>
      <c r="N156" s="358"/>
      <c r="O156" s="194"/>
      <c r="P156" s="359"/>
      <c r="Q156" s="358"/>
      <c r="R156" s="416"/>
    </row>
    <row r="157" spans="1:18" ht="48">
      <c r="A157" s="693" t="s">
        <v>142</v>
      </c>
      <c r="B157" s="781" t="s">
        <v>143</v>
      </c>
      <c r="C157" s="695"/>
      <c r="D157" s="696">
        <f t="shared" si="24"/>
        <v>0</v>
      </c>
      <c r="E157" s="696">
        <f t="shared" si="24"/>
        <v>0</v>
      </c>
      <c r="F157" s="679" t="e">
        <f>E157/D157*100</f>
        <v>#DIV/0!</v>
      </c>
      <c r="G157" s="523"/>
      <c r="H157" s="524"/>
      <c r="I157" s="679" t="e">
        <f>H157/G157*100</f>
        <v>#DIV/0!</v>
      </c>
      <c r="J157" s="523"/>
      <c r="K157" s="524"/>
      <c r="L157" s="424"/>
      <c r="M157" s="523"/>
      <c r="N157" s="524"/>
      <c r="O157" s="237"/>
      <c r="P157" s="523"/>
      <c r="Q157" s="524"/>
      <c r="R157" s="424"/>
    </row>
    <row r="158" spans="1:18" ht="24">
      <c r="A158" s="698" t="s">
        <v>144</v>
      </c>
      <c r="B158" s="699" t="s">
        <v>681</v>
      </c>
      <c r="C158" s="700">
        <f>SUM(C159:C162)</f>
        <v>2300</v>
      </c>
      <c r="D158" s="700">
        <f>SUM(D159:D162)</f>
        <v>2300</v>
      </c>
      <c r="E158" s="664">
        <f>SUM(E159:E162)</f>
        <v>2230</v>
      </c>
      <c r="F158" s="665">
        <f t="shared" si="22"/>
        <v>96.95652173913044</v>
      </c>
      <c r="G158" s="702"/>
      <c r="H158" s="703"/>
      <c r="I158" s="719"/>
      <c r="J158" s="775"/>
      <c r="K158" s="776"/>
      <c r="L158" s="417"/>
      <c r="M158" s="700">
        <f>SUM(M159:M162)</f>
        <v>2300</v>
      </c>
      <c r="N158" s="700">
        <f>SUM(N159:N162)</f>
        <v>2230</v>
      </c>
      <c r="O158" s="665">
        <f>N158/M158*100</f>
        <v>96.95652173913044</v>
      </c>
      <c r="P158" s="816"/>
      <c r="Q158" s="814"/>
      <c r="R158" s="851"/>
    </row>
    <row r="159" spans="1:18" ht="15" customHeight="1">
      <c r="A159" s="705" t="s">
        <v>984</v>
      </c>
      <c r="B159" s="785" t="s">
        <v>145</v>
      </c>
      <c r="C159" s="707">
        <v>100</v>
      </c>
      <c r="D159" s="708">
        <f aca="true" t="shared" si="25" ref="D159:E162">G159+J159+M159+P159</f>
        <v>100</v>
      </c>
      <c r="E159" s="708">
        <f t="shared" si="25"/>
        <v>27</v>
      </c>
      <c r="F159" s="709">
        <f t="shared" si="22"/>
        <v>27</v>
      </c>
      <c r="G159" s="710"/>
      <c r="H159" s="711"/>
      <c r="I159" s="709"/>
      <c r="J159" s="710"/>
      <c r="K159" s="711"/>
      <c r="L159" s="426"/>
      <c r="M159" s="710">
        <v>100</v>
      </c>
      <c r="N159" s="711">
        <v>27</v>
      </c>
      <c r="O159" s="709">
        <f>N159/M159*100</f>
        <v>27</v>
      </c>
      <c r="P159" s="710"/>
      <c r="Q159" s="711"/>
      <c r="R159" s="426"/>
    </row>
    <row r="160" spans="1:18" ht="14.25" customHeight="1">
      <c r="A160" s="688" t="s">
        <v>140</v>
      </c>
      <c r="B160" s="721" t="s">
        <v>141</v>
      </c>
      <c r="C160" s="689"/>
      <c r="D160" s="643">
        <f>G160+J160+M160+P160</f>
        <v>0</v>
      </c>
      <c r="E160" s="643">
        <f>H160+K160+N160+Q160</f>
        <v>298</v>
      </c>
      <c r="F160" s="690" t="e">
        <f>E160/D160*100</f>
        <v>#DIV/0!</v>
      </c>
      <c r="G160" s="359"/>
      <c r="H160" s="358"/>
      <c r="I160" s="690"/>
      <c r="J160" s="359"/>
      <c r="K160" s="358"/>
      <c r="L160" s="416"/>
      <c r="M160" s="359"/>
      <c r="N160" s="358">
        <v>298</v>
      </c>
      <c r="O160" s="690" t="e">
        <f>N160/M160*100</f>
        <v>#DIV/0!</v>
      </c>
      <c r="P160" s="359"/>
      <c r="Q160" s="358"/>
      <c r="R160" s="416"/>
    </row>
    <row r="161" spans="1:18" ht="57" customHeight="1">
      <c r="A161" s="693" t="s">
        <v>986</v>
      </c>
      <c r="B161" s="720" t="s">
        <v>987</v>
      </c>
      <c r="C161" s="695">
        <v>2200</v>
      </c>
      <c r="D161" s="696">
        <f t="shared" si="25"/>
        <v>2200</v>
      </c>
      <c r="E161" s="696">
        <f t="shared" si="25"/>
        <v>1666</v>
      </c>
      <c r="F161" s="679">
        <f t="shared" si="22"/>
        <v>75.72727272727273</v>
      </c>
      <c r="G161" s="523"/>
      <c r="H161" s="524"/>
      <c r="I161" s="679"/>
      <c r="J161" s="523"/>
      <c r="K161" s="524"/>
      <c r="L161" s="424"/>
      <c r="M161" s="523">
        <v>2200</v>
      </c>
      <c r="N161" s="524">
        <v>1666</v>
      </c>
      <c r="O161" s="679">
        <f>N161/M161*100</f>
        <v>75.72727272727273</v>
      </c>
      <c r="P161" s="523"/>
      <c r="Q161" s="524"/>
      <c r="R161" s="424"/>
    </row>
    <row r="162" spans="1:18" ht="23.25" customHeight="1">
      <c r="A162" s="693" t="s">
        <v>969</v>
      </c>
      <c r="B162" s="720" t="s">
        <v>4</v>
      </c>
      <c r="C162" s="695"/>
      <c r="D162" s="696">
        <f t="shared" si="25"/>
        <v>0</v>
      </c>
      <c r="E162" s="696">
        <f t="shared" si="25"/>
        <v>239</v>
      </c>
      <c r="F162" s="679" t="e">
        <f t="shared" si="22"/>
        <v>#DIV/0!</v>
      </c>
      <c r="G162" s="523"/>
      <c r="H162" s="524"/>
      <c r="I162" s="679"/>
      <c r="J162" s="523"/>
      <c r="K162" s="524"/>
      <c r="L162" s="424"/>
      <c r="M162" s="523"/>
      <c r="N162" s="524">
        <v>239</v>
      </c>
      <c r="O162" s="679" t="e">
        <f>N162/M162*100</f>
        <v>#DIV/0!</v>
      </c>
      <c r="P162" s="523"/>
      <c r="Q162" s="524"/>
      <c r="R162" s="424"/>
    </row>
    <row r="163" spans="1:18" ht="13.5" customHeight="1">
      <c r="A163" s="809" t="s">
        <v>146</v>
      </c>
      <c r="B163" s="810" t="s">
        <v>147</v>
      </c>
      <c r="C163" s="811">
        <f>SUM(C164:C166)</f>
        <v>76700</v>
      </c>
      <c r="D163" s="752">
        <f>SUM(D164:D166)</f>
        <v>76700</v>
      </c>
      <c r="E163" s="752">
        <f>SUM(E164:E166)</f>
        <v>25225</v>
      </c>
      <c r="F163" s="665">
        <f t="shared" si="22"/>
        <v>32.88787483702738</v>
      </c>
      <c r="G163" s="813">
        <f>SUM(G164:G166)</f>
        <v>76700</v>
      </c>
      <c r="H163" s="814">
        <f>SUM(H164:H166)</f>
        <v>25225</v>
      </c>
      <c r="I163" s="665">
        <f aca="true" t="shared" si="26" ref="I163:I169">H163/G163*100</f>
        <v>32.88787483702738</v>
      </c>
      <c r="J163" s="816"/>
      <c r="K163" s="814"/>
      <c r="L163" s="817"/>
      <c r="M163" s="816"/>
      <c r="N163" s="814"/>
      <c r="O163" s="823"/>
      <c r="P163" s="816"/>
      <c r="Q163" s="814"/>
      <c r="R163" s="817"/>
    </row>
    <row r="164" spans="1:18" s="692" customFormat="1" ht="48.75" customHeight="1">
      <c r="A164" s="705" t="s">
        <v>86</v>
      </c>
      <c r="B164" s="706" t="s">
        <v>148</v>
      </c>
      <c r="C164" s="707"/>
      <c r="D164" s="708">
        <f aca="true" t="shared" si="27" ref="D164:E166">G164+J164+M164+P164</f>
        <v>0</v>
      </c>
      <c r="E164" s="708">
        <f t="shared" si="27"/>
        <v>0</v>
      </c>
      <c r="F164" s="709" t="e">
        <f t="shared" si="22"/>
        <v>#DIV/0!</v>
      </c>
      <c r="G164" s="786"/>
      <c r="H164" s="711"/>
      <c r="I164" s="709" t="e">
        <f t="shared" si="26"/>
        <v>#DIV/0!</v>
      </c>
      <c r="J164" s="710"/>
      <c r="K164" s="711"/>
      <c r="L164" s="426"/>
      <c r="M164" s="710"/>
      <c r="N164" s="711"/>
      <c r="O164" s="709"/>
      <c r="P164" s="710"/>
      <c r="Q164" s="711"/>
      <c r="R164" s="426"/>
    </row>
    <row r="165" spans="1:18" ht="58.5" customHeight="1">
      <c r="A165" s="688" t="s">
        <v>986</v>
      </c>
      <c r="B165" s="641" t="s">
        <v>987</v>
      </c>
      <c r="C165" s="689">
        <v>76700</v>
      </c>
      <c r="D165" s="643">
        <f t="shared" si="27"/>
        <v>76700</v>
      </c>
      <c r="E165" s="643">
        <f t="shared" si="27"/>
        <v>16321</v>
      </c>
      <c r="F165" s="690">
        <f>E165/D165*100</f>
        <v>21.279009126466754</v>
      </c>
      <c r="G165" s="782">
        <v>76700</v>
      </c>
      <c r="H165" s="358">
        <v>16321</v>
      </c>
      <c r="I165" s="690">
        <f>H165/G165*100</f>
        <v>21.279009126466754</v>
      </c>
      <c r="J165" s="359"/>
      <c r="K165" s="358"/>
      <c r="L165" s="416"/>
      <c r="M165" s="359"/>
      <c r="N165" s="358"/>
      <c r="O165" s="690"/>
      <c r="P165" s="359"/>
      <c r="Q165" s="358"/>
      <c r="R165" s="416"/>
    </row>
    <row r="166" spans="1:18" ht="22.5" customHeight="1">
      <c r="A166" s="693" t="s">
        <v>969</v>
      </c>
      <c r="B166" s="781" t="s">
        <v>4</v>
      </c>
      <c r="C166" s="695"/>
      <c r="D166" s="696">
        <f t="shared" si="27"/>
        <v>0</v>
      </c>
      <c r="E166" s="696">
        <f t="shared" si="27"/>
        <v>8904</v>
      </c>
      <c r="F166" s="679" t="e">
        <f t="shared" si="22"/>
        <v>#DIV/0!</v>
      </c>
      <c r="G166" s="783"/>
      <c r="H166" s="524">
        <v>8904</v>
      </c>
      <c r="I166" s="679" t="e">
        <f t="shared" si="26"/>
        <v>#DIV/0!</v>
      </c>
      <c r="J166" s="523"/>
      <c r="K166" s="524"/>
      <c r="L166" s="424"/>
      <c r="M166" s="523"/>
      <c r="N166" s="524"/>
      <c r="O166" s="679"/>
      <c r="P166" s="523"/>
      <c r="Q166" s="524"/>
      <c r="R166" s="424"/>
    </row>
    <row r="167" spans="1:18" ht="16.5" customHeight="1">
      <c r="A167" s="698" t="s">
        <v>149</v>
      </c>
      <c r="B167" s="699" t="s">
        <v>688</v>
      </c>
      <c r="C167" s="829">
        <f>SUM(C168:C169)</f>
        <v>82000</v>
      </c>
      <c r="D167" s="703">
        <f>SUM(D168:D169)</f>
        <v>82000</v>
      </c>
      <c r="E167" s="703">
        <f>SUM(E168:E169)</f>
        <v>59159</v>
      </c>
      <c r="F167" s="685">
        <f t="shared" si="22"/>
        <v>72.14512195121952</v>
      </c>
      <c r="G167" s="683">
        <f>SUM(G168:G169)</f>
        <v>82000</v>
      </c>
      <c r="H167" s="684">
        <f>SUM(H168:H169)</f>
        <v>59159</v>
      </c>
      <c r="I167" s="685">
        <f t="shared" si="26"/>
        <v>72.14512195121952</v>
      </c>
      <c r="J167" s="702"/>
      <c r="K167" s="703"/>
      <c r="L167" s="427"/>
      <c r="M167" s="702"/>
      <c r="N167" s="703"/>
      <c r="O167" s="265"/>
      <c r="P167" s="702"/>
      <c r="Q167" s="703"/>
      <c r="R167" s="427"/>
    </row>
    <row r="168" spans="1:18" s="692" customFormat="1" ht="22.5">
      <c r="A168" s="705" t="s">
        <v>984</v>
      </c>
      <c r="B168" s="785" t="s">
        <v>139</v>
      </c>
      <c r="C168" s="707">
        <v>1500</v>
      </c>
      <c r="D168" s="708">
        <f>G168+J168+M168+P168</f>
        <v>1500</v>
      </c>
      <c r="E168" s="708">
        <f>H168+K168+N168+Q168</f>
        <v>471</v>
      </c>
      <c r="F168" s="709">
        <f t="shared" si="22"/>
        <v>31.4</v>
      </c>
      <c r="G168" s="710">
        <v>1500</v>
      </c>
      <c r="H168" s="711">
        <v>471</v>
      </c>
      <c r="I168" s="709">
        <f t="shared" si="26"/>
        <v>31.4</v>
      </c>
      <c r="J168" s="710"/>
      <c r="K168" s="711"/>
      <c r="L168" s="426"/>
      <c r="M168" s="710"/>
      <c r="N168" s="711"/>
      <c r="O168" s="709"/>
      <c r="P168" s="710"/>
      <c r="Q168" s="711"/>
      <c r="R168" s="426"/>
    </row>
    <row r="169" spans="1:18" ht="59.25" customHeight="1">
      <c r="A169" s="693" t="s">
        <v>986</v>
      </c>
      <c r="B169" s="720" t="s">
        <v>987</v>
      </c>
      <c r="C169" s="695">
        <v>80500</v>
      </c>
      <c r="D169" s="696">
        <f>G169+J169+M169+P169</f>
        <v>80500</v>
      </c>
      <c r="E169" s="696">
        <f>H169+K169+N169+Q169</f>
        <v>58688</v>
      </c>
      <c r="F169" s="679">
        <f t="shared" si="22"/>
        <v>72.90434782608696</v>
      </c>
      <c r="G169" s="523">
        <v>80500</v>
      </c>
      <c r="H169" s="524">
        <v>58688</v>
      </c>
      <c r="I169" s="679">
        <f t="shared" si="26"/>
        <v>72.90434782608696</v>
      </c>
      <c r="J169" s="523"/>
      <c r="K169" s="524"/>
      <c r="L169" s="424"/>
      <c r="M169" s="523"/>
      <c r="N169" s="524"/>
      <c r="O169" s="679"/>
      <c r="P169" s="523"/>
      <c r="Q169" s="524"/>
      <c r="R169" s="424"/>
    </row>
    <row r="170" spans="1:18" ht="37.5" customHeight="1">
      <c r="A170" s="698" t="s">
        <v>150</v>
      </c>
      <c r="B170" s="699" t="s">
        <v>151</v>
      </c>
      <c r="C170" s="829">
        <f>C171</f>
        <v>0</v>
      </c>
      <c r="D170" s="703">
        <f>D171</f>
        <v>0</v>
      </c>
      <c r="E170" s="703">
        <f>E171</f>
        <v>3718</v>
      </c>
      <c r="F170" s="685" t="e">
        <f>E170/D170*100</f>
        <v>#DIV/0!</v>
      </c>
      <c r="G170" s="683">
        <f>SUM(G171:G172)</f>
        <v>0</v>
      </c>
      <c r="H170" s="684">
        <f>SUM(H171:H172)</f>
        <v>3718</v>
      </c>
      <c r="I170" s="685" t="e">
        <f>H170/G170*100</f>
        <v>#DIV/0!</v>
      </c>
      <c r="J170" s="702"/>
      <c r="K170" s="703"/>
      <c r="L170" s="427"/>
      <c r="M170" s="702"/>
      <c r="N170" s="703"/>
      <c r="O170" s="265"/>
      <c r="P170" s="702"/>
      <c r="Q170" s="703"/>
      <c r="R170" s="427"/>
    </row>
    <row r="171" spans="1:18" ht="13.5" customHeight="1">
      <c r="A171" s="688" t="s">
        <v>140</v>
      </c>
      <c r="B171" s="721" t="s">
        <v>141</v>
      </c>
      <c r="C171" s="689"/>
      <c r="D171" s="643">
        <f>G171+J171+M171+P171</f>
        <v>0</v>
      </c>
      <c r="E171" s="643">
        <f>H171+K171+N171+Q171</f>
        <v>3718</v>
      </c>
      <c r="F171" s="690" t="e">
        <f>E171/D171*100</f>
        <v>#DIV/0!</v>
      </c>
      <c r="G171" s="359"/>
      <c r="H171" s="358">
        <v>3718</v>
      </c>
      <c r="I171" s="690"/>
      <c r="J171" s="359"/>
      <c r="K171" s="358"/>
      <c r="L171" s="416"/>
      <c r="M171" s="359"/>
      <c r="N171" s="358"/>
      <c r="O171" s="690" t="e">
        <f>N171/M171*100</f>
        <v>#DIV/0!</v>
      </c>
      <c r="P171" s="359"/>
      <c r="Q171" s="358"/>
      <c r="R171" s="416"/>
    </row>
    <row r="172" spans="1:18" ht="16.5" customHeight="1">
      <c r="A172" s="698" t="s">
        <v>152</v>
      </c>
      <c r="B172" s="699" t="s">
        <v>694</v>
      </c>
      <c r="C172" s="700">
        <f>SUM(C173:C178)</f>
        <v>122600</v>
      </c>
      <c r="D172" s="664">
        <f>SUM(D173:D178)</f>
        <v>122600</v>
      </c>
      <c r="E172" s="664">
        <f>SUM(E173:E178)</f>
        <v>74901</v>
      </c>
      <c r="F172" s="665">
        <f t="shared" si="22"/>
        <v>61.09380097879282</v>
      </c>
      <c r="G172" s="702"/>
      <c r="H172" s="703"/>
      <c r="I172" s="719"/>
      <c r="J172" s="775"/>
      <c r="K172" s="776"/>
      <c r="L172" s="417"/>
      <c r="M172" s="816">
        <f>SUM(M173:M178)</f>
        <v>122600</v>
      </c>
      <c r="N172" s="814">
        <f>SUM(N173:N178)</f>
        <v>74901</v>
      </c>
      <c r="O172" s="665">
        <f aca="true" t="shared" si="28" ref="O172:O178">N172/M172*100</f>
        <v>61.09380097879282</v>
      </c>
      <c r="P172" s="816"/>
      <c r="Q172" s="814"/>
      <c r="R172" s="851"/>
    </row>
    <row r="173" spans="1:18" ht="22.5">
      <c r="A173" s="672" t="s">
        <v>984</v>
      </c>
      <c r="B173" s="826" t="s">
        <v>139</v>
      </c>
      <c r="C173" s="747">
        <v>2800</v>
      </c>
      <c r="D173" s="675">
        <f aca="true" t="shared" si="29" ref="D173:E178">G173+J173+M173+P173</f>
        <v>2800</v>
      </c>
      <c r="E173" s="675">
        <f t="shared" si="29"/>
        <v>862</v>
      </c>
      <c r="F173" s="719">
        <f t="shared" si="22"/>
        <v>30.78571428571429</v>
      </c>
      <c r="G173" s="677"/>
      <c r="H173" s="678"/>
      <c r="I173" s="679"/>
      <c r="J173" s="677"/>
      <c r="K173" s="678"/>
      <c r="L173" s="417"/>
      <c r="M173" s="677">
        <v>2800</v>
      </c>
      <c r="N173" s="678">
        <v>862</v>
      </c>
      <c r="O173" s="719">
        <f t="shared" si="28"/>
        <v>30.78571428571429</v>
      </c>
      <c r="P173" s="677"/>
      <c r="Q173" s="678"/>
      <c r="R173" s="417"/>
    </row>
    <row r="174" spans="1:18" ht="68.25" customHeight="1">
      <c r="A174" s="688" t="s">
        <v>986</v>
      </c>
      <c r="B174" s="721" t="s">
        <v>987</v>
      </c>
      <c r="C174" s="689">
        <v>111800</v>
      </c>
      <c r="D174" s="643">
        <f t="shared" si="29"/>
        <v>111800</v>
      </c>
      <c r="E174" s="643">
        <f t="shared" si="29"/>
        <v>72591</v>
      </c>
      <c r="F174" s="690">
        <f t="shared" si="22"/>
        <v>64.9293381037567</v>
      </c>
      <c r="G174" s="359"/>
      <c r="H174" s="358"/>
      <c r="I174" s="690"/>
      <c r="J174" s="359"/>
      <c r="K174" s="358"/>
      <c r="L174" s="416"/>
      <c r="M174" s="359">
        <v>111800</v>
      </c>
      <c r="N174" s="358">
        <v>72591</v>
      </c>
      <c r="O174" s="194">
        <f t="shared" si="28"/>
        <v>64.9293381037567</v>
      </c>
      <c r="P174" s="359"/>
      <c r="Q174" s="358"/>
      <c r="R174" s="749"/>
    </row>
    <row r="175" spans="1:18" ht="13.5" customHeight="1">
      <c r="A175" s="693" t="s">
        <v>140</v>
      </c>
      <c r="B175" s="781" t="s">
        <v>141</v>
      </c>
      <c r="C175" s="695">
        <v>8000</v>
      </c>
      <c r="D175" s="696">
        <f t="shared" si="29"/>
        <v>8000</v>
      </c>
      <c r="E175" s="696">
        <f t="shared" si="29"/>
        <v>1110</v>
      </c>
      <c r="F175" s="679">
        <f t="shared" si="22"/>
        <v>13.875000000000002</v>
      </c>
      <c r="G175" s="523"/>
      <c r="H175" s="524"/>
      <c r="I175" s="679"/>
      <c r="J175" s="523"/>
      <c r="K175" s="524"/>
      <c r="L175" s="424"/>
      <c r="M175" s="523">
        <v>8000</v>
      </c>
      <c r="N175" s="524">
        <v>1110</v>
      </c>
      <c r="O175" s="679">
        <f t="shared" si="28"/>
        <v>13.875000000000002</v>
      </c>
      <c r="P175" s="523"/>
      <c r="Q175" s="524"/>
      <c r="R175" s="424"/>
    </row>
    <row r="176" spans="1:19" ht="21.75" customHeight="1">
      <c r="A176" s="688" t="s">
        <v>960</v>
      </c>
      <c r="B176" s="721" t="s">
        <v>33</v>
      </c>
      <c r="C176" s="689"/>
      <c r="D176" s="643">
        <f t="shared" si="29"/>
        <v>0</v>
      </c>
      <c r="E176" s="643">
        <f t="shared" si="29"/>
        <v>18</v>
      </c>
      <c r="F176" s="690" t="e">
        <f t="shared" si="22"/>
        <v>#DIV/0!</v>
      </c>
      <c r="G176" s="359"/>
      <c r="H176" s="358"/>
      <c r="I176" s="690"/>
      <c r="J176" s="359"/>
      <c r="K176" s="358"/>
      <c r="L176" s="416"/>
      <c r="M176" s="359"/>
      <c r="N176" s="358">
        <v>18</v>
      </c>
      <c r="O176" s="690" t="e">
        <f t="shared" si="28"/>
        <v>#DIV/0!</v>
      </c>
      <c r="P176" s="359"/>
      <c r="Q176" s="358"/>
      <c r="R176" s="416"/>
      <c r="S176" s="692"/>
    </row>
    <row r="177" spans="1:18" s="692" customFormat="1" ht="18.75" customHeight="1">
      <c r="A177" s="688" t="s">
        <v>11</v>
      </c>
      <c r="B177" s="721" t="s">
        <v>394</v>
      </c>
      <c r="C177" s="689"/>
      <c r="D177" s="643">
        <f t="shared" si="29"/>
        <v>0</v>
      </c>
      <c r="E177" s="643">
        <f t="shared" si="29"/>
        <v>31</v>
      </c>
      <c r="F177" s="690" t="e">
        <f t="shared" si="22"/>
        <v>#DIV/0!</v>
      </c>
      <c r="G177" s="359"/>
      <c r="H177" s="358"/>
      <c r="I177" s="690"/>
      <c r="J177" s="359"/>
      <c r="K177" s="358"/>
      <c r="L177" s="416"/>
      <c r="M177" s="359"/>
      <c r="N177" s="358">
        <v>31</v>
      </c>
      <c r="O177" s="194" t="e">
        <f t="shared" si="28"/>
        <v>#DIV/0!</v>
      </c>
      <c r="P177" s="359"/>
      <c r="Q177" s="358"/>
      <c r="R177" s="416"/>
    </row>
    <row r="178" spans="1:18" ht="15.75" customHeight="1">
      <c r="A178" s="693" t="s">
        <v>969</v>
      </c>
      <c r="B178" s="781" t="s">
        <v>4</v>
      </c>
      <c r="C178" s="695"/>
      <c r="D178" s="696">
        <f t="shared" si="29"/>
        <v>0</v>
      </c>
      <c r="E178" s="696">
        <f t="shared" si="29"/>
        <v>289</v>
      </c>
      <c r="F178" s="679" t="e">
        <f t="shared" si="22"/>
        <v>#DIV/0!</v>
      </c>
      <c r="G178" s="523"/>
      <c r="H178" s="524"/>
      <c r="I178" s="679"/>
      <c r="J178" s="523"/>
      <c r="K178" s="524"/>
      <c r="L178" s="424"/>
      <c r="M178" s="523"/>
      <c r="N178" s="524">
        <v>289</v>
      </c>
      <c r="O178" s="194" t="e">
        <f t="shared" si="28"/>
        <v>#DIV/0!</v>
      </c>
      <c r="P178" s="523"/>
      <c r="Q178" s="524"/>
      <c r="R178" s="424"/>
    </row>
    <row r="179" spans="1:18" ht="15" customHeight="1">
      <c r="A179" s="698" t="s">
        <v>153</v>
      </c>
      <c r="B179" s="699" t="s">
        <v>697</v>
      </c>
      <c r="C179" s="700">
        <f>SUM(C180:C184)</f>
        <v>210200</v>
      </c>
      <c r="D179" s="664">
        <f>SUM(D180:D184)</f>
        <v>210200</v>
      </c>
      <c r="E179" s="664">
        <f>SUM(E180:E184)</f>
        <v>101036</v>
      </c>
      <c r="F179" s="685">
        <f t="shared" si="22"/>
        <v>48.06660323501427</v>
      </c>
      <c r="G179" s="702"/>
      <c r="H179" s="703"/>
      <c r="I179" s="719"/>
      <c r="J179" s="816"/>
      <c r="K179" s="814"/>
      <c r="L179" s="417"/>
      <c r="M179" s="816">
        <f>SUM(M180:M184)</f>
        <v>210200</v>
      </c>
      <c r="N179" s="814">
        <f>SUM(N180:N184)</f>
        <v>101036</v>
      </c>
      <c r="O179" s="665">
        <f>N179/M179*100</f>
        <v>48.06660323501427</v>
      </c>
      <c r="P179" s="816"/>
      <c r="Q179" s="814"/>
      <c r="R179" s="851"/>
    </row>
    <row r="180" spans="1:18" s="692" customFormat="1" ht="22.5" customHeight="1">
      <c r="A180" s="705" t="s">
        <v>984</v>
      </c>
      <c r="B180" s="785" t="s">
        <v>154</v>
      </c>
      <c r="C180" s="707">
        <v>2600</v>
      </c>
      <c r="D180" s="708">
        <f aca="true" t="shared" si="30" ref="D180:E184">G180+J180+M180+P180</f>
        <v>2600</v>
      </c>
      <c r="E180" s="708">
        <f t="shared" si="30"/>
        <v>1065</v>
      </c>
      <c r="F180" s="709">
        <f t="shared" si="22"/>
        <v>40.96153846153846</v>
      </c>
      <c r="G180" s="786"/>
      <c r="H180" s="711"/>
      <c r="I180" s="709"/>
      <c r="J180" s="710"/>
      <c r="K180" s="711"/>
      <c r="L180" s="426"/>
      <c r="M180" s="710">
        <v>2600</v>
      </c>
      <c r="N180" s="711">
        <v>1065</v>
      </c>
      <c r="O180" s="709">
        <f>N180/M180*100</f>
        <v>40.96153846153846</v>
      </c>
      <c r="P180" s="710"/>
      <c r="Q180" s="711"/>
      <c r="R180" s="426"/>
    </row>
    <row r="181" spans="1:18" s="692" customFormat="1" ht="56.25" customHeight="1">
      <c r="A181" s="688" t="s">
        <v>986</v>
      </c>
      <c r="B181" s="641" t="s">
        <v>987</v>
      </c>
      <c r="C181" s="689">
        <v>204300</v>
      </c>
      <c r="D181" s="643">
        <f t="shared" si="30"/>
        <v>204300</v>
      </c>
      <c r="E181" s="643">
        <f t="shared" si="30"/>
        <v>98515</v>
      </c>
      <c r="F181" s="690">
        <f t="shared" si="22"/>
        <v>48.22075379344102</v>
      </c>
      <c r="G181" s="782"/>
      <c r="H181" s="358"/>
      <c r="I181" s="690"/>
      <c r="J181" s="359"/>
      <c r="K181" s="358"/>
      <c r="L181" s="416"/>
      <c r="M181" s="359">
        <v>204300</v>
      </c>
      <c r="N181" s="358">
        <v>98515</v>
      </c>
      <c r="O181" s="690">
        <f>N181/M181*100</f>
        <v>48.22075379344102</v>
      </c>
      <c r="P181" s="359"/>
      <c r="Q181" s="358"/>
      <c r="R181" s="416"/>
    </row>
    <row r="182" spans="1:18" ht="15.75" customHeight="1">
      <c r="A182" s="688" t="s">
        <v>140</v>
      </c>
      <c r="B182" s="721" t="s">
        <v>141</v>
      </c>
      <c r="C182" s="689">
        <v>3200</v>
      </c>
      <c r="D182" s="643">
        <f>G182+J182+M182+P182</f>
        <v>3200</v>
      </c>
      <c r="E182" s="643">
        <f>H182+K182+N182+Q182</f>
        <v>1111</v>
      </c>
      <c r="F182" s="690">
        <f>E182/D182*100</f>
        <v>34.71875</v>
      </c>
      <c r="G182" s="782"/>
      <c r="H182" s="358"/>
      <c r="I182" s="690"/>
      <c r="J182" s="359"/>
      <c r="K182" s="358"/>
      <c r="L182" s="416"/>
      <c r="M182" s="359">
        <v>3200</v>
      </c>
      <c r="N182" s="358">
        <v>1111</v>
      </c>
      <c r="O182" s="690">
        <f>N182/M182*100</f>
        <v>34.71875</v>
      </c>
      <c r="P182" s="359"/>
      <c r="Q182" s="358"/>
      <c r="R182" s="416"/>
    </row>
    <row r="183" spans="1:18" ht="15.75" customHeight="1">
      <c r="A183" s="688" t="s">
        <v>11</v>
      </c>
      <c r="B183" s="721" t="s">
        <v>394</v>
      </c>
      <c r="C183" s="689"/>
      <c r="D183" s="643">
        <f t="shared" si="30"/>
        <v>0</v>
      </c>
      <c r="E183" s="643">
        <f t="shared" si="30"/>
        <v>0</v>
      </c>
      <c r="F183" s="690"/>
      <c r="G183" s="782"/>
      <c r="H183" s="358"/>
      <c r="I183" s="690"/>
      <c r="J183" s="359"/>
      <c r="K183" s="358"/>
      <c r="L183" s="416"/>
      <c r="M183" s="359"/>
      <c r="N183" s="358"/>
      <c r="O183" s="690"/>
      <c r="P183" s="359"/>
      <c r="Q183" s="358"/>
      <c r="R183" s="416"/>
    </row>
    <row r="184" spans="1:18" ht="17.25" customHeight="1">
      <c r="A184" s="693" t="s">
        <v>969</v>
      </c>
      <c r="B184" s="781" t="s">
        <v>4</v>
      </c>
      <c r="C184" s="695">
        <v>100</v>
      </c>
      <c r="D184" s="696">
        <f t="shared" si="30"/>
        <v>100</v>
      </c>
      <c r="E184" s="696">
        <f t="shared" si="30"/>
        <v>345</v>
      </c>
      <c r="F184" s="679">
        <f t="shared" si="22"/>
        <v>345</v>
      </c>
      <c r="G184" s="783"/>
      <c r="H184" s="524"/>
      <c r="I184" s="679"/>
      <c r="J184" s="523"/>
      <c r="K184" s="524"/>
      <c r="L184" s="424"/>
      <c r="M184" s="523">
        <v>100</v>
      </c>
      <c r="N184" s="524">
        <v>345</v>
      </c>
      <c r="O184" s="679">
        <f>N184/M184*100</f>
        <v>345</v>
      </c>
      <c r="P184" s="523"/>
      <c r="Q184" s="524"/>
      <c r="R184" s="424"/>
    </row>
    <row r="185" spans="1:18" ht="15.75" customHeight="1">
      <c r="A185" s="698" t="s">
        <v>155</v>
      </c>
      <c r="B185" s="699" t="s">
        <v>156</v>
      </c>
      <c r="C185" s="700">
        <f>C186</f>
        <v>0</v>
      </c>
      <c r="D185" s="664">
        <f>D186</f>
        <v>0</v>
      </c>
      <c r="E185" s="663"/>
      <c r="F185" s="685"/>
      <c r="G185" s="686"/>
      <c r="H185" s="703"/>
      <c r="I185" s="719"/>
      <c r="J185" s="702"/>
      <c r="K185" s="703"/>
      <c r="L185" s="427"/>
      <c r="M185" s="702">
        <f>M186</f>
        <v>0</v>
      </c>
      <c r="N185" s="703"/>
      <c r="O185" s="665"/>
      <c r="P185" s="702"/>
      <c r="Q185" s="703"/>
      <c r="R185" s="427"/>
    </row>
    <row r="186" spans="1:18" ht="21.75" customHeight="1">
      <c r="A186" s="672" t="s">
        <v>969</v>
      </c>
      <c r="B186" s="826" t="s">
        <v>4</v>
      </c>
      <c r="C186" s="747"/>
      <c r="D186" s="675">
        <f>G186+J186+M186+P186</f>
        <v>0</v>
      </c>
      <c r="E186" s="675"/>
      <c r="F186" s="719"/>
      <c r="G186" s="852"/>
      <c r="H186" s="678"/>
      <c r="I186" s="719"/>
      <c r="J186" s="677"/>
      <c r="K186" s="678"/>
      <c r="L186" s="417"/>
      <c r="M186" s="677"/>
      <c r="N186" s="678"/>
      <c r="O186" s="719"/>
      <c r="P186" s="677"/>
      <c r="Q186" s="678"/>
      <c r="R186" s="417"/>
    </row>
    <row r="187" spans="1:18" ht="24.75" customHeight="1">
      <c r="A187" s="698" t="s">
        <v>157</v>
      </c>
      <c r="B187" s="699" t="s">
        <v>158</v>
      </c>
      <c r="C187" s="700">
        <f>SUM(C188:C192)</f>
        <v>42500</v>
      </c>
      <c r="D187" s="664">
        <f>SUM(D188:D192)</f>
        <v>42500</v>
      </c>
      <c r="E187" s="664">
        <f>SUM(E188:E192)</f>
        <v>15752</v>
      </c>
      <c r="F187" s="774">
        <f t="shared" si="22"/>
        <v>37.063529411764705</v>
      </c>
      <c r="G187" s="702"/>
      <c r="H187" s="703"/>
      <c r="I187" s="719"/>
      <c r="J187" s="816"/>
      <c r="K187" s="814"/>
      <c r="L187" s="417"/>
      <c r="M187" s="816">
        <f>SUM(M188:M192)</f>
        <v>42500</v>
      </c>
      <c r="N187" s="814">
        <f>SUM(N188:N192)</f>
        <v>15752</v>
      </c>
      <c r="O187" s="665">
        <f aca="true" t="shared" si="31" ref="O187:O192">N187/M187*100</f>
        <v>37.063529411764705</v>
      </c>
      <c r="P187" s="816"/>
      <c r="Q187" s="814"/>
      <c r="R187" s="851"/>
    </row>
    <row r="188" spans="1:18" s="692" customFormat="1" ht="22.5">
      <c r="A188" s="705" t="s">
        <v>984</v>
      </c>
      <c r="B188" s="785" t="s">
        <v>139</v>
      </c>
      <c r="C188" s="707">
        <v>1100</v>
      </c>
      <c r="D188" s="708">
        <f aca="true" t="shared" si="32" ref="D188:E192">G188+J188+M188+P188</f>
        <v>1100</v>
      </c>
      <c r="E188" s="708">
        <f t="shared" si="32"/>
        <v>87</v>
      </c>
      <c r="F188" s="709">
        <f t="shared" si="22"/>
        <v>7.909090909090908</v>
      </c>
      <c r="G188" s="786"/>
      <c r="H188" s="711"/>
      <c r="I188" s="709"/>
      <c r="J188" s="710"/>
      <c r="K188" s="711"/>
      <c r="L188" s="426"/>
      <c r="M188" s="710">
        <v>1100</v>
      </c>
      <c r="N188" s="711">
        <v>87</v>
      </c>
      <c r="O188" s="709">
        <f t="shared" si="31"/>
        <v>7.909090909090908</v>
      </c>
      <c r="P188" s="710"/>
      <c r="Q188" s="711"/>
      <c r="R188" s="426"/>
    </row>
    <row r="189" spans="1:18" s="692" customFormat="1" ht="54.75" customHeight="1">
      <c r="A189" s="688" t="s">
        <v>986</v>
      </c>
      <c r="B189" s="641" t="s">
        <v>987</v>
      </c>
      <c r="C189" s="689">
        <v>40400</v>
      </c>
      <c r="D189" s="643">
        <f>G189+J189+M189+P189</f>
        <v>40400</v>
      </c>
      <c r="E189" s="643">
        <f>H189+K189+N189+Q189</f>
        <v>14657</v>
      </c>
      <c r="F189" s="690">
        <f>E189/D189*100</f>
        <v>36.27970297029703</v>
      </c>
      <c r="G189" s="782"/>
      <c r="H189" s="358"/>
      <c r="I189" s="690"/>
      <c r="J189" s="359"/>
      <c r="K189" s="358"/>
      <c r="L189" s="416"/>
      <c r="M189" s="359">
        <v>40400</v>
      </c>
      <c r="N189" s="358">
        <v>14657</v>
      </c>
      <c r="O189" s="690">
        <f t="shared" si="31"/>
        <v>36.27970297029703</v>
      </c>
      <c r="P189" s="359"/>
      <c r="Q189" s="358"/>
      <c r="R189" s="416"/>
    </row>
    <row r="190" spans="1:18" s="692" customFormat="1" ht="28.5" customHeight="1">
      <c r="A190" s="688" t="s">
        <v>960</v>
      </c>
      <c r="B190" s="721" t="s">
        <v>33</v>
      </c>
      <c r="C190" s="689"/>
      <c r="D190" s="643">
        <f t="shared" si="32"/>
        <v>0</v>
      </c>
      <c r="E190" s="643">
        <f t="shared" si="32"/>
        <v>920</v>
      </c>
      <c r="F190" s="690" t="e">
        <f t="shared" si="22"/>
        <v>#DIV/0!</v>
      </c>
      <c r="G190" s="782"/>
      <c r="H190" s="358"/>
      <c r="I190" s="690"/>
      <c r="J190" s="359"/>
      <c r="K190" s="358"/>
      <c r="L190" s="416"/>
      <c r="M190" s="359"/>
      <c r="N190" s="358">
        <v>920</v>
      </c>
      <c r="O190" s="690" t="e">
        <f t="shared" si="31"/>
        <v>#DIV/0!</v>
      </c>
      <c r="P190" s="359"/>
      <c r="Q190" s="358"/>
      <c r="R190" s="416"/>
    </row>
    <row r="191" spans="1:18" s="692" customFormat="1" ht="15" customHeight="1">
      <c r="A191" s="688" t="s">
        <v>11</v>
      </c>
      <c r="B191" s="721" t="s">
        <v>394</v>
      </c>
      <c r="C191" s="689"/>
      <c r="D191" s="643">
        <f t="shared" si="32"/>
        <v>0</v>
      </c>
      <c r="E191" s="643">
        <f t="shared" si="32"/>
        <v>15</v>
      </c>
      <c r="F191" s="690" t="e">
        <f t="shared" si="22"/>
        <v>#DIV/0!</v>
      </c>
      <c r="G191" s="782"/>
      <c r="H191" s="358"/>
      <c r="I191" s="690"/>
      <c r="J191" s="359"/>
      <c r="K191" s="358"/>
      <c r="L191" s="416"/>
      <c r="M191" s="359"/>
      <c r="N191" s="358">
        <v>15</v>
      </c>
      <c r="O191" s="690" t="e">
        <f t="shared" si="31"/>
        <v>#DIV/0!</v>
      </c>
      <c r="P191" s="359"/>
      <c r="Q191" s="358"/>
      <c r="R191" s="416"/>
    </row>
    <row r="192" spans="1:18" ht="14.25" customHeight="1">
      <c r="A192" s="693" t="s">
        <v>969</v>
      </c>
      <c r="B192" s="781" t="s">
        <v>4</v>
      </c>
      <c r="C192" s="695">
        <v>1000</v>
      </c>
      <c r="D192" s="696">
        <f t="shared" si="32"/>
        <v>1000</v>
      </c>
      <c r="E192" s="696">
        <f t="shared" si="32"/>
        <v>73</v>
      </c>
      <c r="F192" s="679">
        <f t="shared" si="22"/>
        <v>7.3</v>
      </c>
      <c r="G192" s="783"/>
      <c r="H192" s="524"/>
      <c r="I192" s="679"/>
      <c r="J192" s="523"/>
      <c r="K192" s="524"/>
      <c r="L192" s="424"/>
      <c r="M192" s="523">
        <v>1000</v>
      </c>
      <c r="N192" s="524">
        <v>73</v>
      </c>
      <c r="O192" s="679">
        <f t="shared" si="31"/>
        <v>7.3</v>
      </c>
      <c r="P192" s="523"/>
      <c r="Q192" s="524"/>
      <c r="R192" s="424"/>
    </row>
    <row r="193" spans="1:18" ht="24.75" customHeight="1">
      <c r="A193" s="698" t="s">
        <v>159</v>
      </c>
      <c r="B193" s="699" t="s">
        <v>378</v>
      </c>
      <c r="C193" s="686">
        <f>SUM(C194:C200)</f>
        <v>174100</v>
      </c>
      <c r="D193" s="842">
        <f>SUM(D194:D200)</f>
        <v>218935</v>
      </c>
      <c r="E193" s="686">
        <f>SUM(E194:E200)</f>
        <v>153625</v>
      </c>
      <c r="F193" s="774">
        <f t="shared" si="22"/>
        <v>70.16922830977231</v>
      </c>
      <c r="G193" s="700">
        <f>SUM(G194:G200)</f>
        <v>218935</v>
      </c>
      <c r="H193" s="700">
        <f>SUM(H194:H200)</f>
        <v>153625</v>
      </c>
      <c r="I193" s="754">
        <f>H193/G193*100</f>
        <v>70.16922830977231</v>
      </c>
      <c r="J193" s="702"/>
      <c r="K193" s="703"/>
      <c r="L193" s="417"/>
      <c r="M193" s="702">
        <f>SUM(M194:M200)</f>
        <v>0</v>
      </c>
      <c r="N193" s="703">
        <f>SUM(N194:N200)</f>
        <v>0</v>
      </c>
      <c r="O193" s="685"/>
      <c r="P193" s="702"/>
      <c r="Q193" s="703"/>
      <c r="R193" s="417"/>
    </row>
    <row r="194" spans="1:18" ht="20.25" customHeight="1">
      <c r="A194" s="705" t="s">
        <v>140</v>
      </c>
      <c r="B194" s="785" t="s">
        <v>160</v>
      </c>
      <c r="C194" s="707"/>
      <c r="D194" s="708">
        <f aca="true" t="shared" si="33" ref="D194:E200">G194+J194+M194+P194</f>
        <v>0</v>
      </c>
      <c r="E194" s="708">
        <f t="shared" si="33"/>
        <v>0</v>
      </c>
      <c r="F194" s="709" t="e">
        <f t="shared" si="22"/>
        <v>#DIV/0!</v>
      </c>
      <c r="G194" s="710"/>
      <c r="H194" s="711"/>
      <c r="I194" s="709" t="e">
        <f>H194/G194*100</f>
        <v>#DIV/0!</v>
      </c>
      <c r="J194" s="710"/>
      <c r="K194" s="711"/>
      <c r="L194" s="426"/>
      <c r="M194" s="710"/>
      <c r="N194" s="711"/>
      <c r="O194" s="709"/>
      <c r="P194" s="710"/>
      <c r="Q194" s="711"/>
      <c r="R194" s="426"/>
    </row>
    <row r="195" spans="1:18" s="692" customFormat="1" ht="80.25" customHeight="1">
      <c r="A195" s="688" t="s">
        <v>18</v>
      </c>
      <c r="B195" s="641" t="s">
        <v>161</v>
      </c>
      <c r="C195" s="689"/>
      <c r="D195" s="643"/>
      <c r="E195" s="643"/>
      <c r="F195" s="690"/>
      <c r="G195" s="359"/>
      <c r="H195" s="358"/>
      <c r="I195" s="690" t="e">
        <f>H195/G195*100</f>
        <v>#DIV/0!</v>
      </c>
      <c r="J195" s="359"/>
      <c r="K195" s="358"/>
      <c r="L195" s="416"/>
      <c r="M195" s="359"/>
      <c r="N195" s="358"/>
      <c r="O195" s="690"/>
      <c r="P195" s="359"/>
      <c r="Q195" s="358"/>
      <c r="R195" s="416"/>
    </row>
    <row r="196" spans="1:18" s="692" customFormat="1" ht="63.75" customHeight="1">
      <c r="A196" s="688" t="s">
        <v>37</v>
      </c>
      <c r="B196" s="750" t="s">
        <v>38</v>
      </c>
      <c r="C196" s="689"/>
      <c r="D196" s="643">
        <f t="shared" si="33"/>
        <v>0</v>
      </c>
      <c r="E196" s="643">
        <f t="shared" si="33"/>
        <v>0</v>
      </c>
      <c r="F196" s="690" t="e">
        <f t="shared" si="22"/>
        <v>#DIV/0!</v>
      </c>
      <c r="G196" s="359"/>
      <c r="H196" s="358"/>
      <c r="I196" s="690"/>
      <c r="J196" s="359"/>
      <c r="K196" s="358"/>
      <c r="L196" s="416"/>
      <c r="M196" s="359"/>
      <c r="N196" s="358"/>
      <c r="O196" s="690" t="e">
        <f>N196/M196*100</f>
        <v>#DIV/0!</v>
      </c>
      <c r="P196" s="359"/>
      <c r="Q196" s="358"/>
      <c r="R196" s="749"/>
    </row>
    <row r="197" spans="1:18" s="853" customFormat="1" ht="49.5" customHeight="1">
      <c r="A197" s="688" t="s">
        <v>162</v>
      </c>
      <c r="B197" s="850" t="s">
        <v>163</v>
      </c>
      <c r="C197" s="689"/>
      <c r="D197" s="643">
        <f t="shared" si="33"/>
        <v>0</v>
      </c>
      <c r="E197" s="643">
        <f t="shared" si="33"/>
        <v>0</v>
      </c>
      <c r="F197" s="676" t="e">
        <f>E197/D197*100</f>
        <v>#DIV/0!</v>
      </c>
      <c r="G197" s="359"/>
      <c r="H197" s="358"/>
      <c r="I197" s="690"/>
      <c r="J197" s="359"/>
      <c r="K197" s="358"/>
      <c r="L197" s="416"/>
      <c r="M197" s="359"/>
      <c r="N197" s="358"/>
      <c r="O197" s="690" t="e">
        <f>N197/M197*100</f>
        <v>#DIV/0!</v>
      </c>
      <c r="P197" s="359"/>
      <c r="Q197" s="358"/>
      <c r="R197" s="416"/>
    </row>
    <row r="198" spans="1:18" ht="48" customHeight="1">
      <c r="A198" s="688" t="s">
        <v>142</v>
      </c>
      <c r="B198" s="721" t="s">
        <v>164</v>
      </c>
      <c r="C198" s="689">
        <v>174100</v>
      </c>
      <c r="D198" s="643">
        <f t="shared" si="33"/>
        <v>174000</v>
      </c>
      <c r="E198" s="643">
        <f t="shared" si="33"/>
        <v>104400</v>
      </c>
      <c r="F198" s="690">
        <f t="shared" si="22"/>
        <v>60</v>
      </c>
      <c r="G198" s="359">
        <v>174000</v>
      </c>
      <c r="H198" s="358">
        <v>104400</v>
      </c>
      <c r="I198" s="690">
        <f>H198/G198*100</f>
        <v>60</v>
      </c>
      <c r="J198" s="359"/>
      <c r="K198" s="358"/>
      <c r="L198" s="416"/>
      <c r="M198" s="359"/>
      <c r="N198" s="358"/>
      <c r="O198" s="690"/>
      <c r="P198" s="359"/>
      <c r="Q198" s="358"/>
      <c r="R198" s="416"/>
    </row>
    <row r="199" spans="1:18" s="692" customFormat="1" ht="45" customHeight="1">
      <c r="A199" s="688" t="s">
        <v>165</v>
      </c>
      <c r="B199" s="641" t="s">
        <v>166</v>
      </c>
      <c r="C199" s="689"/>
      <c r="D199" s="643"/>
      <c r="E199" s="643">
        <f t="shared" si="33"/>
        <v>0</v>
      </c>
      <c r="F199" s="690"/>
      <c r="G199" s="359"/>
      <c r="H199" s="358"/>
      <c r="I199" s="690" t="e">
        <f>H199/G199*100</f>
        <v>#DIV/0!</v>
      </c>
      <c r="J199" s="359"/>
      <c r="K199" s="358"/>
      <c r="L199" s="416"/>
      <c r="M199" s="359"/>
      <c r="N199" s="358"/>
      <c r="O199" s="690"/>
      <c r="P199" s="359"/>
      <c r="Q199" s="358"/>
      <c r="R199" s="416"/>
    </row>
    <row r="200" spans="1:18" s="692" customFormat="1" ht="45" customHeight="1" thickBot="1">
      <c r="A200" s="688" t="s">
        <v>41</v>
      </c>
      <c r="B200" s="641" t="s">
        <v>166</v>
      </c>
      <c r="C200" s="689"/>
      <c r="D200" s="643">
        <f>G200+J200+M200+P200</f>
        <v>44935</v>
      </c>
      <c r="E200" s="643">
        <f t="shared" si="33"/>
        <v>49225</v>
      </c>
      <c r="F200" s="690">
        <f aca="true" t="shared" si="34" ref="F200:F263">E200/D200*100</f>
        <v>109.54712362301102</v>
      </c>
      <c r="G200" s="359">
        <v>44935</v>
      </c>
      <c r="H200" s="358">
        <v>49225</v>
      </c>
      <c r="I200" s="690">
        <f>H200/G200*100</f>
        <v>109.54712362301102</v>
      </c>
      <c r="J200" s="359"/>
      <c r="K200" s="358"/>
      <c r="L200" s="416"/>
      <c r="M200" s="359"/>
      <c r="N200" s="358"/>
      <c r="O200" s="690" t="e">
        <f>N200/M200*100</f>
        <v>#DIV/0!</v>
      </c>
      <c r="P200" s="359"/>
      <c r="Q200" s="358"/>
      <c r="R200" s="416"/>
    </row>
    <row r="201" spans="1:18" ht="21" customHeight="1" thickBot="1" thickTop="1">
      <c r="A201" s="652" t="s">
        <v>167</v>
      </c>
      <c r="B201" s="854" t="s">
        <v>168</v>
      </c>
      <c r="C201" s="819">
        <f>C202</f>
        <v>0</v>
      </c>
      <c r="D201" s="619">
        <f>G201+J201+M201+P201</f>
        <v>0</v>
      </c>
      <c r="E201" s="619">
        <f>H201+K201+N201+Q201</f>
        <v>0</v>
      </c>
      <c r="F201" s="657" t="e">
        <f t="shared" si="34"/>
        <v>#DIV/0!</v>
      </c>
      <c r="G201" s="654">
        <f>G202</f>
        <v>0</v>
      </c>
      <c r="H201" s="655">
        <f>H202</f>
        <v>0</v>
      </c>
      <c r="I201" s="657" t="e">
        <f aca="true" t="shared" si="35" ref="I201:I207">H201/G201*100</f>
        <v>#DIV/0!</v>
      </c>
      <c r="J201" s="658"/>
      <c r="K201" s="655"/>
      <c r="L201" s="659"/>
      <c r="M201" s="658"/>
      <c r="N201" s="655"/>
      <c r="O201" s="377"/>
      <c r="P201" s="658"/>
      <c r="Q201" s="655"/>
      <c r="R201" s="659"/>
    </row>
    <row r="202" spans="1:18" s="857" customFormat="1" ht="24.75" thickTop="1">
      <c r="A202" s="680" t="s">
        <v>169</v>
      </c>
      <c r="B202" s="855" t="s">
        <v>170</v>
      </c>
      <c r="C202" s="682">
        <f>SUM(C203:C204)</f>
        <v>0</v>
      </c>
      <c r="D202" s="663">
        <f>SUM(D203:D204)</f>
        <v>0</v>
      </c>
      <c r="E202" s="663">
        <f>SUM(E203:E204)</f>
        <v>0</v>
      </c>
      <c r="F202" s="685" t="e">
        <f t="shared" si="34"/>
        <v>#DIV/0!</v>
      </c>
      <c r="G202" s="744">
        <f>SUM(G203:G204)</f>
        <v>0</v>
      </c>
      <c r="H202" s="684">
        <f>SUM(H203:H204)</f>
        <v>0</v>
      </c>
      <c r="I202" s="685" t="e">
        <f t="shared" si="35"/>
        <v>#DIV/0!</v>
      </c>
      <c r="J202" s="683"/>
      <c r="K202" s="684"/>
      <c r="L202" s="687"/>
      <c r="M202" s="683"/>
      <c r="N202" s="684"/>
      <c r="O202" s="856"/>
      <c r="P202" s="683"/>
      <c r="Q202" s="684"/>
      <c r="R202" s="687"/>
    </row>
    <row r="203" spans="1:18" ht="37.5" customHeight="1">
      <c r="A203" s="672" t="s">
        <v>171</v>
      </c>
      <c r="B203" s="756" t="s">
        <v>172</v>
      </c>
      <c r="C203" s="747"/>
      <c r="D203" s="675">
        <f aca="true" t="shared" si="36" ref="D203:E207">G203+J203+M203+P203</f>
        <v>0</v>
      </c>
      <c r="E203" s="675">
        <f t="shared" si="36"/>
        <v>0</v>
      </c>
      <c r="F203" s="719" t="e">
        <f t="shared" si="34"/>
        <v>#DIV/0!</v>
      </c>
      <c r="G203" s="677"/>
      <c r="H203" s="678"/>
      <c r="I203" s="719" t="e">
        <f t="shared" si="35"/>
        <v>#DIV/0!</v>
      </c>
      <c r="J203" s="677"/>
      <c r="K203" s="678"/>
      <c r="L203" s="417"/>
      <c r="M203" s="677"/>
      <c r="N203" s="678"/>
      <c r="O203" s="719"/>
      <c r="P203" s="677"/>
      <c r="Q203" s="678"/>
      <c r="R203" s="417"/>
    </row>
    <row r="204" spans="1:18" ht="35.25" customHeight="1" thickBot="1">
      <c r="A204" s="688" t="s">
        <v>173</v>
      </c>
      <c r="B204" s="750" t="s">
        <v>172</v>
      </c>
      <c r="C204" s="689"/>
      <c r="D204" s="643">
        <f t="shared" si="36"/>
        <v>0</v>
      </c>
      <c r="E204" s="643">
        <f t="shared" si="36"/>
        <v>0</v>
      </c>
      <c r="F204" s="690" t="e">
        <f t="shared" si="34"/>
        <v>#DIV/0!</v>
      </c>
      <c r="G204" s="359"/>
      <c r="H204" s="358"/>
      <c r="I204" s="690" t="e">
        <f t="shared" si="35"/>
        <v>#DIV/0!</v>
      </c>
      <c r="J204" s="359"/>
      <c r="K204" s="358"/>
      <c r="L204" s="416"/>
      <c r="M204" s="359"/>
      <c r="N204" s="358"/>
      <c r="O204" s="194"/>
      <c r="P204" s="359"/>
      <c r="Q204" s="358"/>
      <c r="R204" s="416"/>
    </row>
    <row r="205" spans="1:18" ht="18.75" customHeight="1" thickBot="1" thickTop="1">
      <c r="A205" s="652" t="s">
        <v>174</v>
      </c>
      <c r="B205" s="742" t="s">
        <v>735</v>
      </c>
      <c r="C205" s="819">
        <f>SUM(C208)</f>
        <v>8000</v>
      </c>
      <c r="D205" s="619">
        <f>G205+J205+M205+P205</f>
        <v>8000</v>
      </c>
      <c r="E205" s="619">
        <f t="shared" si="36"/>
        <v>3835</v>
      </c>
      <c r="F205" s="657">
        <f t="shared" si="34"/>
        <v>47.9375</v>
      </c>
      <c r="G205" s="619">
        <f>G206+G208+G210</f>
        <v>0</v>
      </c>
      <c r="H205" s="619">
        <f>H206+H208+H210</f>
        <v>1837</v>
      </c>
      <c r="I205" s="824" t="e">
        <f t="shared" si="35"/>
        <v>#DIV/0!</v>
      </c>
      <c r="J205" s="658"/>
      <c r="K205" s="655"/>
      <c r="L205" s="659"/>
      <c r="M205" s="658"/>
      <c r="N205" s="655"/>
      <c r="O205" s="377"/>
      <c r="P205" s="780">
        <f>P208</f>
        <v>8000</v>
      </c>
      <c r="Q205" s="619">
        <f>Q208</f>
        <v>1998</v>
      </c>
      <c r="R205" s="743">
        <f>Q205/P205*100</f>
        <v>24.975</v>
      </c>
    </row>
    <row r="206" spans="1:18" ht="28.5" customHeight="1" thickTop="1">
      <c r="A206" s="833" t="s">
        <v>175</v>
      </c>
      <c r="B206" s="834" t="s">
        <v>744</v>
      </c>
      <c r="C206" s="858"/>
      <c r="D206" s="836">
        <f t="shared" si="36"/>
        <v>0</v>
      </c>
      <c r="E206" s="836">
        <f t="shared" si="36"/>
        <v>0</v>
      </c>
      <c r="F206" s="665" t="e">
        <f t="shared" si="34"/>
        <v>#DIV/0!</v>
      </c>
      <c r="G206" s="769">
        <f>G207</f>
        <v>0</v>
      </c>
      <c r="H206" s="836">
        <f>H207</f>
        <v>0</v>
      </c>
      <c r="I206" s="665" t="e">
        <f t="shared" si="35"/>
        <v>#DIV/0!</v>
      </c>
      <c r="J206" s="835"/>
      <c r="K206" s="533"/>
      <c r="L206" s="837"/>
      <c r="M206" s="835"/>
      <c r="N206" s="533"/>
      <c r="O206" s="380"/>
      <c r="P206" s="769"/>
      <c r="Q206" s="836"/>
      <c r="R206" s="839"/>
    </row>
    <row r="207" spans="1:18" s="853" customFormat="1" ht="23.25" customHeight="1">
      <c r="A207" s="672" t="s">
        <v>969</v>
      </c>
      <c r="B207" s="781" t="s">
        <v>176</v>
      </c>
      <c r="C207" s="747"/>
      <c r="D207" s="859">
        <f t="shared" si="36"/>
        <v>0</v>
      </c>
      <c r="E207" s="859">
        <f t="shared" si="36"/>
        <v>0</v>
      </c>
      <c r="F207" s="719" t="e">
        <f>E207/D207*100</f>
        <v>#DIV/0!</v>
      </c>
      <c r="G207" s="852"/>
      <c r="H207" s="675"/>
      <c r="I207" s="690" t="e">
        <f t="shared" si="35"/>
        <v>#DIV/0!</v>
      </c>
      <c r="J207" s="677"/>
      <c r="K207" s="678"/>
      <c r="L207" s="417"/>
      <c r="M207" s="677"/>
      <c r="N207" s="678"/>
      <c r="O207" s="190"/>
      <c r="P207" s="852"/>
      <c r="Q207" s="675"/>
      <c r="R207" s="748"/>
    </row>
    <row r="208" spans="1:18" ht="46.5" customHeight="1">
      <c r="A208" s="698" t="s">
        <v>177</v>
      </c>
      <c r="B208" s="828" t="s">
        <v>178</v>
      </c>
      <c r="C208" s="700">
        <f>SUM(C209)</f>
        <v>8000</v>
      </c>
      <c r="D208" s="664">
        <f>SUM(D209)</f>
        <v>8000</v>
      </c>
      <c r="E208" s="664">
        <f>H208+K208+N208+Q208</f>
        <v>1998</v>
      </c>
      <c r="F208" s="665">
        <f t="shared" si="34"/>
        <v>24.975</v>
      </c>
      <c r="G208" s="702"/>
      <c r="H208" s="703"/>
      <c r="I208" s="754"/>
      <c r="J208" s="702"/>
      <c r="K208" s="703"/>
      <c r="L208" s="427"/>
      <c r="M208" s="702"/>
      <c r="N208" s="703"/>
      <c r="O208" s="265"/>
      <c r="P208" s="702">
        <f>P209</f>
        <v>8000</v>
      </c>
      <c r="Q208" s="703">
        <f>Q209</f>
        <v>1998</v>
      </c>
      <c r="R208" s="704">
        <f>Q208/P208*100</f>
        <v>24.975</v>
      </c>
    </row>
    <row r="209" spans="1:18" ht="67.5" customHeight="1">
      <c r="A209" s="672" t="s">
        <v>993</v>
      </c>
      <c r="B209" s="756" t="s">
        <v>0</v>
      </c>
      <c r="C209" s="747">
        <v>8000</v>
      </c>
      <c r="D209" s="675">
        <f aca="true" t="shared" si="37" ref="D209:D216">G209+J209+M209+P209</f>
        <v>8000</v>
      </c>
      <c r="E209" s="859">
        <f>H209+K209+N209+Q209</f>
        <v>1998</v>
      </c>
      <c r="F209" s="719">
        <f t="shared" si="34"/>
        <v>24.975</v>
      </c>
      <c r="G209" s="677"/>
      <c r="H209" s="678"/>
      <c r="I209" s="754"/>
      <c r="J209" s="677"/>
      <c r="K209" s="678"/>
      <c r="L209" s="417"/>
      <c r="M209" s="677"/>
      <c r="N209" s="678"/>
      <c r="O209" s="719"/>
      <c r="P209" s="677">
        <v>8000</v>
      </c>
      <c r="Q209" s="678">
        <v>1998</v>
      </c>
      <c r="R209" s="748">
        <f>Q209/P209*100</f>
        <v>24.975</v>
      </c>
    </row>
    <row r="210" spans="1:18" s="755" customFormat="1" ht="17.25" customHeight="1">
      <c r="A210" s="698" t="s">
        <v>179</v>
      </c>
      <c r="B210" s="860" t="s">
        <v>378</v>
      </c>
      <c r="C210" s="700"/>
      <c r="D210" s="752">
        <f t="shared" si="37"/>
        <v>0</v>
      </c>
      <c r="E210" s="664">
        <f>H210+K210+N210+Q210</f>
        <v>1837</v>
      </c>
      <c r="F210" s="665" t="e">
        <f t="shared" si="34"/>
        <v>#DIV/0!</v>
      </c>
      <c r="G210" s="702">
        <f>G211</f>
        <v>0</v>
      </c>
      <c r="H210" s="703">
        <f>H211</f>
        <v>1837</v>
      </c>
      <c r="I210" s="754" t="e">
        <f>H210/G210*100</f>
        <v>#DIV/0!</v>
      </c>
      <c r="J210" s="702"/>
      <c r="K210" s="703"/>
      <c r="L210" s="427"/>
      <c r="M210" s="702"/>
      <c r="N210" s="703"/>
      <c r="O210" s="754"/>
      <c r="P210" s="702"/>
      <c r="Q210" s="703"/>
      <c r="R210" s="704"/>
    </row>
    <row r="211" spans="1:18" ht="24.75" customHeight="1" thickBot="1">
      <c r="A211" s="688" t="s">
        <v>969</v>
      </c>
      <c r="B211" s="781" t="s">
        <v>180</v>
      </c>
      <c r="C211" s="689"/>
      <c r="D211" s="675">
        <f t="shared" si="37"/>
        <v>0</v>
      </c>
      <c r="E211" s="861">
        <f>H211+K211+N211+Q211</f>
        <v>1837</v>
      </c>
      <c r="F211" s="690" t="e">
        <f>E211/D211*100</f>
        <v>#DIV/0!</v>
      </c>
      <c r="G211" s="359"/>
      <c r="H211" s="358">
        <v>1837</v>
      </c>
      <c r="I211" s="862" t="e">
        <f>H211/G211*100</f>
        <v>#DIV/0!</v>
      </c>
      <c r="J211" s="359"/>
      <c r="K211" s="358"/>
      <c r="L211" s="416"/>
      <c r="M211" s="863"/>
      <c r="N211" s="864"/>
      <c r="O211" s="690"/>
      <c r="P211" s="359"/>
      <c r="Q211" s="358"/>
      <c r="R211" s="749"/>
    </row>
    <row r="212" spans="1:18" ht="27" customHeight="1" thickBot="1" thickTop="1">
      <c r="A212" s="865" t="s">
        <v>181</v>
      </c>
      <c r="B212" s="653" t="s">
        <v>753</v>
      </c>
      <c r="C212" s="780">
        <f>C213+C215+C217+C223+C227+C231+C233+C237+C240+C244+C250+C254+C256</f>
        <v>24989200</v>
      </c>
      <c r="D212" s="780">
        <f>D213+D215+D217+D223+D227+D231+D233+D237+D240+D244+D250+D254+D256</f>
        <v>25059400</v>
      </c>
      <c r="E212" s="780">
        <f>E213+E215+E217+E223+E227+E231+E233+E237+E240+E244+E250+E254+E256</f>
        <v>6543026</v>
      </c>
      <c r="F212" s="657">
        <f t="shared" si="34"/>
        <v>26.110066482038675</v>
      </c>
      <c r="G212" s="780">
        <f>G213+G215+G217+G223+G227+G231+G233+G237+G240+G244+G250+G254+G256</f>
        <v>4836400</v>
      </c>
      <c r="H212" s="780">
        <f>H213+H215+H217+H223+H227+H231+H233+H237+H240+H244+H250+H254+H256</f>
        <v>1352395</v>
      </c>
      <c r="I212" s="657">
        <f>H212/G212*100</f>
        <v>27.96284426432884</v>
      </c>
      <c r="J212" s="780">
        <f>J213+J215+J217+J223+J227+J231+J233+J237+J240+J244+J250+J254+J256</f>
        <v>19993000</v>
      </c>
      <c r="K212" s="780">
        <f>K213+K215+K217+K223+K227+K231+K233+K237+K240+K244+K250+K254+K256</f>
        <v>5042346</v>
      </c>
      <c r="L212" s="743">
        <f>K212/J212*100</f>
        <v>25.220557195018255</v>
      </c>
      <c r="M212" s="780">
        <f>M213+M215+M217+M223+M227+M231+M233+M237+M240+M244+M250+M254+M256</f>
        <v>217000</v>
      </c>
      <c r="N212" s="780">
        <f>N213+N215+N217+N223+N227+N231+N233+N237+N240+N244+N250+N254+N256</f>
        <v>135285</v>
      </c>
      <c r="O212" s="824">
        <f>N212/M212*100</f>
        <v>62.343317972350235</v>
      </c>
      <c r="P212" s="780">
        <f>P213+P215+P217+P223+P227+P231+P233+P237+P240+P244+P250+P254+P256</f>
        <v>13000</v>
      </c>
      <c r="Q212" s="780">
        <f>Q213+Q215+Q217+Q223+Q227+Q231+Q233+Q237+Q240+Q244+Q250+Q254+Q256</f>
        <v>13000</v>
      </c>
      <c r="R212" s="743">
        <f>Q212/P212*100</f>
        <v>100</v>
      </c>
    </row>
    <row r="213" spans="1:18" ht="24.75" customHeight="1" thickTop="1">
      <c r="A213" s="866" t="s">
        <v>182</v>
      </c>
      <c r="B213" s="867" t="s">
        <v>183</v>
      </c>
      <c r="C213" s="682">
        <f>C214</f>
        <v>5000</v>
      </c>
      <c r="D213" s="868">
        <f t="shared" si="37"/>
        <v>5000</v>
      </c>
      <c r="E213" s="868">
        <f>H213+K213+N213+Q213</f>
        <v>42</v>
      </c>
      <c r="F213" s="665">
        <f t="shared" si="34"/>
        <v>0.84</v>
      </c>
      <c r="G213" s="745"/>
      <c r="H213" s="663"/>
      <c r="I213" s="685"/>
      <c r="J213" s="745"/>
      <c r="K213" s="663"/>
      <c r="L213" s="746"/>
      <c r="M213" s="745">
        <f>M214</f>
        <v>5000</v>
      </c>
      <c r="N213" s="663">
        <f>N214</f>
        <v>42</v>
      </c>
      <c r="O213" s="665">
        <f>N213/M213*100</f>
        <v>0.84</v>
      </c>
      <c r="P213" s="745">
        <f>SUM(P214)</f>
        <v>0</v>
      </c>
      <c r="Q213" s="663"/>
      <c r="R213" s="746"/>
    </row>
    <row r="214" spans="1:18" s="853" customFormat="1" ht="14.25" customHeight="1">
      <c r="A214" s="101" t="s">
        <v>969</v>
      </c>
      <c r="B214" s="721" t="s">
        <v>4</v>
      </c>
      <c r="C214" s="689">
        <v>5000</v>
      </c>
      <c r="D214" s="708">
        <f t="shared" si="37"/>
        <v>5000</v>
      </c>
      <c r="E214" s="708">
        <f>H214+K214+N214+Q214</f>
        <v>42</v>
      </c>
      <c r="F214" s="690">
        <f t="shared" si="34"/>
        <v>0.84</v>
      </c>
      <c r="G214" s="782"/>
      <c r="H214" s="643"/>
      <c r="I214" s="690"/>
      <c r="J214" s="782"/>
      <c r="K214" s="643"/>
      <c r="L214" s="749"/>
      <c r="M214" s="782">
        <v>5000</v>
      </c>
      <c r="N214" s="643">
        <v>42</v>
      </c>
      <c r="O214" s="194">
        <f>N214/M214*100</f>
        <v>0.84</v>
      </c>
      <c r="P214" s="782"/>
      <c r="Q214" s="643"/>
      <c r="R214" s="749"/>
    </row>
    <row r="215" spans="1:18" ht="24.75" customHeight="1">
      <c r="A215" s="134" t="s">
        <v>184</v>
      </c>
      <c r="B215" s="869" t="s">
        <v>760</v>
      </c>
      <c r="C215" s="700"/>
      <c r="D215" s="752">
        <f>G215+J215+M215+P215</f>
        <v>0</v>
      </c>
      <c r="E215" s="752">
        <f>H215+K215+N215+Q215</f>
        <v>698</v>
      </c>
      <c r="F215" s="665" t="e">
        <f>E215/D215*100</f>
        <v>#DIV/0!</v>
      </c>
      <c r="G215" s="664">
        <f>G216</f>
        <v>0</v>
      </c>
      <c r="H215" s="664">
        <f>H216</f>
        <v>698</v>
      </c>
      <c r="I215" s="665"/>
      <c r="J215" s="686"/>
      <c r="K215" s="664"/>
      <c r="L215" s="704"/>
      <c r="M215" s="686"/>
      <c r="N215" s="664"/>
      <c r="O215" s="665"/>
      <c r="P215" s="686"/>
      <c r="Q215" s="664"/>
      <c r="R215" s="704"/>
    </row>
    <row r="216" spans="1:18" s="853" customFormat="1" ht="14.25" customHeight="1">
      <c r="A216" s="101" t="s">
        <v>969</v>
      </c>
      <c r="B216" s="721" t="s">
        <v>4</v>
      </c>
      <c r="C216" s="689"/>
      <c r="D216" s="675">
        <f t="shared" si="37"/>
        <v>0</v>
      </c>
      <c r="E216" s="708">
        <f>H216+K216+N216+Q216</f>
        <v>698</v>
      </c>
      <c r="F216" s="690" t="e">
        <f>E216/D216*100</f>
        <v>#DIV/0!</v>
      </c>
      <c r="G216" s="782"/>
      <c r="H216" s="643">
        <v>698</v>
      </c>
      <c r="I216" s="690"/>
      <c r="J216" s="783"/>
      <c r="K216" s="696"/>
      <c r="L216" s="778"/>
      <c r="M216" s="783"/>
      <c r="N216" s="696"/>
      <c r="O216" s="194" t="e">
        <f>N216/M216*100</f>
        <v>#DIV/0!</v>
      </c>
      <c r="P216" s="782"/>
      <c r="Q216" s="643"/>
      <c r="R216" s="749"/>
    </row>
    <row r="217" spans="1:18" ht="16.5" customHeight="1">
      <c r="A217" s="134" t="s">
        <v>185</v>
      </c>
      <c r="B217" s="869" t="s">
        <v>762</v>
      </c>
      <c r="C217" s="829">
        <f>SUM(C218:C220)</f>
        <v>692000</v>
      </c>
      <c r="D217" s="703">
        <f>SUM(D218:D222)</f>
        <v>692000</v>
      </c>
      <c r="E217" s="703">
        <f>SUM(E218:E222)</f>
        <v>231268</v>
      </c>
      <c r="F217" s="665">
        <f t="shared" si="34"/>
        <v>33.42023121387283</v>
      </c>
      <c r="G217" s="703">
        <f>SUM(G218:G222)</f>
        <v>55000</v>
      </c>
      <c r="H217" s="703">
        <f>SUM(H218:H222)</f>
        <v>27919</v>
      </c>
      <c r="I217" s="665">
        <f>H217/G217*100</f>
        <v>50.761818181818185</v>
      </c>
      <c r="J217" s="829">
        <f>SUM(J218:J222)</f>
        <v>637000</v>
      </c>
      <c r="K217" s="703">
        <f>SUM(K218:K222)</f>
        <v>203349</v>
      </c>
      <c r="L217" s="704">
        <f>K217/J217*100</f>
        <v>31.922919937205652</v>
      </c>
      <c r="M217" s="702"/>
      <c r="N217" s="703"/>
      <c r="O217" s="265"/>
      <c r="P217" s="702"/>
      <c r="Q217" s="703"/>
      <c r="R217" s="427"/>
    </row>
    <row r="218" spans="1:18" ht="33">
      <c r="A218" s="146" t="s">
        <v>140</v>
      </c>
      <c r="B218" s="785" t="s">
        <v>186</v>
      </c>
      <c r="C218" s="707">
        <v>55000</v>
      </c>
      <c r="D218" s="708">
        <f>G218+J218+M218+P218</f>
        <v>55000</v>
      </c>
      <c r="E218" s="708">
        <f>H218+K218+N218+Q218</f>
        <v>14338</v>
      </c>
      <c r="F218" s="709">
        <f t="shared" si="34"/>
        <v>26.06909090909091</v>
      </c>
      <c r="G218" s="710">
        <v>55000</v>
      </c>
      <c r="H218" s="711">
        <v>14338</v>
      </c>
      <c r="I218" s="709">
        <f>H218/G218*100</f>
        <v>26.06909090909091</v>
      </c>
      <c r="J218" s="870"/>
      <c r="K218" s="871"/>
      <c r="L218" s="426"/>
      <c r="M218" s="738"/>
      <c r="N218" s="739"/>
      <c r="O218" s="709"/>
      <c r="P218" s="738"/>
      <c r="Q218" s="739"/>
      <c r="R218" s="741"/>
    </row>
    <row r="219" spans="1:18" s="692" customFormat="1" ht="21" customHeight="1">
      <c r="A219" s="872" t="s">
        <v>969</v>
      </c>
      <c r="B219" s="781" t="s">
        <v>4</v>
      </c>
      <c r="C219" s="695"/>
      <c r="D219" s="696"/>
      <c r="E219" s="696">
        <f>H219+K219+N219+Q219</f>
        <v>13515</v>
      </c>
      <c r="F219" s="679"/>
      <c r="G219" s="523"/>
      <c r="H219" s="524">
        <v>13515</v>
      </c>
      <c r="I219" s="679" t="e">
        <f>H219/G219*100</f>
        <v>#DIV/0!</v>
      </c>
      <c r="J219" s="806"/>
      <c r="K219" s="804"/>
      <c r="L219" s="424"/>
      <c r="M219" s="715"/>
      <c r="N219" s="716"/>
      <c r="O219" s="679"/>
      <c r="P219" s="715"/>
      <c r="Q219" s="716"/>
      <c r="R219" s="718"/>
    </row>
    <row r="220" spans="1:18" s="692" customFormat="1" ht="62.25" customHeight="1">
      <c r="A220" s="101" t="s">
        <v>950</v>
      </c>
      <c r="B220" s="641" t="s">
        <v>187</v>
      </c>
      <c r="C220" s="689">
        <v>637000</v>
      </c>
      <c r="D220" s="643">
        <f>G220+J220+M220+P220</f>
        <v>637000</v>
      </c>
      <c r="E220" s="643">
        <f>H220+K220+N220+Q220</f>
        <v>203349</v>
      </c>
      <c r="F220" s="690">
        <f t="shared" si="34"/>
        <v>31.922919937205652</v>
      </c>
      <c r="G220" s="359"/>
      <c r="H220" s="358"/>
      <c r="I220" s="690"/>
      <c r="J220" s="359">
        <v>637000</v>
      </c>
      <c r="K220" s="358">
        <v>203349</v>
      </c>
      <c r="L220" s="749">
        <f>K220/J220*100</f>
        <v>31.922919937205652</v>
      </c>
      <c r="M220" s="511"/>
      <c r="N220" s="712"/>
      <c r="O220" s="690"/>
      <c r="P220" s="511"/>
      <c r="Q220" s="712"/>
      <c r="R220" s="714"/>
    </row>
    <row r="221" spans="1:18" s="692" customFormat="1" ht="52.5" customHeight="1">
      <c r="A221" s="101" t="s">
        <v>1</v>
      </c>
      <c r="B221" s="750" t="s">
        <v>54</v>
      </c>
      <c r="C221" s="689"/>
      <c r="D221" s="643">
        <f>G221+J221+M221+P221</f>
        <v>0</v>
      </c>
      <c r="E221" s="643">
        <f>H221+K221+N221+Q221</f>
        <v>66</v>
      </c>
      <c r="F221" s="690" t="e">
        <f t="shared" si="34"/>
        <v>#DIV/0!</v>
      </c>
      <c r="G221" s="359"/>
      <c r="H221" s="358">
        <v>66</v>
      </c>
      <c r="I221" s="690" t="e">
        <f>H221/G221*100</f>
        <v>#DIV/0!</v>
      </c>
      <c r="J221" s="359"/>
      <c r="K221" s="358"/>
      <c r="L221" s="749"/>
      <c r="M221" s="511"/>
      <c r="N221" s="712"/>
      <c r="O221" s="690"/>
      <c r="P221" s="511"/>
      <c r="Q221" s="712"/>
      <c r="R221" s="714"/>
    </row>
    <row r="222" spans="1:18" ht="52.5" customHeight="1">
      <c r="A222" s="872" t="s">
        <v>188</v>
      </c>
      <c r="B222" s="720" t="s">
        <v>189</v>
      </c>
      <c r="C222" s="695"/>
      <c r="D222" s="696">
        <f>G222+J222+M222+P222</f>
        <v>0</v>
      </c>
      <c r="E222" s="696">
        <f>H222+K222+N222+Q222</f>
        <v>0</v>
      </c>
      <c r="F222" s="690" t="e">
        <f t="shared" si="34"/>
        <v>#DIV/0!</v>
      </c>
      <c r="G222" s="523"/>
      <c r="H222" s="524"/>
      <c r="I222" s="679"/>
      <c r="J222" s="523"/>
      <c r="K222" s="524"/>
      <c r="L222" s="778" t="e">
        <f>K222/J222*100</f>
        <v>#DIV/0!</v>
      </c>
      <c r="M222" s="715"/>
      <c r="N222" s="716"/>
      <c r="O222" s="679"/>
      <c r="P222" s="715"/>
      <c r="Q222" s="716"/>
      <c r="R222" s="718"/>
    </row>
    <row r="223" spans="1:18" ht="18.75" customHeight="1">
      <c r="A223" s="134" t="s">
        <v>190</v>
      </c>
      <c r="B223" s="699" t="s">
        <v>769</v>
      </c>
      <c r="C223" s="700">
        <f>SUM(C225:C226)</f>
        <v>212000</v>
      </c>
      <c r="D223" s="664">
        <f>SUM(D224:D226)</f>
        <v>212000</v>
      </c>
      <c r="E223" s="664">
        <f>SUM(E224:E226)</f>
        <v>135243</v>
      </c>
      <c r="F223" s="665">
        <f t="shared" si="34"/>
        <v>63.7938679245283</v>
      </c>
      <c r="G223" s="702"/>
      <c r="H223" s="703"/>
      <c r="I223" s="719"/>
      <c r="J223" s="702"/>
      <c r="K223" s="703"/>
      <c r="L223" s="427"/>
      <c r="M223" s="702">
        <f>SUM(M224:M226)</f>
        <v>212000</v>
      </c>
      <c r="N223" s="703">
        <f>SUM(N224:N226)</f>
        <v>135243</v>
      </c>
      <c r="O223" s="265">
        <f>N223/M223*100</f>
        <v>63.7938679245283</v>
      </c>
      <c r="P223" s="703">
        <f>SUM(P224:P226)</f>
        <v>0</v>
      </c>
      <c r="Q223" s="703">
        <f>SUM(Q224:Q226)</f>
        <v>0</v>
      </c>
      <c r="R223" s="427"/>
    </row>
    <row r="224" spans="1:18" s="853" customFormat="1" ht="15.75" customHeight="1">
      <c r="A224" s="101" t="s">
        <v>11</v>
      </c>
      <c r="B224" s="850" t="s">
        <v>394</v>
      </c>
      <c r="C224" s="689"/>
      <c r="D224" s="643">
        <f aca="true" t="shared" si="38" ref="D224:E226">G224+J224+M224+P224</f>
        <v>0</v>
      </c>
      <c r="E224" s="643">
        <f t="shared" si="38"/>
        <v>209</v>
      </c>
      <c r="F224" s="690"/>
      <c r="G224" s="359"/>
      <c r="H224" s="358"/>
      <c r="I224" s="690"/>
      <c r="J224" s="359"/>
      <c r="K224" s="358"/>
      <c r="L224" s="416"/>
      <c r="M224" s="359"/>
      <c r="N224" s="358">
        <v>209</v>
      </c>
      <c r="O224" s="194" t="e">
        <f>N224/M224*100</f>
        <v>#DIV/0!</v>
      </c>
      <c r="P224" s="359"/>
      <c r="Q224" s="358"/>
      <c r="R224" s="416"/>
    </row>
    <row r="225" spans="1:18" ht="17.25" customHeight="1">
      <c r="A225" s="101" t="s">
        <v>969</v>
      </c>
      <c r="B225" s="850" t="s">
        <v>4</v>
      </c>
      <c r="C225" s="689">
        <v>15000</v>
      </c>
      <c r="D225" s="643">
        <f>G225+J225+M225+P225</f>
        <v>15000</v>
      </c>
      <c r="E225" s="643">
        <f t="shared" si="38"/>
        <v>7401</v>
      </c>
      <c r="F225" s="690">
        <f t="shared" si="34"/>
        <v>49.34</v>
      </c>
      <c r="G225" s="359"/>
      <c r="H225" s="358"/>
      <c r="I225" s="690"/>
      <c r="J225" s="873"/>
      <c r="K225" s="874"/>
      <c r="L225" s="416"/>
      <c r="M225" s="511">
        <v>15000</v>
      </c>
      <c r="N225" s="712">
        <v>7401</v>
      </c>
      <c r="O225" s="194">
        <f>N225/M225*100</f>
        <v>49.34</v>
      </c>
      <c r="P225" s="511"/>
      <c r="Q225" s="712"/>
      <c r="R225" s="714"/>
    </row>
    <row r="226" spans="1:18" ht="45" customHeight="1">
      <c r="A226" s="872" t="s">
        <v>191</v>
      </c>
      <c r="B226" s="694" t="s">
        <v>192</v>
      </c>
      <c r="C226" s="695">
        <v>197000</v>
      </c>
      <c r="D226" s="696">
        <f t="shared" si="38"/>
        <v>197000</v>
      </c>
      <c r="E226" s="696">
        <f t="shared" si="38"/>
        <v>127633</v>
      </c>
      <c r="F226" s="679">
        <f t="shared" si="34"/>
        <v>64.78832487309644</v>
      </c>
      <c r="G226" s="523"/>
      <c r="H226" s="524"/>
      <c r="I226" s="679"/>
      <c r="J226" s="715"/>
      <c r="K226" s="716"/>
      <c r="L226" s="424"/>
      <c r="M226" s="715">
        <v>197000</v>
      </c>
      <c r="N226" s="716">
        <v>127633</v>
      </c>
      <c r="O226" s="237">
        <f>N226/M226*100</f>
        <v>64.78832487309644</v>
      </c>
      <c r="P226" s="715"/>
      <c r="Q226" s="716"/>
      <c r="R226" s="718"/>
    </row>
    <row r="227" spans="1:18" ht="62.25" customHeight="1">
      <c r="A227" s="134" t="s">
        <v>193</v>
      </c>
      <c r="B227" s="699" t="s">
        <v>770</v>
      </c>
      <c r="C227" s="875">
        <f>SUM(C228:C230)</f>
        <v>17391000</v>
      </c>
      <c r="D227" s="703">
        <f>SUM(D228:D230)</f>
        <v>17391000</v>
      </c>
      <c r="E227" s="703">
        <f>SUM(E228:E230)</f>
        <v>4360614</v>
      </c>
      <c r="F227" s="665">
        <f t="shared" si="34"/>
        <v>25.073969294462657</v>
      </c>
      <c r="G227" s="703">
        <f>SUM(G228:G230)</f>
        <v>35000</v>
      </c>
      <c r="H227" s="703">
        <f>SUM(H228:H230)</f>
        <v>21615</v>
      </c>
      <c r="I227" s="665">
        <f>H227/G227*100</f>
        <v>61.75714285714285</v>
      </c>
      <c r="J227" s="703">
        <f>SUM(J228:J230)</f>
        <v>17356000</v>
      </c>
      <c r="K227" s="703">
        <f>SUM(K228:K230)</f>
        <v>4338999</v>
      </c>
      <c r="L227" s="704">
        <f>K227/J227*100</f>
        <v>24.999994238303756</v>
      </c>
      <c r="M227" s="702"/>
      <c r="N227" s="703"/>
      <c r="O227" s="265"/>
      <c r="P227" s="702"/>
      <c r="Q227" s="703"/>
      <c r="R227" s="704"/>
    </row>
    <row r="228" spans="1:18" s="692" customFormat="1" ht="35.25" customHeight="1">
      <c r="A228" s="705" t="s">
        <v>958</v>
      </c>
      <c r="B228" s="706" t="s">
        <v>968</v>
      </c>
      <c r="C228" s="876"/>
      <c r="D228" s="708">
        <f aca="true" t="shared" si="39" ref="D228:E230">G228+J228+M228+P228</f>
        <v>0</v>
      </c>
      <c r="E228" s="708">
        <f t="shared" si="39"/>
        <v>0</v>
      </c>
      <c r="F228" s="709" t="e">
        <f>E228/D228*100</f>
        <v>#DIV/0!</v>
      </c>
      <c r="G228" s="710"/>
      <c r="H228" s="711"/>
      <c r="I228" s="709" t="e">
        <f>H228/G228*100</f>
        <v>#DIV/0!</v>
      </c>
      <c r="J228" s="710"/>
      <c r="K228" s="711"/>
      <c r="L228" s="426"/>
      <c r="M228" s="710"/>
      <c r="N228" s="711"/>
      <c r="O228" s="709"/>
      <c r="P228" s="710"/>
      <c r="Q228" s="711"/>
      <c r="R228" s="773"/>
    </row>
    <row r="229" spans="1:18" s="692" customFormat="1" ht="66" customHeight="1">
      <c r="A229" s="872" t="s">
        <v>950</v>
      </c>
      <c r="B229" s="694" t="s">
        <v>187</v>
      </c>
      <c r="C229" s="695">
        <v>17356000</v>
      </c>
      <c r="D229" s="696">
        <f t="shared" si="39"/>
        <v>17356000</v>
      </c>
      <c r="E229" s="696">
        <f t="shared" si="39"/>
        <v>4338999</v>
      </c>
      <c r="F229" s="679">
        <f>E229/D229*100</f>
        <v>24.999994238303756</v>
      </c>
      <c r="G229" s="523"/>
      <c r="H229" s="524"/>
      <c r="I229" s="679"/>
      <c r="J229" s="523">
        <v>17356000</v>
      </c>
      <c r="K229" s="524">
        <v>4338999</v>
      </c>
      <c r="L229" s="778">
        <f>K229/J229*100</f>
        <v>24.999994238303756</v>
      </c>
      <c r="M229" s="523"/>
      <c r="N229" s="524"/>
      <c r="O229" s="237"/>
      <c r="P229" s="523"/>
      <c r="Q229" s="524"/>
      <c r="R229" s="424"/>
    </row>
    <row r="230" spans="1:18" ht="51.75" customHeight="1">
      <c r="A230" s="872" t="s">
        <v>1</v>
      </c>
      <c r="B230" s="777" t="s">
        <v>54</v>
      </c>
      <c r="C230" s="695">
        <v>35000</v>
      </c>
      <c r="D230" s="696">
        <f t="shared" si="39"/>
        <v>35000</v>
      </c>
      <c r="E230" s="696">
        <f t="shared" si="39"/>
        <v>21615</v>
      </c>
      <c r="F230" s="679">
        <f t="shared" si="34"/>
        <v>61.75714285714285</v>
      </c>
      <c r="G230" s="523">
        <v>35000</v>
      </c>
      <c r="H230" s="524">
        <v>21615</v>
      </c>
      <c r="I230" s="679">
        <f>H230/G230*100</f>
        <v>61.75714285714285</v>
      </c>
      <c r="J230" s="523"/>
      <c r="K230" s="524"/>
      <c r="L230" s="778"/>
      <c r="M230" s="523"/>
      <c r="N230" s="524"/>
      <c r="O230" s="237"/>
      <c r="P230" s="523"/>
      <c r="Q230" s="524"/>
      <c r="R230" s="424"/>
    </row>
    <row r="231" spans="1:18" ht="65.25" customHeight="1">
      <c r="A231" s="134" t="s">
        <v>194</v>
      </c>
      <c r="B231" s="877" t="s">
        <v>195</v>
      </c>
      <c r="C231" s="700">
        <f>C232</f>
        <v>186000</v>
      </c>
      <c r="D231" s="664">
        <f>D232</f>
        <v>186000</v>
      </c>
      <c r="E231" s="664">
        <f>E232</f>
        <v>46500</v>
      </c>
      <c r="F231" s="774">
        <f t="shared" si="34"/>
        <v>25</v>
      </c>
      <c r="G231" s="677"/>
      <c r="H231" s="703"/>
      <c r="I231" s="719"/>
      <c r="J231" s="702">
        <f>J232</f>
        <v>186000</v>
      </c>
      <c r="K231" s="703">
        <f>K232</f>
        <v>46500</v>
      </c>
      <c r="L231" s="704">
        <f>K231/J231*100</f>
        <v>25</v>
      </c>
      <c r="M231" s="816"/>
      <c r="N231" s="814"/>
      <c r="O231" s="719"/>
      <c r="P231" s="816"/>
      <c r="Q231" s="814"/>
      <c r="R231" s="851"/>
    </row>
    <row r="232" spans="1:18" ht="67.5">
      <c r="A232" s="878" t="s">
        <v>950</v>
      </c>
      <c r="B232" s="879" t="s">
        <v>187</v>
      </c>
      <c r="C232" s="747">
        <v>186000</v>
      </c>
      <c r="D232" s="675">
        <f>G232+J232+M232+P232</f>
        <v>186000</v>
      </c>
      <c r="E232" s="675">
        <f>H232+K232+N232+Q232</f>
        <v>46500</v>
      </c>
      <c r="F232" s="757">
        <f t="shared" si="34"/>
        <v>25</v>
      </c>
      <c r="G232" s="677"/>
      <c r="H232" s="678"/>
      <c r="I232" s="719"/>
      <c r="J232" s="677">
        <v>186000</v>
      </c>
      <c r="K232" s="678">
        <v>46500</v>
      </c>
      <c r="L232" s="748">
        <f>K232/J232*100</f>
        <v>25</v>
      </c>
      <c r="M232" s="677"/>
      <c r="N232" s="678"/>
      <c r="O232" s="719"/>
      <c r="P232" s="677"/>
      <c r="Q232" s="678"/>
      <c r="R232" s="417"/>
    </row>
    <row r="233" spans="1:18" ht="42">
      <c r="A233" s="134" t="s">
        <v>196</v>
      </c>
      <c r="B233" s="877" t="s">
        <v>197</v>
      </c>
      <c r="C233" s="700">
        <f>SUM(C234:C236)</f>
        <v>4251000</v>
      </c>
      <c r="D233" s="664">
        <f>SUM(D234:D236)</f>
        <v>4251000</v>
      </c>
      <c r="E233" s="664">
        <f>SUM(E234:E236)</f>
        <v>1069352</v>
      </c>
      <c r="F233" s="774">
        <f t="shared" si="34"/>
        <v>25.155304634203716</v>
      </c>
      <c r="G233" s="702">
        <f>SUM(G234:G236)</f>
        <v>2582000</v>
      </c>
      <c r="H233" s="703">
        <f>SUM(H234:H236)</f>
        <v>652103</v>
      </c>
      <c r="I233" s="665">
        <f>H233/G233*100</f>
        <v>25.255731990704877</v>
      </c>
      <c r="J233" s="702">
        <f>J235</f>
        <v>1669000</v>
      </c>
      <c r="K233" s="703">
        <f>K235</f>
        <v>417249</v>
      </c>
      <c r="L233" s="704">
        <f>K233/J233*100</f>
        <v>24.999940083882564</v>
      </c>
      <c r="M233" s="702"/>
      <c r="N233" s="703"/>
      <c r="O233" s="190"/>
      <c r="P233" s="702"/>
      <c r="Q233" s="703"/>
      <c r="R233" s="417"/>
    </row>
    <row r="234" spans="1:18" s="692" customFormat="1" ht="35.25">
      <c r="A234" s="146" t="s">
        <v>969</v>
      </c>
      <c r="B234" s="880" t="s">
        <v>198</v>
      </c>
      <c r="C234" s="881">
        <v>22000</v>
      </c>
      <c r="D234" s="708">
        <f aca="true" t="shared" si="40" ref="D234:E238">G234+J234+M234+P234</f>
        <v>22000</v>
      </c>
      <c r="E234" s="708">
        <f t="shared" si="40"/>
        <v>12104</v>
      </c>
      <c r="F234" s="709">
        <f t="shared" si="34"/>
        <v>55.01818181818182</v>
      </c>
      <c r="G234" s="710">
        <v>22000</v>
      </c>
      <c r="H234" s="711">
        <v>12104</v>
      </c>
      <c r="I234" s="709">
        <f>H234/G234*100</f>
        <v>55.01818181818182</v>
      </c>
      <c r="J234" s="710"/>
      <c r="K234" s="711"/>
      <c r="L234" s="773"/>
      <c r="M234" s="710"/>
      <c r="N234" s="711"/>
      <c r="O234" s="225"/>
      <c r="P234" s="710"/>
      <c r="Q234" s="711"/>
      <c r="R234" s="426"/>
    </row>
    <row r="235" spans="1:18" ht="67.5">
      <c r="A235" s="101" t="s">
        <v>950</v>
      </c>
      <c r="B235" s="691" t="s">
        <v>187</v>
      </c>
      <c r="C235" s="689">
        <v>1669000</v>
      </c>
      <c r="D235" s="643">
        <f t="shared" si="40"/>
        <v>1669000</v>
      </c>
      <c r="E235" s="643">
        <f t="shared" si="40"/>
        <v>417249</v>
      </c>
      <c r="F235" s="690">
        <f t="shared" si="34"/>
        <v>24.999940083882564</v>
      </c>
      <c r="G235" s="359"/>
      <c r="H235" s="358"/>
      <c r="I235" s="690"/>
      <c r="J235" s="359">
        <v>1669000</v>
      </c>
      <c r="K235" s="358">
        <v>417249</v>
      </c>
      <c r="L235" s="749">
        <f>K235/J235*100</f>
        <v>24.999940083882564</v>
      </c>
      <c r="M235" s="359"/>
      <c r="N235" s="358"/>
      <c r="O235" s="194"/>
      <c r="P235" s="359"/>
      <c r="Q235" s="358"/>
      <c r="R235" s="416"/>
    </row>
    <row r="236" spans="1:18" ht="36" customHeight="1">
      <c r="A236" s="872" t="s">
        <v>142</v>
      </c>
      <c r="B236" s="720" t="s">
        <v>199</v>
      </c>
      <c r="C236" s="695">
        <v>2560000</v>
      </c>
      <c r="D236" s="696">
        <f t="shared" si="40"/>
        <v>2560000</v>
      </c>
      <c r="E236" s="696">
        <f t="shared" si="40"/>
        <v>639999</v>
      </c>
      <c r="F236" s="679">
        <f t="shared" si="34"/>
        <v>24.9999609375</v>
      </c>
      <c r="G236" s="523">
        <v>2560000</v>
      </c>
      <c r="H236" s="524">
        <v>639999</v>
      </c>
      <c r="I236" s="679">
        <f aca="true" t="shared" si="41" ref="I236:I243">H236/G236*100</f>
        <v>24.9999609375</v>
      </c>
      <c r="J236" s="523"/>
      <c r="K236" s="524"/>
      <c r="L236" s="778"/>
      <c r="M236" s="523"/>
      <c r="N236" s="524"/>
      <c r="O236" s="237"/>
      <c r="P236" s="523"/>
      <c r="Q236" s="524"/>
      <c r="R236" s="424"/>
    </row>
    <row r="237" spans="1:18" ht="15.75" customHeight="1">
      <c r="A237" s="134" t="s">
        <v>200</v>
      </c>
      <c r="B237" s="869" t="s">
        <v>774</v>
      </c>
      <c r="C237" s="700">
        <f>SUM(C238:C239)</f>
        <v>30000</v>
      </c>
      <c r="D237" s="700">
        <f>SUM(D238:D239)</f>
        <v>30000</v>
      </c>
      <c r="E237" s="700">
        <f>SUM(E238:E239)</f>
        <v>7364</v>
      </c>
      <c r="F237" s="774">
        <f t="shared" si="34"/>
        <v>24.546666666666667</v>
      </c>
      <c r="G237" s="700">
        <f>SUM(G238:G239)</f>
        <v>30000</v>
      </c>
      <c r="H237" s="700">
        <f>SUM(H238:H239)</f>
        <v>7364</v>
      </c>
      <c r="I237" s="665">
        <f t="shared" si="41"/>
        <v>24.546666666666667</v>
      </c>
      <c r="J237" s="775"/>
      <c r="K237" s="776"/>
      <c r="L237" s="417"/>
      <c r="M237" s="775"/>
      <c r="N237" s="776"/>
      <c r="O237" s="882"/>
      <c r="P237" s="775"/>
      <c r="Q237" s="776"/>
      <c r="R237" s="851"/>
    </row>
    <row r="238" spans="1:18" s="821" customFormat="1" ht="15.75" customHeight="1">
      <c r="A238" s="101" t="s">
        <v>11</v>
      </c>
      <c r="B238" s="850" t="s">
        <v>394</v>
      </c>
      <c r="C238" s="689">
        <v>30000</v>
      </c>
      <c r="D238" s="643">
        <f t="shared" si="40"/>
        <v>30000</v>
      </c>
      <c r="E238" s="708">
        <f>H238+K238+N238+Q238</f>
        <v>7364</v>
      </c>
      <c r="F238" s="676"/>
      <c r="G238" s="359">
        <v>30000</v>
      </c>
      <c r="H238" s="358">
        <v>7364</v>
      </c>
      <c r="I238" s="845">
        <f>H238/G238*100</f>
        <v>24.546666666666667</v>
      </c>
      <c r="J238" s="511"/>
      <c r="K238" s="712"/>
      <c r="L238" s="416"/>
      <c r="M238" s="511"/>
      <c r="N238" s="712"/>
      <c r="O238" s="713"/>
      <c r="P238" s="511"/>
      <c r="Q238" s="712"/>
      <c r="R238" s="714"/>
    </row>
    <row r="239" spans="1:18" ht="28.5" customHeight="1">
      <c r="A239" s="872" t="s">
        <v>969</v>
      </c>
      <c r="B239" s="883" t="s">
        <v>201</v>
      </c>
      <c r="C239" s="695"/>
      <c r="D239" s="696">
        <f>G239+J239+M239+P239</f>
        <v>0</v>
      </c>
      <c r="E239" s="696">
        <f>H239+K239+N239+Q239</f>
        <v>0</v>
      </c>
      <c r="F239" s="697" t="e">
        <f t="shared" si="34"/>
        <v>#DIV/0!</v>
      </c>
      <c r="G239" s="523"/>
      <c r="H239" s="524"/>
      <c r="I239" s="679" t="e">
        <f t="shared" si="41"/>
        <v>#DIV/0!</v>
      </c>
      <c r="J239" s="715"/>
      <c r="K239" s="716"/>
      <c r="L239" s="424"/>
      <c r="M239" s="715"/>
      <c r="N239" s="716"/>
      <c r="O239" s="679"/>
      <c r="P239" s="715"/>
      <c r="Q239" s="716"/>
      <c r="R239" s="718"/>
    </row>
    <row r="240" spans="1:18" ht="24">
      <c r="A240" s="134" t="s">
        <v>202</v>
      </c>
      <c r="B240" s="869" t="s">
        <v>778</v>
      </c>
      <c r="C240" s="700">
        <f>SUM(C241:C243)</f>
        <v>1225000</v>
      </c>
      <c r="D240" s="664">
        <f>SUM(D241:D243)</f>
        <v>1225000</v>
      </c>
      <c r="E240" s="664">
        <f>SUM(E241:E243)</f>
        <v>310270</v>
      </c>
      <c r="F240" s="774">
        <f t="shared" si="34"/>
        <v>25.328163265306124</v>
      </c>
      <c r="G240" s="702">
        <f>SUM(G241:G243)</f>
        <v>1225000</v>
      </c>
      <c r="H240" s="703">
        <f>SUM(H241:H243)</f>
        <v>310270</v>
      </c>
      <c r="I240" s="665">
        <f t="shared" si="41"/>
        <v>25.328163265306124</v>
      </c>
      <c r="J240" s="702"/>
      <c r="K240" s="703"/>
      <c r="L240" s="704"/>
      <c r="M240" s="677"/>
      <c r="N240" s="678"/>
      <c r="O240" s="190"/>
      <c r="P240" s="677"/>
      <c r="Q240" s="678"/>
      <c r="R240" s="417"/>
    </row>
    <row r="241" spans="1:18" ht="15.75" customHeight="1">
      <c r="A241" s="146" t="s">
        <v>140</v>
      </c>
      <c r="B241" s="880" t="s">
        <v>141</v>
      </c>
      <c r="C241" s="707">
        <v>2000</v>
      </c>
      <c r="D241" s="708">
        <f aca="true" t="shared" si="42" ref="D241:E243">G241+J241+M241+P241</f>
        <v>2000</v>
      </c>
      <c r="E241" s="708">
        <f t="shared" si="42"/>
        <v>0</v>
      </c>
      <c r="F241" s="709">
        <f t="shared" si="34"/>
        <v>0</v>
      </c>
      <c r="G241" s="710">
        <v>2000</v>
      </c>
      <c r="H241" s="711"/>
      <c r="I241" s="709">
        <f t="shared" si="41"/>
        <v>0</v>
      </c>
      <c r="J241" s="710"/>
      <c r="K241" s="711"/>
      <c r="L241" s="773"/>
      <c r="M241" s="710"/>
      <c r="N241" s="711"/>
      <c r="O241" s="709"/>
      <c r="P241" s="710"/>
      <c r="Q241" s="711"/>
      <c r="R241" s="426"/>
    </row>
    <row r="242" spans="1:18" ht="17.25" customHeight="1">
      <c r="A242" s="101" t="s">
        <v>969</v>
      </c>
      <c r="B242" s="850" t="s">
        <v>4</v>
      </c>
      <c r="C242" s="689">
        <v>4000</v>
      </c>
      <c r="D242" s="643">
        <f t="shared" si="42"/>
        <v>4000</v>
      </c>
      <c r="E242" s="643">
        <f t="shared" si="42"/>
        <v>5521</v>
      </c>
      <c r="F242" s="690">
        <f t="shared" si="34"/>
        <v>138.025</v>
      </c>
      <c r="G242" s="359">
        <v>4000</v>
      </c>
      <c r="H242" s="358">
        <v>5521</v>
      </c>
      <c r="I242" s="690">
        <f t="shared" si="41"/>
        <v>138.025</v>
      </c>
      <c r="J242" s="359"/>
      <c r="K242" s="358"/>
      <c r="L242" s="416"/>
      <c r="M242" s="359"/>
      <c r="N242" s="669"/>
      <c r="O242" s="690"/>
      <c r="P242" s="668"/>
      <c r="Q242" s="669"/>
      <c r="R242" s="749"/>
    </row>
    <row r="243" spans="1:18" ht="36.75" customHeight="1">
      <c r="A243" s="872" t="s">
        <v>142</v>
      </c>
      <c r="B243" s="720" t="s">
        <v>199</v>
      </c>
      <c r="C243" s="695">
        <v>1219000</v>
      </c>
      <c r="D243" s="696">
        <f t="shared" si="42"/>
        <v>1219000</v>
      </c>
      <c r="E243" s="696">
        <f t="shared" si="42"/>
        <v>304749</v>
      </c>
      <c r="F243" s="679">
        <f t="shared" si="34"/>
        <v>24.999917965545528</v>
      </c>
      <c r="G243" s="523">
        <v>1219000</v>
      </c>
      <c r="H243" s="524">
        <v>304749</v>
      </c>
      <c r="I243" s="679">
        <f t="shared" si="41"/>
        <v>24.999917965545528</v>
      </c>
      <c r="J243" s="523"/>
      <c r="K243" s="524"/>
      <c r="L243" s="778"/>
      <c r="M243" s="523"/>
      <c r="N243" s="524"/>
      <c r="O243" s="237"/>
      <c r="P243" s="523"/>
      <c r="Q243" s="524"/>
      <c r="R243" s="778"/>
    </row>
    <row r="244" spans="1:18" ht="59.25" customHeight="1">
      <c r="A244" s="134" t="s">
        <v>203</v>
      </c>
      <c r="B244" s="869" t="s">
        <v>204</v>
      </c>
      <c r="C244" s="700">
        <f>SUM(C245:C247)</f>
        <v>23000</v>
      </c>
      <c r="D244" s="700">
        <f>SUM(D245:D247)</f>
        <v>23000</v>
      </c>
      <c r="E244" s="664">
        <f>SUM(E245:E247)</f>
        <v>15950</v>
      </c>
      <c r="F244" s="774">
        <f t="shared" si="34"/>
        <v>69.34782608695652</v>
      </c>
      <c r="G244" s="700">
        <f>SUM(G245:G247)</f>
        <v>10000</v>
      </c>
      <c r="H244" s="700">
        <f>SUM(H245:H247)</f>
        <v>2950</v>
      </c>
      <c r="I244" s="665">
        <f>H244/G244*100</f>
        <v>29.5</v>
      </c>
      <c r="J244" s="702"/>
      <c r="K244" s="703"/>
      <c r="L244" s="704"/>
      <c r="M244" s="700">
        <f>SUM(M245:M247)</f>
        <v>0</v>
      </c>
      <c r="N244" s="700">
        <f>SUM(N245:N247)</f>
        <v>0</v>
      </c>
      <c r="O244" s="665" t="e">
        <f>N244/M244*100</f>
        <v>#DIV/0!</v>
      </c>
      <c r="P244" s="700">
        <f>SUM(P245:P247)</f>
        <v>13000</v>
      </c>
      <c r="Q244" s="700">
        <f>SUM(Q245:Q247)</f>
        <v>13000</v>
      </c>
      <c r="R244" s="704">
        <f>Q244/P244*100</f>
        <v>100</v>
      </c>
    </row>
    <row r="245" spans="1:18" s="692" customFormat="1" ht="34.5">
      <c r="A245" s="146" t="s">
        <v>140</v>
      </c>
      <c r="B245" s="785" t="s">
        <v>205</v>
      </c>
      <c r="C245" s="707">
        <v>10000</v>
      </c>
      <c r="D245" s="708">
        <f aca="true" t="shared" si="43" ref="D245:E249">G245+J245+M245+P245</f>
        <v>10000</v>
      </c>
      <c r="E245" s="708">
        <f t="shared" si="43"/>
        <v>2950</v>
      </c>
      <c r="F245" s="709">
        <f t="shared" si="34"/>
        <v>29.5</v>
      </c>
      <c r="G245" s="710">
        <v>10000</v>
      </c>
      <c r="H245" s="711">
        <v>2950</v>
      </c>
      <c r="I245" s="709">
        <f>H245/G245*100</f>
        <v>29.5</v>
      </c>
      <c r="J245" s="710"/>
      <c r="K245" s="711"/>
      <c r="L245" s="773"/>
      <c r="M245" s="710"/>
      <c r="N245" s="711"/>
      <c r="O245" s="225"/>
      <c r="P245" s="710"/>
      <c r="Q245" s="711"/>
      <c r="R245" s="773"/>
    </row>
    <row r="246" spans="1:18" s="692" customFormat="1" ht="64.5" customHeight="1">
      <c r="A246" s="101" t="s">
        <v>993</v>
      </c>
      <c r="B246" s="750" t="s">
        <v>0</v>
      </c>
      <c r="C246" s="689">
        <v>13000</v>
      </c>
      <c r="D246" s="643">
        <f>G246+J246+M246+P246</f>
        <v>13000</v>
      </c>
      <c r="E246" s="643">
        <f>H246+K246+N246+Q246</f>
        <v>13000</v>
      </c>
      <c r="F246" s="690">
        <f t="shared" si="34"/>
        <v>100</v>
      </c>
      <c r="G246" s="359"/>
      <c r="H246" s="358"/>
      <c r="I246" s="690"/>
      <c r="J246" s="359"/>
      <c r="K246" s="358"/>
      <c r="L246" s="749"/>
      <c r="M246" s="359"/>
      <c r="N246" s="358"/>
      <c r="O246" s="194"/>
      <c r="P246" s="359">
        <v>13000</v>
      </c>
      <c r="Q246" s="358">
        <v>13000</v>
      </c>
      <c r="R246" s="749">
        <f>Q246/P246*100</f>
        <v>100</v>
      </c>
    </row>
    <row r="247" spans="1:18" s="853" customFormat="1" ht="49.5" customHeight="1">
      <c r="A247" s="688" t="s">
        <v>162</v>
      </c>
      <c r="B247" s="850" t="s">
        <v>163</v>
      </c>
      <c r="C247" s="689"/>
      <c r="D247" s="643">
        <f>G247+J247+M247+P247</f>
        <v>0</v>
      </c>
      <c r="E247" s="643">
        <f>H247+K247+N247+Q247</f>
        <v>0</v>
      </c>
      <c r="F247" s="676" t="e">
        <f t="shared" si="34"/>
        <v>#DIV/0!</v>
      </c>
      <c r="G247" s="359"/>
      <c r="H247" s="358"/>
      <c r="I247" s="690"/>
      <c r="J247" s="359"/>
      <c r="K247" s="358"/>
      <c r="L247" s="416"/>
      <c r="M247" s="359"/>
      <c r="N247" s="358"/>
      <c r="O247" s="690" t="e">
        <f>N247/M247*100</f>
        <v>#DIV/0!</v>
      </c>
      <c r="P247" s="359"/>
      <c r="Q247" s="358"/>
      <c r="R247" s="416"/>
    </row>
    <row r="248" spans="1:18" s="784" customFormat="1" ht="24.75" customHeight="1">
      <c r="A248" s="134" t="s">
        <v>206</v>
      </c>
      <c r="B248" s="884" t="s">
        <v>207</v>
      </c>
      <c r="C248" s="700"/>
      <c r="D248" s="752">
        <f t="shared" si="43"/>
        <v>0</v>
      </c>
      <c r="E248" s="752">
        <f t="shared" si="43"/>
        <v>0</v>
      </c>
      <c r="F248" s="665" t="e">
        <f t="shared" si="34"/>
        <v>#DIV/0!</v>
      </c>
      <c r="G248" s="816"/>
      <c r="H248" s="814"/>
      <c r="I248" s="823"/>
      <c r="J248" s="816"/>
      <c r="K248" s="814"/>
      <c r="L248" s="818"/>
      <c r="M248" s="816">
        <f>M249</f>
        <v>0</v>
      </c>
      <c r="N248" s="814">
        <f>SUM(N249:N249)</f>
        <v>0</v>
      </c>
      <c r="O248" s="665" t="e">
        <f>N248/M248*100</f>
        <v>#DIV/0!</v>
      </c>
      <c r="P248" s="702"/>
      <c r="Q248" s="703"/>
      <c r="R248" s="704"/>
    </row>
    <row r="249" spans="1:18" ht="21.75" customHeight="1">
      <c r="A249" s="878" t="s">
        <v>969</v>
      </c>
      <c r="B249" s="885" t="s">
        <v>4</v>
      </c>
      <c r="C249" s="747"/>
      <c r="D249" s="675">
        <f t="shared" si="43"/>
        <v>0</v>
      </c>
      <c r="E249" s="675">
        <f t="shared" si="43"/>
        <v>0</v>
      </c>
      <c r="F249" s="757" t="e">
        <f t="shared" si="34"/>
        <v>#DIV/0!</v>
      </c>
      <c r="G249" s="677"/>
      <c r="H249" s="678"/>
      <c r="I249" s="719"/>
      <c r="J249" s="677"/>
      <c r="K249" s="678"/>
      <c r="L249" s="748"/>
      <c r="M249" s="677"/>
      <c r="N249" s="678"/>
      <c r="O249" s="719" t="e">
        <f>N249/M249*100</f>
        <v>#DIV/0!</v>
      </c>
      <c r="P249" s="677"/>
      <c r="Q249" s="678"/>
      <c r="R249" s="748"/>
    </row>
    <row r="250" spans="1:18" ht="39.75" customHeight="1">
      <c r="A250" s="134" t="s">
        <v>208</v>
      </c>
      <c r="B250" s="869" t="s">
        <v>785</v>
      </c>
      <c r="C250" s="700">
        <f>SUM(C251:C252)</f>
        <v>223000</v>
      </c>
      <c r="D250" s="664">
        <f>SUM(D251:D253)</f>
        <v>223000</v>
      </c>
      <c r="E250" s="664">
        <f>SUM(E251:E253)</f>
        <v>56048</v>
      </c>
      <c r="F250" s="774">
        <f t="shared" si="34"/>
        <v>25.133632286995518</v>
      </c>
      <c r="G250" s="702">
        <f>SUM(G251:G253)</f>
        <v>78000</v>
      </c>
      <c r="H250" s="703">
        <f>SUM(H251:H253)</f>
        <v>19799</v>
      </c>
      <c r="I250" s="665">
        <f>H250/G250*100</f>
        <v>25.383333333333336</v>
      </c>
      <c r="J250" s="816">
        <f>J252</f>
        <v>145000</v>
      </c>
      <c r="K250" s="814">
        <f>SUM(K252)</f>
        <v>36249</v>
      </c>
      <c r="L250" s="704">
        <f>K250/J250*100</f>
        <v>24.999310344827585</v>
      </c>
      <c r="M250" s="886"/>
      <c r="N250" s="887"/>
      <c r="O250" s="888"/>
      <c r="P250" s="886"/>
      <c r="Q250" s="887"/>
      <c r="R250" s="889"/>
    </row>
    <row r="251" spans="1:18" ht="22.5">
      <c r="A251" s="878" t="s">
        <v>140</v>
      </c>
      <c r="B251" s="885" t="s">
        <v>209</v>
      </c>
      <c r="C251" s="747">
        <v>78000</v>
      </c>
      <c r="D251" s="675">
        <f aca="true" t="shared" si="44" ref="D251:E255">G251+J251+M251+P251</f>
        <v>78000</v>
      </c>
      <c r="E251" s="675">
        <f t="shared" si="44"/>
        <v>19689</v>
      </c>
      <c r="F251" s="757">
        <f t="shared" si="34"/>
        <v>25.24230769230769</v>
      </c>
      <c r="G251" s="677">
        <v>78000</v>
      </c>
      <c r="H251" s="678">
        <v>19689</v>
      </c>
      <c r="I251" s="719">
        <f>H251/G251*100</f>
        <v>25.24230769230769</v>
      </c>
      <c r="J251" s="816"/>
      <c r="K251" s="814"/>
      <c r="L251" s="748"/>
      <c r="M251" s="886"/>
      <c r="N251" s="887"/>
      <c r="O251" s="888"/>
      <c r="P251" s="886"/>
      <c r="Q251" s="887"/>
      <c r="R251" s="889"/>
    </row>
    <row r="252" spans="1:18" s="692" customFormat="1" ht="54" customHeight="1">
      <c r="A252" s="101" t="s">
        <v>950</v>
      </c>
      <c r="B252" s="691" t="s">
        <v>187</v>
      </c>
      <c r="C252" s="689">
        <v>145000</v>
      </c>
      <c r="D252" s="643">
        <f t="shared" si="44"/>
        <v>145000</v>
      </c>
      <c r="E252" s="643">
        <f t="shared" si="44"/>
        <v>36249</v>
      </c>
      <c r="F252" s="676">
        <f t="shared" si="34"/>
        <v>24.999310344827585</v>
      </c>
      <c r="G252" s="359"/>
      <c r="H252" s="358"/>
      <c r="I252" s="690"/>
      <c r="J252" s="359">
        <v>145000</v>
      </c>
      <c r="K252" s="712">
        <v>36249</v>
      </c>
      <c r="L252" s="749">
        <f>K252/J252*100</f>
        <v>24.999310344827585</v>
      </c>
      <c r="M252" s="890"/>
      <c r="N252" s="891"/>
      <c r="O252" s="892"/>
      <c r="P252" s="890"/>
      <c r="Q252" s="891"/>
      <c r="R252" s="893"/>
    </row>
    <row r="253" spans="1:18" s="692" customFormat="1" ht="43.5" customHeight="1">
      <c r="A253" s="101" t="s">
        <v>1</v>
      </c>
      <c r="B253" s="750" t="s">
        <v>54</v>
      </c>
      <c r="C253" s="689"/>
      <c r="D253" s="643">
        <f t="shared" si="44"/>
        <v>0</v>
      </c>
      <c r="E253" s="643">
        <f t="shared" si="44"/>
        <v>110</v>
      </c>
      <c r="F253" s="676" t="e">
        <f t="shared" si="34"/>
        <v>#DIV/0!</v>
      </c>
      <c r="G253" s="359"/>
      <c r="H253" s="358">
        <v>110</v>
      </c>
      <c r="I253" s="690" t="e">
        <f>H253/G253*100</f>
        <v>#DIV/0!</v>
      </c>
      <c r="J253" s="359"/>
      <c r="K253" s="712"/>
      <c r="L253" s="749"/>
      <c r="M253" s="890"/>
      <c r="N253" s="891"/>
      <c r="O253" s="892"/>
      <c r="P253" s="890"/>
      <c r="Q253" s="891"/>
      <c r="R253" s="893"/>
    </row>
    <row r="254" spans="1:18" s="755" customFormat="1" ht="22.5" customHeight="1">
      <c r="A254" s="134" t="s">
        <v>210</v>
      </c>
      <c r="B254" s="860" t="s">
        <v>786</v>
      </c>
      <c r="C254" s="700"/>
      <c r="D254" s="752">
        <f t="shared" si="44"/>
        <v>0</v>
      </c>
      <c r="E254" s="752">
        <f t="shared" si="44"/>
        <v>0</v>
      </c>
      <c r="F254" s="823" t="e">
        <f>E254/D254*100</f>
        <v>#DIV/0!</v>
      </c>
      <c r="G254" s="702"/>
      <c r="H254" s="703"/>
      <c r="I254" s="754"/>
      <c r="J254" s="702">
        <f>J255</f>
        <v>0</v>
      </c>
      <c r="K254" s="814">
        <f>K255</f>
        <v>0</v>
      </c>
      <c r="L254" s="818" t="e">
        <f>K254/J254*100</f>
        <v>#DIV/0!</v>
      </c>
      <c r="M254" s="894"/>
      <c r="N254" s="895"/>
      <c r="O254" s="896"/>
      <c r="P254" s="894"/>
      <c r="Q254" s="895"/>
      <c r="R254" s="897"/>
    </row>
    <row r="255" spans="1:18" ht="58.5" customHeight="1">
      <c r="A255" s="101" t="s">
        <v>950</v>
      </c>
      <c r="B255" s="691" t="s">
        <v>187</v>
      </c>
      <c r="C255" s="689"/>
      <c r="D255" s="643">
        <f t="shared" si="44"/>
        <v>0</v>
      </c>
      <c r="E255" s="643">
        <f t="shared" si="44"/>
        <v>0</v>
      </c>
      <c r="F255" s="719" t="e">
        <f>E255/D255*100</f>
        <v>#DIV/0!</v>
      </c>
      <c r="G255" s="677"/>
      <c r="H255" s="358"/>
      <c r="I255" s="690"/>
      <c r="J255" s="359"/>
      <c r="K255" s="712"/>
      <c r="L255" s="749" t="e">
        <f>K255/J255*100</f>
        <v>#DIV/0!</v>
      </c>
      <c r="M255" s="890"/>
      <c r="N255" s="891"/>
      <c r="O255" s="892"/>
      <c r="P255" s="890"/>
      <c r="Q255" s="891"/>
      <c r="R255" s="893"/>
    </row>
    <row r="256" spans="1:18" ht="14.25" customHeight="1">
      <c r="A256" s="134" t="s">
        <v>211</v>
      </c>
      <c r="B256" s="898" t="s">
        <v>378</v>
      </c>
      <c r="C256" s="700">
        <f>SUM(C257:C260)</f>
        <v>751200</v>
      </c>
      <c r="D256" s="664">
        <f>SUM(D257:D260)</f>
        <v>821400</v>
      </c>
      <c r="E256" s="664">
        <f>SUM(E257:E260)</f>
        <v>309677</v>
      </c>
      <c r="F256" s="774">
        <f t="shared" si="34"/>
        <v>37.701120038957875</v>
      </c>
      <c r="G256" s="702">
        <f>SUM(G257:G260)</f>
        <v>821400</v>
      </c>
      <c r="H256" s="703">
        <f>SUM(H257:H260)</f>
        <v>309677</v>
      </c>
      <c r="I256" s="665">
        <f aca="true" t="shared" si="45" ref="I256:I263">H256/G256*100</f>
        <v>37.701120038957875</v>
      </c>
      <c r="J256" s="775"/>
      <c r="K256" s="776"/>
      <c r="L256" s="417"/>
      <c r="M256" s="899"/>
      <c r="N256" s="900"/>
      <c r="O256" s="901"/>
      <c r="P256" s="886"/>
      <c r="Q256" s="887"/>
      <c r="R256" s="889"/>
    </row>
    <row r="257" spans="1:18" s="692" customFormat="1" ht="22.5">
      <c r="A257" s="146" t="s">
        <v>140</v>
      </c>
      <c r="B257" s="785" t="s">
        <v>212</v>
      </c>
      <c r="C257" s="707">
        <v>5000</v>
      </c>
      <c r="D257" s="708">
        <f aca="true" t="shared" si="46" ref="D257:E260">G257+J257+M257+P257</f>
        <v>5000</v>
      </c>
      <c r="E257" s="708">
        <f t="shared" si="46"/>
        <v>1440</v>
      </c>
      <c r="F257" s="709">
        <f t="shared" si="34"/>
        <v>28.799999999999997</v>
      </c>
      <c r="G257" s="710">
        <v>5000</v>
      </c>
      <c r="H257" s="711">
        <v>1440</v>
      </c>
      <c r="I257" s="709">
        <f t="shared" si="45"/>
        <v>28.799999999999997</v>
      </c>
      <c r="J257" s="738"/>
      <c r="K257" s="739"/>
      <c r="L257" s="426"/>
      <c r="M257" s="738"/>
      <c r="N257" s="739"/>
      <c r="O257" s="740"/>
      <c r="P257" s="738"/>
      <c r="Q257" s="739"/>
      <c r="R257" s="741"/>
    </row>
    <row r="258" spans="1:18" ht="27" customHeight="1">
      <c r="A258" s="101" t="s">
        <v>969</v>
      </c>
      <c r="B258" s="721" t="s">
        <v>213</v>
      </c>
      <c r="C258" s="689">
        <v>151200</v>
      </c>
      <c r="D258" s="643">
        <f t="shared" si="46"/>
        <v>221400</v>
      </c>
      <c r="E258" s="643">
        <f t="shared" si="46"/>
        <v>10739</v>
      </c>
      <c r="F258" s="690">
        <f t="shared" si="34"/>
        <v>4.850496838301717</v>
      </c>
      <c r="G258" s="359">
        <v>221400</v>
      </c>
      <c r="H258" s="358">
        <v>10739</v>
      </c>
      <c r="I258" s="690">
        <f t="shared" si="45"/>
        <v>4.850496838301717</v>
      </c>
      <c r="J258" s="511"/>
      <c r="K258" s="712"/>
      <c r="L258" s="416"/>
      <c r="M258" s="511"/>
      <c r="N258" s="712"/>
      <c r="O258" s="713"/>
      <c r="P258" s="511"/>
      <c r="Q258" s="712"/>
      <c r="R258" s="714"/>
    </row>
    <row r="259" spans="1:18" ht="59.25" customHeight="1">
      <c r="A259" s="688" t="s">
        <v>18</v>
      </c>
      <c r="B259" s="641" t="s">
        <v>214</v>
      </c>
      <c r="C259" s="689"/>
      <c r="D259" s="643">
        <f t="shared" si="46"/>
        <v>0</v>
      </c>
      <c r="E259" s="643">
        <f t="shared" si="46"/>
        <v>0</v>
      </c>
      <c r="F259" s="690" t="e">
        <f t="shared" si="34"/>
        <v>#DIV/0!</v>
      </c>
      <c r="G259" s="359"/>
      <c r="H259" s="358"/>
      <c r="I259" s="690" t="e">
        <f t="shared" si="45"/>
        <v>#DIV/0!</v>
      </c>
      <c r="J259" s="359"/>
      <c r="K259" s="358"/>
      <c r="L259" s="416"/>
      <c r="M259" s="359"/>
      <c r="N259" s="358"/>
      <c r="O259" s="690"/>
      <c r="P259" s="359"/>
      <c r="Q259" s="358"/>
      <c r="R259" s="416"/>
    </row>
    <row r="260" spans="1:18" s="692" customFormat="1" ht="31.5" customHeight="1" thickBot="1">
      <c r="A260" s="101" t="s">
        <v>142</v>
      </c>
      <c r="B260" s="641" t="s">
        <v>199</v>
      </c>
      <c r="C260" s="689">
        <v>595000</v>
      </c>
      <c r="D260" s="643">
        <f t="shared" si="46"/>
        <v>595000</v>
      </c>
      <c r="E260" s="643">
        <f t="shared" si="46"/>
        <v>297498</v>
      </c>
      <c r="F260" s="690">
        <f t="shared" si="34"/>
        <v>49.99966386554622</v>
      </c>
      <c r="G260" s="359">
        <v>595000</v>
      </c>
      <c r="H260" s="358">
        <v>297498</v>
      </c>
      <c r="I260" s="690">
        <f t="shared" si="45"/>
        <v>49.99966386554622</v>
      </c>
      <c r="J260" s="511"/>
      <c r="K260" s="712"/>
      <c r="L260" s="416"/>
      <c r="M260" s="511"/>
      <c r="N260" s="712"/>
      <c r="O260" s="713"/>
      <c r="P260" s="511"/>
      <c r="Q260" s="712"/>
      <c r="R260" s="714"/>
    </row>
    <row r="261" spans="1:18" ht="39" customHeight="1" thickBot="1" thickTop="1">
      <c r="A261" s="865" t="s">
        <v>215</v>
      </c>
      <c r="B261" s="653" t="s">
        <v>216</v>
      </c>
      <c r="C261" s="819">
        <f>C262+C266+C268</f>
        <v>178000</v>
      </c>
      <c r="D261" s="619">
        <f>G261+J261+M261+P261</f>
        <v>227204</v>
      </c>
      <c r="E261" s="619">
        <f>E262+E264+E266+E268</f>
        <v>43991</v>
      </c>
      <c r="F261" s="657">
        <f t="shared" si="34"/>
        <v>19.361895037059206</v>
      </c>
      <c r="G261" s="780">
        <f>G262+G264+G266+G268</f>
        <v>2800</v>
      </c>
      <c r="H261" s="619">
        <f>H262+H264+H266+H268</f>
        <v>1322</v>
      </c>
      <c r="I261" s="657">
        <f t="shared" si="45"/>
        <v>47.214285714285715</v>
      </c>
      <c r="J261" s="658"/>
      <c r="K261" s="655"/>
      <c r="L261" s="902"/>
      <c r="M261" s="780">
        <f>M264+M262+M266+M268</f>
        <v>113404</v>
      </c>
      <c r="N261" s="619">
        <f>N264+N262+N266+N268</f>
        <v>12669</v>
      </c>
      <c r="O261" s="657">
        <f>N261/M261*100</f>
        <v>11.171563613276428</v>
      </c>
      <c r="P261" s="780">
        <f>P262+P266+P268</f>
        <v>111000</v>
      </c>
      <c r="Q261" s="619">
        <f>Q262+Q266+Q268</f>
        <v>30000</v>
      </c>
      <c r="R261" s="743">
        <f>Q261/P261*100</f>
        <v>27.027027027027028</v>
      </c>
    </row>
    <row r="262" spans="1:18" ht="14.25" customHeight="1" thickTop="1">
      <c r="A262" s="903" t="s">
        <v>217</v>
      </c>
      <c r="B262" s="904" t="s">
        <v>795</v>
      </c>
      <c r="C262" s="858">
        <f>C263</f>
        <v>2800</v>
      </c>
      <c r="D262" s="836">
        <f>D263</f>
        <v>2800</v>
      </c>
      <c r="E262" s="836">
        <f>E263</f>
        <v>1322</v>
      </c>
      <c r="F262" s="905">
        <f t="shared" si="34"/>
        <v>47.214285714285715</v>
      </c>
      <c r="G262" s="835">
        <f>G263</f>
        <v>2800</v>
      </c>
      <c r="H262" s="533">
        <f>H263</f>
        <v>1322</v>
      </c>
      <c r="I262" s="667">
        <f t="shared" si="45"/>
        <v>47.214285714285715</v>
      </c>
      <c r="J262" s="835"/>
      <c r="K262" s="533"/>
      <c r="L262" s="414"/>
      <c r="M262" s="835"/>
      <c r="N262" s="533"/>
      <c r="O262" s="667"/>
      <c r="P262" s="835"/>
      <c r="Q262" s="533"/>
      <c r="R262" s="839"/>
    </row>
    <row r="263" spans="1:18" ht="52.5" customHeight="1">
      <c r="A263" s="878" t="s">
        <v>986</v>
      </c>
      <c r="B263" s="673" t="s">
        <v>987</v>
      </c>
      <c r="C263" s="747">
        <v>2800</v>
      </c>
      <c r="D263" s="675">
        <f aca="true" t="shared" si="47" ref="D263:E265">G263+J263+M263+P263</f>
        <v>2800</v>
      </c>
      <c r="E263" s="675">
        <f t="shared" si="47"/>
        <v>1322</v>
      </c>
      <c r="F263" s="757">
        <f t="shared" si="34"/>
        <v>47.214285714285715</v>
      </c>
      <c r="G263" s="677">
        <v>2800</v>
      </c>
      <c r="H263" s="678">
        <v>1322</v>
      </c>
      <c r="I263" s="719">
        <f t="shared" si="45"/>
        <v>47.214285714285715</v>
      </c>
      <c r="J263" s="677"/>
      <c r="K263" s="678"/>
      <c r="L263" s="417"/>
      <c r="M263" s="677"/>
      <c r="N263" s="678"/>
      <c r="O263" s="719"/>
      <c r="P263" s="677"/>
      <c r="Q263" s="678"/>
      <c r="R263" s="748"/>
    </row>
    <row r="264" spans="1:18" s="755" customFormat="1" ht="35.25" customHeight="1">
      <c r="A264" s="134" t="s">
        <v>218</v>
      </c>
      <c r="B264" s="869" t="s">
        <v>796</v>
      </c>
      <c r="C264" s="700"/>
      <c r="D264" s="752">
        <f t="shared" si="47"/>
        <v>46204</v>
      </c>
      <c r="E264" s="801">
        <f t="shared" si="47"/>
        <v>12669</v>
      </c>
      <c r="F264" s="906">
        <f aca="true" t="shared" si="48" ref="F264:F296">E264/D264*100</f>
        <v>27.419703921738375</v>
      </c>
      <c r="G264" s="702"/>
      <c r="H264" s="703"/>
      <c r="I264" s="719"/>
      <c r="J264" s="702"/>
      <c r="K264" s="703"/>
      <c r="L264" s="427"/>
      <c r="M264" s="702">
        <f>M265</f>
        <v>46204</v>
      </c>
      <c r="N264" s="703">
        <f>N265</f>
        <v>12669</v>
      </c>
      <c r="O264" s="754">
        <f>N264/M264*100</f>
        <v>27.419703921738375</v>
      </c>
      <c r="P264" s="702"/>
      <c r="Q264" s="703"/>
      <c r="R264" s="704"/>
    </row>
    <row r="265" spans="1:18" ht="47.25" customHeight="1">
      <c r="A265" s="872" t="s">
        <v>191</v>
      </c>
      <c r="B265" s="907" t="s">
        <v>192</v>
      </c>
      <c r="C265" s="695"/>
      <c r="D265" s="696">
        <f t="shared" si="47"/>
        <v>46204</v>
      </c>
      <c r="E265" s="830">
        <f t="shared" si="47"/>
        <v>12669</v>
      </c>
      <c r="F265" s="697">
        <f t="shared" si="48"/>
        <v>27.419703921738375</v>
      </c>
      <c r="G265" s="523"/>
      <c r="H265" s="524"/>
      <c r="I265" s="679"/>
      <c r="J265" s="523"/>
      <c r="K265" s="524"/>
      <c r="L265" s="424"/>
      <c r="M265" s="523">
        <v>46204</v>
      </c>
      <c r="N265" s="524">
        <v>12669</v>
      </c>
      <c r="O265" s="679">
        <f>N265/M265*100</f>
        <v>27.419703921738375</v>
      </c>
      <c r="P265" s="523"/>
      <c r="Q265" s="524"/>
      <c r="R265" s="778"/>
    </row>
    <row r="266" spans="1:18" ht="21.75" customHeight="1">
      <c r="A266" s="134" t="s">
        <v>219</v>
      </c>
      <c r="B266" s="869" t="s">
        <v>220</v>
      </c>
      <c r="C266" s="700">
        <f>C267</f>
        <v>108000</v>
      </c>
      <c r="D266" s="664">
        <f>D267</f>
        <v>111000</v>
      </c>
      <c r="E266" s="664">
        <f>E267</f>
        <v>30000</v>
      </c>
      <c r="F266" s="774">
        <f t="shared" si="48"/>
        <v>27.027027027027028</v>
      </c>
      <c r="G266" s="677"/>
      <c r="H266" s="678"/>
      <c r="I266" s="719"/>
      <c r="J266" s="677"/>
      <c r="K266" s="678"/>
      <c r="L266" s="417"/>
      <c r="M266" s="677"/>
      <c r="N266" s="678"/>
      <c r="O266" s="190"/>
      <c r="P266" s="702">
        <f>P267</f>
        <v>111000</v>
      </c>
      <c r="Q266" s="703">
        <f>Q267</f>
        <v>30000</v>
      </c>
      <c r="R266" s="704">
        <f>Q266/P266*100</f>
        <v>27.027027027027028</v>
      </c>
    </row>
    <row r="267" spans="1:18" ht="69.75" customHeight="1">
      <c r="A267" s="878" t="s">
        <v>993</v>
      </c>
      <c r="B267" s="879" t="s">
        <v>221</v>
      </c>
      <c r="C267" s="747">
        <v>108000</v>
      </c>
      <c r="D267" s="675">
        <f>G267+J267+M267+P267</f>
        <v>111000</v>
      </c>
      <c r="E267" s="675">
        <f>H267+K267+N267+Q267</f>
        <v>30000</v>
      </c>
      <c r="F267" s="757">
        <f t="shared" si="48"/>
        <v>27.027027027027028</v>
      </c>
      <c r="G267" s="677"/>
      <c r="H267" s="678"/>
      <c r="I267" s="719"/>
      <c r="J267" s="677"/>
      <c r="K267" s="678"/>
      <c r="L267" s="417"/>
      <c r="M267" s="677"/>
      <c r="N267" s="678"/>
      <c r="O267" s="719"/>
      <c r="P267" s="677">
        <v>111000</v>
      </c>
      <c r="Q267" s="678">
        <v>30000</v>
      </c>
      <c r="R267" s="748">
        <f>Q267/P267*100</f>
        <v>27.027027027027028</v>
      </c>
    </row>
    <row r="268" spans="1:18" ht="36">
      <c r="A268" s="134" t="s">
        <v>222</v>
      </c>
      <c r="B268" s="869" t="s">
        <v>223</v>
      </c>
      <c r="C268" s="700">
        <f>C269</f>
        <v>67200</v>
      </c>
      <c r="D268" s="664">
        <f>D269</f>
        <v>67200</v>
      </c>
      <c r="E268" s="664">
        <f>E269</f>
        <v>0</v>
      </c>
      <c r="F268" s="774">
        <f>E268/D268*100</f>
        <v>0</v>
      </c>
      <c r="G268" s="702"/>
      <c r="H268" s="703"/>
      <c r="I268" s="719"/>
      <c r="J268" s="702"/>
      <c r="K268" s="703"/>
      <c r="L268" s="427"/>
      <c r="M268" s="702">
        <f>M269</f>
        <v>67200</v>
      </c>
      <c r="N268" s="703">
        <f>N269</f>
        <v>0</v>
      </c>
      <c r="O268" s="665">
        <f aca="true" t="shared" si="49" ref="O268:O288">N268/M268*100</f>
        <v>0</v>
      </c>
      <c r="P268" s="702"/>
      <c r="Q268" s="703"/>
      <c r="R268" s="427"/>
    </row>
    <row r="269" spans="1:18" ht="30" customHeight="1" thickBot="1">
      <c r="A269" s="146" t="s">
        <v>969</v>
      </c>
      <c r="B269" s="880" t="s">
        <v>224</v>
      </c>
      <c r="C269" s="707">
        <v>67200</v>
      </c>
      <c r="D269" s="708">
        <f>G269+J269+M269+P269</f>
        <v>67200</v>
      </c>
      <c r="E269" s="708">
        <f>H269+K269+N269+Q269</f>
        <v>0</v>
      </c>
      <c r="F269" s="779">
        <f>E269/D269*100</f>
        <v>0</v>
      </c>
      <c r="G269" s="710"/>
      <c r="H269" s="711"/>
      <c r="I269" s="709"/>
      <c r="J269" s="710"/>
      <c r="K269" s="711"/>
      <c r="L269" s="426"/>
      <c r="M269" s="710">
        <v>67200</v>
      </c>
      <c r="N269" s="711"/>
      <c r="O269" s="709">
        <f t="shared" si="49"/>
        <v>0</v>
      </c>
      <c r="P269" s="710"/>
      <c r="Q269" s="711"/>
      <c r="R269" s="426"/>
    </row>
    <row r="270" spans="1:18" ht="25.5" thickBot="1" thickTop="1">
      <c r="A270" s="865" t="s">
        <v>225</v>
      </c>
      <c r="B270" s="653" t="s">
        <v>226</v>
      </c>
      <c r="C270" s="819">
        <f>C271+C277+C282+C285+C288+C293</f>
        <v>382300</v>
      </c>
      <c r="D270" s="619">
        <f>G270+J270+M270+P270</f>
        <v>382300</v>
      </c>
      <c r="E270" s="619">
        <f>E271+E277+E282+E285+E288+E293</f>
        <v>86999</v>
      </c>
      <c r="F270" s="657">
        <f t="shared" si="48"/>
        <v>22.756735547998954</v>
      </c>
      <c r="G270" s="658">
        <f>G271+G277+G282+G285+G288+G293</f>
        <v>100000</v>
      </c>
      <c r="H270" s="655">
        <f>H271+H277+H282+H285+H288+H293</f>
        <v>22266</v>
      </c>
      <c r="I270" s="657">
        <f>H270/G270*100</f>
        <v>22.266</v>
      </c>
      <c r="J270" s="658"/>
      <c r="K270" s="655"/>
      <c r="L270" s="659"/>
      <c r="M270" s="658">
        <f>M271+M277+M282+M285+M288</f>
        <v>282300</v>
      </c>
      <c r="N270" s="655">
        <f>N271+N277+N282+N285+N288</f>
        <v>64733</v>
      </c>
      <c r="O270" s="377">
        <f t="shared" si="49"/>
        <v>22.930570315267445</v>
      </c>
      <c r="P270" s="658"/>
      <c r="Q270" s="655"/>
      <c r="R270" s="659"/>
    </row>
    <row r="271" spans="1:18" ht="26.25" customHeight="1" thickTop="1">
      <c r="A271" s="866" t="s">
        <v>227</v>
      </c>
      <c r="B271" s="867" t="s">
        <v>228</v>
      </c>
      <c r="C271" s="682">
        <f>SUM(C272:C276)</f>
        <v>65300</v>
      </c>
      <c r="D271" s="682">
        <f>SUM(D272:D276)</f>
        <v>65300</v>
      </c>
      <c r="E271" s="663">
        <f>SUM(E272:E276)</f>
        <v>21651</v>
      </c>
      <c r="F271" s="685">
        <f t="shared" si="48"/>
        <v>33.156202143951</v>
      </c>
      <c r="G271" s="683"/>
      <c r="H271" s="684"/>
      <c r="I271" s="679"/>
      <c r="J271" s="683"/>
      <c r="K271" s="684"/>
      <c r="L271" s="687"/>
      <c r="M271" s="682">
        <f>SUM(M272:M276)</f>
        <v>65300</v>
      </c>
      <c r="N271" s="682">
        <f>SUM(N272:N276)</f>
        <v>21651</v>
      </c>
      <c r="O271" s="279">
        <f t="shared" si="49"/>
        <v>33.156202143951</v>
      </c>
      <c r="P271" s="683"/>
      <c r="Q271" s="684"/>
      <c r="R271" s="687"/>
    </row>
    <row r="272" spans="1:18" ht="18" customHeight="1">
      <c r="A272" s="146" t="s">
        <v>984</v>
      </c>
      <c r="B272" s="880" t="s">
        <v>145</v>
      </c>
      <c r="C272" s="707">
        <v>57000</v>
      </c>
      <c r="D272" s="708">
        <f aca="true" t="shared" si="50" ref="D272:E276">G272+J272+M272+P272</f>
        <v>57000</v>
      </c>
      <c r="E272" s="708">
        <f t="shared" si="50"/>
        <v>15810</v>
      </c>
      <c r="F272" s="709">
        <f t="shared" si="48"/>
        <v>27.73684210526316</v>
      </c>
      <c r="G272" s="710"/>
      <c r="H272" s="711"/>
      <c r="I272" s="709"/>
      <c r="J272" s="710"/>
      <c r="K272" s="711"/>
      <c r="L272" s="426"/>
      <c r="M272" s="710">
        <v>57000</v>
      </c>
      <c r="N272" s="711">
        <v>15810</v>
      </c>
      <c r="O272" s="709">
        <f t="shared" si="49"/>
        <v>27.73684210526316</v>
      </c>
      <c r="P272" s="710"/>
      <c r="Q272" s="711"/>
      <c r="R272" s="426"/>
    </row>
    <row r="273" spans="1:18" s="692" customFormat="1" ht="69" customHeight="1">
      <c r="A273" s="872" t="s">
        <v>986</v>
      </c>
      <c r="B273" s="781" t="s">
        <v>987</v>
      </c>
      <c r="C273" s="695">
        <v>2000</v>
      </c>
      <c r="D273" s="696">
        <f t="shared" si="50"/>
        <v>2000</v>
      </c>
      <c r="E273" s="696">
        <f t="shared" si="50"/>
        <v>224</v>
      </c>
      <c r="F273" s="679">
        <f t="shared" si="48"/>
        <v>11.200000000000001</v>
      </c>
      <c r="G273" s="523"/>
      <c r="H273" s="524"/>
      <c r="I273" s="679"/>
      <c r="J273" s="523"/>
      <c r="K273" s="524"/>
      <c r="L273" s="424"/>
      <c r="M273" s="523">
        <v>2000</v>
      </c>
      <c r="N273" s="524">
        <v>224</v>
      </c>
      <c r="O273" s="778">
        <f t="shared" si="49"/>
        <v>11.200000000000001</v>
      </c>
      <c r="P273" s="523"/>
      <c r="Q273" s="524"/>
      <c r="R273" s="424"/>
    </row>
    <row r="274" spans="1:18" ht="12.75" customHeight="1">
      <c r="A274" s="101" t="s">
        <v>140</v>
      </c>
      <c r="B274" s="850" t="s">
        <v>141</v>
      </c>
      <c r="C274" s="689">
        <v>6000</v>
      </c>
      <c r="D274" s="643">
        <f t="shared" si="50"/>
        <v>6000</v>
      </c>
      <c r="E274" s="643">
        <f t="shared" si="50"/>
        <v>4302</v>
      </c>
      <c r="F274" s="690">
        <f t="shared" si="48"/>
        <v>71.7</v>
      </c>
      <c r="G274" s="359"/>
      <c r="H274" s="358"/>
      <c r="I274" s="690"/>
      <c r="J274" s="511"/>
      <c r="K274" s="712"/>
      <c r="L274" s="416"/>
      <c r="M274" s="511">
        <v>6000</v>
      </c>
      <c r="N274" s="712">
        <v>4302</v>
      </c>
      <c r="O274" s="690">
        <f t="shared" si="49"/>
        <v>71.7</v>
      </c>
      <c r="P274" s="511"/>
      <c r="Q274" s="712"/>
      <c r="R274" s="714"/>
    </row>
    <row r="275" spans="1:18" ht="14.25" customHeight="1">
      <c r="A275" s="101" t="s">
        <v>11</v>
      </c>
      <c r="B275" s="850" t="s">
        <v>394</v>
      </c>
      <c r="C275" s="689">
        <v>200</v>
      </c>
      <c r="D275" s="643">
        <f t="shared" si="50"/>
        <v>200</v>
      </c>
      <c r="E275" s="643">
        <f t="shared" si="50"/>
        <v>7</v>
      </c>
      <c r="F275" s="690">
        <f t="shared" si="48"/>
        <v>3.5000000000000004</v>
      </c>
      <c r="G275" s="359"/>
      <c r="H275" s="358"/>
      <c r="I275" s="690"/>
      <c r="J275" s="511"/>
      <c r="K275" s="712"/>
      <c r="L275" s="416"/>
      <c r="M275" s="511">
        <v>200</v>
      </c>
      <c r="N275" s="712">
        <v>7</v>
      </c>
      <c r="O275" s="690">
        <f t="shared" si="49"/>
        <v>3.5000000000000004</v>
      </c>
      <c r="P275" s="511"/>
      <c r="Q275" s="712"/>
      <c r="R275" s="714"/>
    </row>
    <row r="276" spans="1:18" ht="14.25" customHeight="1">
      <c r="A276" s="872" t="s">
        <v>969</v>
      </c>
      <c r="B276" s="781" t="s">
        <v>961</v>
      </c>
      <c r="C276" s="695">
        <v>100</v>
      </c>
      <c r="D276" s="696">
        <f t="shared" si="50"/>
        <v>100</v>
      </c>
      <c r="E276" s="696">
        <f t="shared" si="50"/>
        <v>1308</v>
      </c>
      <c r="F276" s="697">
        <f t="shared" si="48"/>
        <v>1308</v>
      </c>
      <c r="G276" s="523"/>
      <c r="H276" s="524"/>
      <c r="I276" s="679"/>
      <c r="J276" s="715"/>
      <c r="K276" s="716"/>
      <c r="L276" s="424"/>
      <c r="M276" s="715">
        <v>100</v>
      </c>
      <c r="N276" s="716">
        <v>1308</v>
      </c>
      <c r="O276" s="908">
        <f t="shared" si="49"/>
        <v>1308</v>
      </c>
      <c r="P276" s="715"/>
      <c r="Q276" s="716"/>
      <c r="R276" s="718"/>
    </row>
    <row r="277" spans="1:18" ht="24">
      <c r="A277" s="134" t="s">
        <v>229</v>
      </c>
      <c r="B277" s="869" t="s">
        <v>230</v>
      </c>
      <c r="C277" s="700">
        <f>C278</f>
        <v>2500</v>
      </c>
      <c r="D277" s="664">
        <f>SUM(D278:D281)</f>
        <v>2500</v>
      </c>
      <c r="E277" s="664">
        <f>SUM(E278:E281)</f>
        <v>4650</v>
      </c>
      <c r="F277" s="774">
        <f t="shared" si="48"/>
        <v>186</v>
      </c>
      <c r="G277" s="702"/>
      <c r="H277" s="703"/>
      <c r="I277" s="719"/>
      <c r="J277" s="702"/>
      <c r="K277" s="703"/>
      <c r="L277" s="417"/>
      <c r="M277" s="702">
        <f>SUM(M278:M281)</f>
        <v>2500</v>
      </c>
      <c r="N277" s="703">
        <f>SUM(N278:N281)</f>
        <v>4650</v>
      </c>
      <c r="O277" s="665">
        <f t="shared" si="49"/>
        <v>186</v>
      </c>
      <c r="P277" s="702"/>
      <c r="Q277" s="703"/>
      <c r="R277" s="748"/>
    </row>
    <row r="278" spans="1:18" ht="53.25" customHeight="1">
      <c r="A278" s="146" t="s">
        <v>986</v>
      </c>
      <c r="B278" s="706" t="s">
        <v>987</v>
      </c>
      <c r="C278" s="707">
        <v>2500</v>
      </c>
      <c r="D278" s="708">
        <f aca="true" t="shared" si="51" ref="D278:E280">G278+J278+M278+P278</f>
        <v>2500</v>
      </c>
      <c r="E278" s="708">
        <f t="shared" si="51"/>
        <v>1001</v>
      </c>
      <c r="F278" s="779">
        <f t="shared" si="48"/>
        <v>40.04</v>
      </c>
      <c r="G278" s="710"/>
      <c r="H278" s="711"/>
      <c r="I278" s="709"/>
      <c r="J278" s="710"/>
      <c r="K278" s="711"/>
      <c r="L278" s="426"/>
      <c r="M278" s="710">
        <v>2500</v>
      </c>
      <c r="N278" s="711">
        <v>1001</v>
      </c>
      <c r="O278" s="709">
        <f t="shared" si="49"/>
        <v>40.04</v>
      </c>
      <c r="P278" s="710"/>
      <c r="Q278" s="711"/>
      <c r="R278" s="426"/>
    </row>
    <row r="279" spans="1:18" ht="23.25" customHeight="1">
      <c r="A279" s="101" t="s">
        <v>960</v>
      </c>
      <c r="B279" s="641" t="s">
        <v>231</v>
      </c>
      <c r="C279" s="689"/>
      <c r="D279" s="643">
        <f t="shared" si="51"/>
        <v>0</v>
      </c>
      <c r="E279" s="643">
        <f t="shared" si="51"/>
        <v>0</v>
      </c>
      <c r="F279" s="676" t="e">
        <f t="shared" si="48"/>
        <v>#DIV/0!</v>
      </c>
      <c r="G279" s="359"/>
      <c r="H279" s="358"/>
      <c r="I279" s="690"/>
      <c r="J279" s="359"/>
      <c r="K279" s="358"/>
      <c r="L279" s="416"/>
      <c r="M279" s="359"/>
      <c r="N279" s="358"/>
      <c r="O279" s="690" t="e">
        <f t="shared" si="49"/>
        <v>#DIV/0!</v>
      </c>
      <c r="P279" s="359"/>
      <c r="Q279" s="358"/>
      <c r="R279" s="416"/>
    </row>
    <row r="280" spans="1:18" s="692" customFormat="1" ht="18" customHeight="1">
      <c r="A280" s="101" t="s">
        <v>969</v>
      </c>
      <c r="B280" s="850" t="s">
        <v>961</v>
      </c>
      <c r="C280" s="689"/>
      <c r="D280" s="643">
        <f t="shared" si="51"/>
        <v>0</v>
      </c>
      <c r="E280" s="643">
        <f t="shared" si="51"/>
        <v>3649</v>
      </c>
      <c r="F280" s="676" t="e">
        <f t="shared" si="48"/>
        <v>#DIV/0!</v>
      </c>
      <c r="G280" s="359"/>
      <c r="H280" s="358"/>
      <c r="I280" s="690"/>
      <c r="J280" s="359"/>
      <c r="K280" s="358"/>
      <c r="L280" s="416"/>
      <c r="M280" s="359"/>
      <c r="N280" s="358">
        <v>3649</v>
      </c>
      <c r="O280" s="690" t="e">
        <f t="shared" si="49"/>
        <v>#DIV/0!</v>
      </c>
      <c r="P280" s="359"/>
      <c r="Q280" s="358"/>
      <c r="R280" s="416"/>
    </row>
    <row r="281" spans="1:18" s="853" customFormat="1" ht="49.5" customHeight="1">
      <c r="A281" s="688" t="s">
        <v>162</v>
      </c>
      <c r="B281" s="850" t="s">
        <v>163</v>
      </c>
      <c r="C281" s="689"/>
      <c r="D281" s="643">
        <f>G281+J281+M281+P281</f>
        <v>0</v>
      </c>
      <c r="E281" s="643">
        <f>H281+K281+N281+Q281</f>
        <v>0</v>
      </c>
      <c r="F281" s="676" t="e">
        <f t="shared" si="48"/>
        <v>#DIV/0!</v>
      </c>
      <c r="G281" s="359"/>
      <c r="H281" s="358"/>
      <c r="I281" s="690"/>
      <c r="J281" s="359"/>
      <c r="K281" s="358"/>
      <c r="L281" s="416"/>
      <c r="M281" s="359"/>
      <c r="N281" s="358"/>
      <c r="O281" s="690" t="e">
        <f t="shared" si="49"/>
        <v>#DIV/0!</v>
      </c>
      <c r="P281" s="359"/>
      <c r="Q281" s="358"/>
      <c r="R281" s="416"/>
    </row>
    <row r="282" spans="1:18" ht="27" customHeight="1">
      <c r="A282" s="134" t="s">
        <v>232</v>
      </c>
      <c r="B282" s="699" t="s">
        <v>233</v>
      </c>
      <c r="C282" s="700">
        <f>SUM(C283:C284)</f>
        <v>14500</v>
      </c>
      <c r="D282" s="664">
        <f>SUM(D283:D284)</f>
        <v>14500</v>
      </c>
      <c r="E282" s="664">
        <f>SUM(E283:E284)</f>
        <v>11820</v>
      </c>
      <c r="F282" s="774">
        <f t="shared" si="48"/>
        <v>81.51724137931035</v>
      </c>
      <c r="G282" s="702"/>
      <c r="H282" s="703"/>
      <c r="I282" s="719"/>
      <c r="J282" s="702"/>
      <c r="K282" s="703"/>
      <c r="L282" s="748"/>
      <c r="M282" s="702">
        <f>M283+M284</f>
        <v>14500</v>
      </c>
      <c r="N282" s="703">
        <f>N283+N284</f>
        <v>11820</v>
      </c>
      <c r="O282" s="665">
        <f t="shared" si="49"/>
        <v>81.51724137931035</v>
      </c>
      <c r="P282" s="816"/>
      <c r="Q282" s="814"/>
      <c r="R282" s="417"/>
    </row>
    <row r="283" spans="1:18" s="692" customFormat="1" ht="108" customHeight="1">
      <c r="A283" s="146" t="s">
        <v>986</v>
      </c>
      <c r="B283" s="785" t="s">
        <v>234</v>
      </c>
      <c r="C283" s="707">
        <v>6000</v>
      </c>
      <c r="D283" s="708">
        <f>G283+J283+M283+P283</f>
        <v>6000</v>
      </c>
      <c r="E283" s="708">
        <f>H283+K283+N283+Q283</f>
        <v>7280</v>
      </c>
      <c r="F283" s="709">
        <f t="shared" si="48"/>
        <v>121.33333333333334</v>
      </c>
      <c r="G283" s="710"/>
      <c r="H283" s="711"/>
      <c r="I283" s="709"/>
      <c r="J283" s="710"/>
      <c r="K283" s="711"/>
      <c r="L283" s="426"/>
      <c r="M283" s="710">
        <v>6000</v>
      </c>
      <c r="N283" s="711">
        <v>7280</v>
      </c>
      <c r="O283" s="709">
        <f t="shared" si="49"/>
        <v>121.33333333333334</v>
      </c>
      <c r="P283" s="710"/>
      <c r="Q283" s="711"/>
      <c r="R283" s="426"/>
    </row>
    <row r="284" spans="1:18" ht="12.75" customHeight="1">
      <c r="A284" s="872" t="s">
        <v>140</v>
      </c>
      <c r="B284" s="883" t="s">
        <v>141</v>
      </c>
      <c r="C284" s="695">
        <v>8500</v>
      </c>
      <c r="D284" s="696">
        <f>G284+J284+M284+P284</f>
        <v>8500</v>
      </c>
      <c r="E284" s="696">
        <f>H284+K284+N284+Q284</f>
        <v>4540</v>
      </c>
      <c r="F284" s="697">
        <f t="shared" si="48"/>
        <v>53.41176470588235</v>
      </c>
      <c r="G284" s="523"/>
      <c r="H284" s="524"/>
      <c r="I284" s="679"/>
      <c r="J284" s="715"/>
      <c r="K284" s="716"/>
      <c r="L284" s="424"/>
      <c r="M284" s="715">
        <v>8500</v>
      </c>
      <c r="N284" s="716">
        <v>4540</v>
      </c>
      <c r="O284" s="679">
        <f t="shared" si="49"/>
        <v>53.41176470588235</v>
      </c>
      <c r="P284" s="715"/>
      <c r="Q284" s="716"/>
      <c r="R284" s="718"/>
    </row>
    <row r="285" spans="1:18" ht="15.75" customHeight="1">
      <c r="A285" s="134" t="s">
        <v>235</v>
      </c>
      <c r="B285" s="869" t="s">
        <v>812</v>
      </c>
      <c r="C285" s="700">
        <f>C286</f>
        <v>200000</v>
      </c>
      <c r="D285" s="664">
        <f>SUM(D286:D287)</f>
        <v>200000</v>
      </c>
      <c r="E285" s="664">
        <f>SUM(E286:E287)</f>
        <v>26612</v>
      </c>
      <c r="F285" s="774">
        <f t="shared" si="48"/>
        <v>13.306000000000001</v>
      </c>
      <c r="G285" s="702"/>
      <c r="H285" s="703"/>
      <c r="I285" s="719"/>
      <c r="J285" s="702"/>
      <c r="K285" s="703"/>
      <c r="L285" s="427"/>
      <c r="M285" s="702">
        <f>SUM(M286:M287)</f>
        <v>200000</v>
      </c>
      <c r="N285" s="703">
        <f>SUM(N286:N287)</f>
        <v>26612</v>
      </c>
      <c r="O285" s="665">
        <f t="shared" si="49"/>
        <v>13.306000000000001</v>
      </c>
      <c r="P285" s="702"/>
      <c r="Q285" s="703"/>
      <c r="R285" s="427"/>
    </row>
    <row r="286" spans="1:18" ht="70.5" customHeight="1">
      <c r="A286" s="146" t="s">
        <v>986</v>
      </c>
      <c r="B286" s="706" t="s">
        <v>234</v>
      </c>
      <c r="C286" s="707">
        <v>200000</v>
      </c>
      <c r="D286" s="708">
        <f>G286+J286+M286+P286</f>
        <v>200000</v>
      </c>
      <c r="E286" s="708">
        <f>H286+K286+N286+Q286</f>
        <v>25192</v>
      </c>
      <c r="F286" s="709">
        <f t="shared" si="48"/>
        <v>12.595999999999998</v>
      </c>
      <c r="G286" s="710"/>
      <c r="H286" s="711"/>
      <c r="I286" s="690"/>
      <c r="J286" s="710"/>
      <c r="K286" s="711"/>
      <c r="L286" s="426"/>
      <c r="M286" s="710">
        <v>200000</v>
      </c>
      <c r="N286" s="711">
        <v>25192</v>
      </c>
      <c r="O286" s="690">
        <f t="shared" si="49"/>
        <v>12.595999999999998</v>
      </c>
      <c r="P286" s="710"/>
      <c r="Q286" s="711"/>
      <c r="R286" s="426"/>
    </row>
    <row r="287" spans="1:18" ht="21" customHeight="1">
      <c r="A287" s="872" t="s">
        <v>960</v>
      </c>
      <c r="B287" s="883" t="s">
        <v>236</v>
      </c>
      <c r="C287" s="695"/>
      <c r="D287" s="696">
        <f>G287+J287+M287+P287</f>
        <v>0</v>
      </c>
      <c r="E287" s="696">
        <f>H287+K287+N287+Q287</f>
        <v>1420</v>
      </c>
      <c r="F287" s="697" t="e">
        <f t="shared" si="48"/>
        <v>#DIV/0!</v>
      </c>
      <c r="G287" s="523"/>
      <c r="H287" s="524"/>
      <c r="I287" s="679"/>
      <c r="J287" s="523"/>
      <c r="K287" s="524"/>
      <c r="L287" s="424"/>
      <c r="M287" s="523"/>
      <c r="N287" s="524">
        <v>1420</v>
      </c>
      <c r="O287" s="679" t="e">
        <f t="shared" si="49"/>
        <v>#DIV/0!</v>
      </c>
      <c r="P287" s="523"/>
      <c r="Q287" s="524"/>
      <c r="R287" s="424"/>
    </row>
    <row r="288" spans="1:18" ht="24">
      <c r="A288" s="134" t="s">
        <v>237</v>
      </c>
      <c r="B288" s="869" t="s">
        <v>813</v>
      </c>
      <c r="C288" s="700">
        <f>SUM(C291:C292)</f>
        <v>0</v>
      </c>
      <c r="D288" s="664">
        <f>SUM(D289:D292)</f>
        <v>0</v>
      </c>
      <c r="E288" s="664">
        <f>SUM(E289:E292)</f>
        <v>0</v>
      </c>
      <c r="F288" s="774" t="e">
        <f t="shared" si="48"/>
        <v>#DIV/0!</v>
      </c>
      <c r="G288" s="702">
        <f>SUM(G289:G292)</f>
        <v>0</v>
      </c>
      <c r="H288" s="703">
        <f>SUM(H289:H292)</f>
        <v>0</v>
      </c>
      <c r="I288" s="665" t="e">
        <f>H288/G288*100</f>
        <v>#DIV/0!</v>
      </c>
      <c r="J288" s="702"/>
      <c r="K288" s="703"/>
      <c r="L288" s="427"/>
      <c r="M288" s="702">
        <f>SUM(M289:M292)</f>
        <v>0</v>
      </c>
      <c r="N288" s="703">
        <f>SUM(N289:N292)</f>
        <v>0</v>
      </c>
      <c r="O288" s="665" t="e">
        <f t="shared" si="49"/>
        <v>#DIV/0!</v>
      </c>
      <c r="P288" s="702"/>
      <c r="Q288" s="703"/>
      <c r="R288" s="427"/>
    </row>
    <row r="289" spans="1:18" s="853" customFormat="1" ht="49.5" customHeight="1">
      <c r="A289" s="705" t="s">
        <v>142</v>
      </c>
      <c r="B289" s="880" t="s">
        <v>238</v>
      </c>
      <c r="C289" s="707"/>
      <c r="D289" s="708">
        <f aca="true" t="shared" si="52" ref="D289:E292">G289+J289+M289+P289</f>
        <v>0</v>
      </c>
      <c r="E289" s="708">
        <f t="shared" si="52"/>
        <v>0</v>
      </c>
      <c r="F289" s="779" t="e">
        <f t="shared" si="48"/>
        <v>#DIV/0!</v>
      </c>
      <c r="G289" s="710"/>
      <c r="H289" s="711"/>
      <c r="I289" s="709" t="e">
        <f>H289/G289*100</f>
        <v>#DIV/0!</v>
      </c>
      <c r="J289" s="710"/>
      <c r="K289" s="711"/>
      <c r="L289" s="426"/>
      <c r="M289" s="710"/>
      <c r="N289" s="711"/>
      <c r="O289" s="709"/>
      <c r="P289" s="710"/>
      <c r="Q289" s="711"/>
      <c r="R289" s="426"/>
    </row>
    <row r="290" spans="1:18" s="821" customFormat="1" ht="49.5" customHeight="1">
      <c r="A290" s="688" t="s">
        <v>162</v>
      </c>
      <c r="B290" s="850" t="s">
        <v>163</v>
      </c>
      <c r="C290" s="689"/>
      <c r="D290" s="643">
        <f t="shared" si="52"/>
        <v>0</v>
      </c>
      <c r="E290" s="643">
        <f t="shared" si="52"/>
        <v>0</v>
      </c>
      <c r="F290" s="676" t="e">
        <f t="shared" si="48"/>
        <v>#DIV/0!</v>
      </c>
      <c r="G290" s="359"/>
      <c r="H290" s="358"/>
      <c r="I290" s="690"/>
      <c r="J290" s="359"/>
      <c r="K290" s="358"/>
      <c r="L290" s="416"/>
      <c r="M290" s="359"/>
      <c r="N290" s="358"/>
      <c r="O290" s="690" t="e">
        <f>N290/M290*100</f>
        <v>#DIV/0!</v>
      </c>
      <c r="P290" s="359"/>
      <c r="Q290" s="358"/>
      <c r="R290" s="416"/>
    </row>
    <row r="291" spans="1:18" ht="56.25">
      <c r="A291" s="688" t="s">
        <v>171</v>
      </c>
      <c r="B291" s="750" t="s">
        <v>239</v>
      </c>
      <c r="C291" s="689"/>
      <c r="D291" s="643">
        <f t="shared" si="52"/>
        <v>0</v>
      </c>
      <c r="E291" s="643">
        <f t="shared" si="52"/>
        <v>0</v>
      </c>
      <c r="F291" s="690" t="e">
        <f t="shared" si="48"/>
        <v>#DIV/0!</v>
      </c>
      <c r="G291" s="359"/>
      <c r="H291" s="358"/>
      <c r="I291" s="690"/>
      <c r="J291" s="359"/>
      <c r="K291" s="358"/>
      <c r="L291" s="416"/>
      <c r="M291" s="359"/>
      <c r="N291" s="358"/>
      <c r="O291" s="690" t="e">
        <f>N291/M291*100</f>
        <v>#DIV/0!</v>
      </c>
      <c r="P291" s="359"/>
      <c r="Q291" s="358"/>
      <c r="R291" s="416"/>
    </row>
    <row r="292" spans="1:18" s="692" customFormat="1" ht="56.25">
      <c r="A292" s="693" t="s">
        <v>173</v>
      </c>
      <c r="B292" s="777" t="s">
        <v>239</v>
      </c>
      <c r="C292" s="695"/>
      <c r="D292" s="696">
        <f t="shared" si="52"/>
        <v>0</v>
      </c>
      <c r="E292" s="696">
        <f t="shared" si="52"/>
        <v>0</v>
      </c>
      <c r="F292" s="679" t="e">
        <f t="shared" si="48"/>
        <v>#DIV/0!</v>
      </c>
      <c r="G292" s="523"/>
      <c r="H292" s="524"/>
      <c r="I292" s="679"/>
      <c r="J292" s="523"/>
      <c r="K292" s="524"/>
      <c r="L292" s="424"/>
      <c r="M292" s="523"/>
      <c r="N292" s="524"/>
      <c r="O292" s="690" t="e">
        <f>N292/M292*100</f>
        <v>#DIV/0!</v>
      </c>
      <c r="P292" s="523"/>
      <c r="Q292" s="524"/>
      <c r="R292" s="424"/>
    </row>
    <row r="293" spans="1:18" ht="24">
      <c r="A293" s="134" t="s">
        <v>240</v>
      </c>
      <c r="B293" s="869" t="s">
        <v>241</v>
      </c>
      <c r="C293" s="700">
        <f>SUM(C294:C295)</f>
        <v>100000</v>
      </c>
      <c r="D293" s="664">
        <f>SUM(D294:D295)</f>
        <v>100000</v>
      </c>
      <c r="E293" s="664">
        <f>SUM(E294:E295)</f>
        <v>22266</v>
      </c>
      <c r="F293" s="774">
        <f t="shared" si="48"/>
        <v>22.266</v>
      </c>
      <c r="G293" s="702">
        <f>SUM(G294:G295)</f>
        <v>100000</v>
      </c>
      <c r="H293" s="703">
        <f>SUM(H294:H295)</f>
        <v>22266</v>
      </c>
      <c r="I293" s="665">
        <f aca="true" t="shared" si="53" ref="I293:I309">H293/G293*100</f>
        <v>22.266</v>
      </c>
      <c r="J293" s="702"/>
      <c r="K293" s="703"/>
      <c r="L293" s="427"/>
      <c r="M293" s="702"/>
      <c r="N293" s="703"/>
      <c r="O293" s="665"/>
      <c r="P293" s="702"/>
      <c r="Q293" s="703"/>
      <c r="R293" s="704"/>
    </row>
    <row r="294" spans="1:18" ht="14.25" customHeight="1">
      <c r="A294" s="146" t="s">
        <v>140</v>
      </c>
      <c r="B294" s="880" t="s">
        <v>141</v>
      </c>
      <c r="C294" s="707">
        <v>97000</v>
      </c>
      <c r="D294" s="708">
        <f>G294+J294+M294+P294</f>
        <v>97000</v>
      </c>
      <c r="E294" s="708">
        <f>H294+K294+N294+Q294</f>
        <v>16070</v>
      </c>
      <c r="F294" s="709">
        <f t="shared" si="48"/>
        <v>16.567010309278352</v>
      </c>
      <c r="G294" s="710">
        <v>97000</v>
      </c>
      <c r="H294" s="711">
        <v>16070</v>
      </c>
      <c r="I294" s="709">
        <f t="shared" si="53"/>
        <v>16.567010309278352</v>
      </c>
      <c r="J294" s="710"/>
      <c r="K294" s="711"/>
      <c r="L294" s="426"/>
      <c r="M294" s="710"/>
      <c r="N294" s="711"/>
      <c r="O294" s="225"/>
      <c r="P294" s="710"/>
      <c r="Q294" s="711"/>
      <c r="R294" s="426"/>
    </row>
    <row r="295" spans="1:18" ht="25.5" customHeight="1">
      <c r="A295" s="872" t="s">
        <v>969</v>
      </c>
      <c r="B295" s="781" t="s">
        <v>4</v>
      </c>
      <c r="C295" s="695">
        <v>3000</v>
      </c>
      <c r="D295" s="696">
        <f>G295+J295+M295+P295</f>
        <v>3000</v>
      </c>
      <c r="E295" s="696">
        <f>H295+K295+N295+Q295</f>
        <v>6196</v>
      </c>
      <c r="F295" s="679">
        <f t="shared" si="48"/>
        <v>206.53333333333333</v>
      </c>
      <c r="G295" s="523">
        <v>3000</v>
      </c>
      <c r="H295" s="524">
        <v>6196</v>
      </c>
      <c r="I295" s="679">
        <f t="shared" si="53"/>
        <v>206.53333333333333</v>
      </c>
      <c r="J295" s="523"/>
      <c r="K295" s="524"/>
      <c r="L295" s="424"/>
      <c r="M295" s="523"/>
      <c r="N295" s="524"/>
      <c r="O295" s="237"/>
      <c r="P295" s="523"/>
      <c r="Q295" s="524"/>
      <c r="R295" s="424"/>
    </row>
    <row r="296" spans="1:18" ht="48.75" customHeight="1" thickBot="1">
      <c r="A296" s="909" t="s">
        <v>242</v>
      </c>
      <c r="B296" s="759" t="s">
        <v>243</v>
      </c>
      <c r="C296" s="765">
        <f>C297+C299+C301+C303+C305</f>
        <v>10000</v>
      </c>
      <c r="D296" s="765">
        <f>D297+D299+D301+D303+D305</f>
        <v>51411</v>
      </c>
      <c r="E296" s="765">
        <f>E297+E299+E301+E303+E305</f>
        <v>39631</v>
      </c>
      <c r="F296" s="910">
        <f t="shared" si="48"/>
        <v>77.08661570481026</v>
      </c>
      <c r="G296" s="765">
        <f>G297+G299+G301+G303+G305</f>
        <v>51411</v>
      </c>
      <c r="H296" s="765">
        <f>H297+H299+H301+H303+H305</f>
        <v>37339</v>
      </c>
      <c r="I296" s="911">
        <f t="shared" si="53"/>
        <v>72.62842582326739</v>
      </c>
      <c r="J296" s="764"/>
      <c r="K296" s="765"/>
      <c r="L296" s="768"/>
      <c r="M296" s="765">
        <f>M297+M299+M301+M303+M305</f>
        <v>0</v>
      </c>
      <c r="N296" s="765">
        <f>N297+N299+N301+N303+N305</f>
        <v>2292</v>
      </c>
      <c r="O296" s="912"/>
      <c r="P296" s="764"/>
      <c r="Q296" s="765"/>
      <c r="R296" s="766"/>
    </row>
    <row r="297" spans="1:18" ht="25.5" customHeight="1" thickTop="1">
      <c r="A297" s="866" t="s">
        <v>244</v>
      </c>
      <c r="B297" s="681" t="s">
        <v>245</v>
      </c>
      <c r="C297" s="682"/>
      <c r="D297" s="663">
        <f>SUM(D298:D298)</f>
        <v>0</v>
      </c>
      <c r="E297" s="663">
        <f>SUM(E298:E298)</f>
        <v>0</v>
      </c>
      <c r="F297" s="771"/>
      <c r="G297" s="683"/>
      <c r="H297" s="684">
        <f>H298</f>
        <v>0</v>
      </c>
      <c r="I297" s="719"/>
      <c r="J297" s="683"/>
      <c r="K297" s="684"/>
      <c r="L297" s="778"/>
      <c r="M297" s="683"/>
      <c r="N297" s="684"/>
      <c r="O297" s="279"/>
      <c r="P297" s="683"/>
      <c r="Q297" s="684"/>
      <c r="R297" s="687"/>
    </row>
    <row r="298" spans="1:18" ht="43.5" customHeight="1">
      <c r="A298" s="878" t="s">
        <v>962</v>
      </c>
      <c r="B298" s="879" t="s">
        <v>246</v>
      </c>
      <c r="C298" s="747"/>
      <c r="D298" s="696">
        <f>G298+J298+M298+P298</f>
        <v>0</v>
      </c>
      <c r="E298" s="696">
        <f>H298+K298+N298+Q298</f>
        <v>0</v>
      </c>
      <c r="F298" s="697"/>
      <c r="G298" s="677"/>
      <c r="H298" s="678"/>
      <c r="I298" s="719"/>
      <c r="J298" s="677"/>
      <c r="K298" s="678"/>
      <c r="L298" s="417"/>
      <c r="M298" s="677"/>
      <c r="N298" s="678"/>
      <c r="O298" s="190"/>
      <c r="P298" s="677"/>
      <c r="Q298" s="678"/>
      <c r="R298" s="417"/>
    </row>
    <row r="299" spans="1:18" ht="17.25" customHeight="1">
      <c r="A299" s="866" t="s">
        <v>247</v>
      </c>
      <c r="B299" s="681" t="s">
        <v>840</v>
      </c>
      <c r="C299" s="682"/>
      <c r="D299" s="663">
        <f>SUM(D300:D300)</f>
        <v>0</v>
      </c>
      <c r="E299" s="663">
        <f>SUM(E300:E300)</f>
        <v>2292</v>
      </c>
      <c r="F299" s="771"/>
      <c r="G299" s="683"/>
      <c r="H299" s="684">
        <f>H300</f>
        <v>0</v>
      </c>
      <c r="I299" s="719"/>
      <c r="J299" s="683"/>
      <c r="K299" s="684"/>
      <c r="L299" s="778"/>
      <c r="M299" s="684">
        <f>M300</f>
        <v>0</v>
      </c>
      <c r="N299" s="684">
        <f>N300</f>
        <v>2292</v>
      </c>
      <c r="O299" s="279"/>
      <c r="P299" s="683"/>
      <c r="Q299" s="684"/>
      <c r="R299" s="687"/>
    </row>
    <row r="300" spans="1:18" ht="33" customHeight="1">
      <c r="A300" s="688" t="s">
        <v>958</v>
      </c>
      <c r="B300" s="641" t="s">
        <v>959</v>
      </c>
      <c r="C300" s="689"/>
      <c r="D300" s="643">
        <f>G300+J300+M300</f>
        <v>0</v>
      </c>
      <c r="E300" s="643">
        <f>H300+K300+N300+Q300</f>
        <v>2292</v>
      </c>
      <c r="F300" s="676"/>
      <c r="G300" s="359"/>
      <c r="H300" s="358"/>
      <c r="I300" s="690"/>
      <c r="J300" s="359"/>
      <c r="K300" s="358"/>
      <c r="L300" s="416"/>
      <c r="M300" s="359"/>
      <c r="N300" s="358">
        <v>2292</v>
      </c>
      <c r="O300" s="416"/>
      <c r="P300" s="359"/>
      <c r="Q300" s="358"/>
      <c r="R300" s="416"/>
    </row>
    <row r="301" spans="1:18" ht="23.25" customHeight="1">
      <c r="A301" s="866" t="s">
        <v>248</v>
      </c>
      <c r="B301" s="681" t="s">
        <v>841</v>
      </c>
      <c r="C301" s="682"/>
      <c r="D301" s="663">
        <f>SUM(D302:D302)</f>
        <v>0</v>
      </c>
      <c r="E301" s="663">
        <f>SUM(E302:E302)</f>
        <v>0</v>
      </c>
      <c r="F301" s="771"/>
      <c r="G301" s="683"/>
      <c r="H301" s="684"/>
      <c r="I301" s="679"/>
      <c r="J301" s="683"/>
      <c r="K301" s="684"/>
      <c r="L301" s="778"/>
      <c r="M301" s="683"/>
      <c r="N301" s="684">
        <f>N302</f>
        <v>0</v>
      </c>
      <c r="O301" s="279"/>
      <c r="P301" s="683"/>
      <c r="Q301" s="684"/>
      <c r="R301" s="687"/>
    </row>
    <row r="302" spans="1:18" ht="33" customHeight="1">
      <c r="A302" s="688" t="s">
        <v>958</v>
      </c>
      <c r="B302" s="641" t="s">
        <v>959</v>
      </c>
      <c r="C302" s="689"/>
      <c r="D302" s="643">
        <f>G302+J302+M302</f>
        <v>0</v>
      </c>
      <c r="E302" s="643">
        <f>H302+K302+N302+Q302</f>
        <v>0</v>
      </c>
      <c r="F302" s="676"/>
      <c r="G302" s="359"/>
      <c r="H302" s="358"/>
      <c r="I302" s="690"/>
      <c r="J302" s="359"/>
      <c r="K302" s="358"/>
      <c r="L302" s="416"/>
      <c r="M302" s="359"/>
      <c r="N302" s="358"/>
      <c r="O302" s="416"/>
      <c r="P302" s="359"/>
      <c r="Q302" s="358"/>
      <c r="R302" s="416"/>
    </row>
    <row r="303" spans="1:18" ht="18.75" customHeight="1">
      <c r="A303" s="134" t="s">
        <v>249</v>
      </c>
      <c r="B303" s="699" t="s">
        <v>842</v>
      </c>
      <c r="C303" s="700">
        <f>SUM(C304:C304)</f>
        <v>10000</v>
      </c>
      <c r="D303" s="664">
        <f>SUM(D304:D304)</f>
        <v>10000</v>
      </c>
      <c r="E303" s="664">
        <f>SUM(E304:E304)</f>
        <v>11271</v>
      </c>
      <c r="F303" s="774">
        <f aca="true" t="shared" si="54" ref="F303:F320">E303/D303*100</f>
        <v>112.71</v>
      </c>
      <c r="G303" s="702">
        <f>G304</f>
        <v>10000</v>
      </c>
      <c r="H303" s="703">
        <f>H304</f>
        <v>11271</v>
      </c>
      <c r="I303" s="665">
        <f t="shared" si="53"/>
        <v>112.71</v>
      </c>
      <c r="J303" s="702"/>
      <c r="K303" s="703"/>
      <c r="L303" s="748"/>
      <c r="M303" s="702"/>
      <c r="N303" s="703"/>
      <c r="O303" s="265"/>
      <c r="P303" s="702"/>
      <c r="Q303" s="703"/>
      <c r="R303" s="427"/>
    </row>
    <row r="304" spans="1:18" ht="15.75" customHeight="1">
      <c r="A304" s="878" t="s">
        <v>140</v>
      </c>
      <c r="B304" s="885" t="s">
        <v>250</v>
      </c>
      <c r="C304" s="747">
        <v>10000</v>
      </c>
      <c r="D304" s="696">
        <f>G304+J304+M304+P304</f>
        <v>10000</v>
      </c>
      <c r="E304" s="696">
        <f>H304+K304+N304+Q304</f>
        <v>11271</v>
      </c>
      <c r="F304" s="697">
        <f t="shared" si="54"/>
        <v>112.71</v>
      </c>
      <c r="G304" s="677">
        <v>10000</v>
      </c>
      <c r="H304" s="678">
        <v>11271</v>
      </c>
      <c r="I304" s="719">
        <f t="shared" si="53"/>
        <v>112.71</v>
      </c>
      <c r="J304" s="677"/>
      <c r="K304" s="678"/>
      <c r="L304" s="417"/>
      <c r="M304" s="677"/>
      <c r="N304" s="678"/>
      <c r="O304" s="190"/>
      <c r="P304" s="677"/>
      <c r="Q304" s="678"/>
      <c r="R304" s="417"/>
    </row>
    <row r="305" spans="1:18" ht="16.5" customHeight="1">
      <c r="A305" s="866" t="s">
        <v>251</v>
      </c>
      <c r="B305" s="681" t="s">
        <v>378</v>
      </c>
      <c r="C305" s="682"/>
      <c r="D305" s="663">
        <f>SUM(D306:D307)</f>
        <v>41411</v>
      </c>
      <c r="E305" s="663">
        <f>SUM(E306:E307)</f>
        <v>26068</v>
      </c>
      <c r="F305" s="771">
        <f t="shared" si="54"/>
        <v>62.949457873511875</v>
      </c>
      <c r="G305" s="683">
        <f>SUM(G306:G307)</f>
        <v>41411</v>
      </c>
      <c r="H305" s="684">
        <f>SUM(H306:H307)</f>
        <v>26068</v>
      </c>
      <c r="I305" s="719">
        <f t="shared" si="53"/>
        <v>62.949457873511875</v>
      </c>
      <c r="J305" s="683"/>
      <c r="K305" s="684"/>
      <c r="L305" s="778"/>
      <c r="M305" s="683"/>
      <c r="N305" s="684"/>
      <c r="O305" s="279"/>
      <c r="P305" s="683"/>
      <c r="Q305" s="684"/>
      <c r="R305" s="687"/>
    </row>
    <row r="306" spans="1:18" ht="45.75" customHeight="1">
      <c r="A306" s="146" t="s">
        <v>976</v>
      </c>
      <c r="B306" s="913" t="s">
        <v>252</v>
      </c>
      <c r="C306" s="707"/>
      <c r="D306" s="643">
        <f>G306+J306+M306+P306</f>
        <v>0</v>
      </c>
      <c r="E306" s="643">
        <f>H306+K306+N306+Q306</f>
        <v>26068</v>
      </c>
      <c r="F306" s="676" t="e">
        <f>E306/D306*100</f>
        <v>#DIV/0!</v>
      </c>
      <c r="G306" s="710"/>
      <c r="H306" s="711">
        <v>26068</v>
      </c>
      <c r="I306" s="709" t="e">
        <f>H306/G306*100</f>
        <v>#DIV/0!</v>
      </c>
      <c r="J306" s="710"/>
      <c r="K306" s="711"/>
      <c r="L306" s="426"/>
      <c r="M306" s="710"/>
      <c r="N306" s="711"/>
      <c r="O306" s="225"/>
      <c r="P306" s="710"/>
      <c r="Q306" s="711"/>
      <c r="R306" s="426"/>
    </row>
    <row r="307" spans="1:18" s="692" customFormat="1" ht="43.5" customHeight="1" thickBot="1">
      <c r="A307" s="872" t="s">
        <v>253</v>
      </c>
      <c r="B307" s="694" t="s">
        <v>246</v>
      </c>
      <c r="C307" s="695"/>
      <c r="D307" s="696">
        <f>G307+J307+M307+P307</f>
        <v>41411</v>
      </c>
      <c r="E307" s="696">
        <f>H307+K307+N307+Q307</f>
        <v>0</v>
      </c>
      <c r="F307" s="697">
        <f t="shared" si="54"/>
        <v>0</v>
      </c>
      <c r="G307" s="523">
        <v>41411</v>
      </c>
      <c r="H307" s="524"/>
      <c r="I307" s="690">
        <f t="shared" si="53"/>
        <v>0</v>
      </c>
      <c r="J307" s="523"/>
      <c r="K307" s="524"/>
      <c r="L307" s="424"/>
      <c r="M307" s="523"/>
      <c r="N307" s="524"/>
      <c r="O307" s="237"/>
      <c r="P307" s="523"/>
      <c r="Q307" s="524"/>
      <c r="R307" s="424"/>
    </row>
    <row r="308" spans="1:18" ht="39.75" customHeight="1" thickBot="1" thickTop="1">
      <c r="A308" s="652" t="s">
        <v>254</v>
      </c>
      <c r="B308" s="653" t="s">
        <v>852</v>
      </c>
      <c r="C308" s="819">
        <f>C309+C312+C314+C316+C319</f>
        <v>4803048</v>
      </c>
      <c r="D308" s="914">
        <f>G308+J308+M308+P308</f>
        <v>5204825</v>
      </c>
      <c r="E308" s="619">
        <f>H308+K308+N308</f>
        <v>973545</v>
      </c>
      <c r="F308" s="657">
        <f t="shared" si="54"/>
        <v>18.704663461307536</v>
      </c>
      <c r="G308" s="619">
        <f>G309+G312+G314+G316+G319+G321</f>
        <v>371777</v>
      </c>
      <c r="H308" s="619">
        <f>H309+H312+H314+H316+H319+H321</f>
        <v>8741</v>
      </c>
      <c r="I308" s="915">
        <f t="shared" si="53"/>
        <v>2.3511406031034734</v>
      </c>
      <c r="J308" s="819">
        <f>J309+J312+J314+J316+J319+J321</f>
        <v>0</v>
      </c>
      <c r="K308" s="619">
        <f>K309+K312+K314+K316+K319+K321</f>
        <v>0</v>
      </c>
      <c r="L308" s="743" t="e">
        <f>K308/J308*100</f>
        <v>#DIV/0!</v>
      </c>
      <c r="M308" s="819">
        <f>M309+M312+M314+M316+M319+M321</f>
        <v>4833048</v>
      </c>
      <c r="N308" s="619">
        <f>N309+N312+N314+N316+N319+N321</f>
        <v>964804</v>
      </c>
      <c r="O308" s="657">
        <f>N308/M308*100</f>
        <v>19.962640553125066</v>
      </c>
      <c r="P308" s="658"/>
      <c r="Q308" s="655"/>
      <c r="R308" s="659"/>
    </row>
    <row r="309" spans="1:18" ht="28.5" customHeight="1" thickTop="1">
      <c r="A309" s="833" t="s">
        <v>255</v>
      </c>
      <c r="B309" s="904" t="s">
        <v>855</v>
      </c>
      <c r="C309" s="858"/>
      <c r="D309" s="836">
        <f>SUM(D310:D311)</f>
        <v>55064</v>
      </c>
      <c r="E309" s="836">
        <f>SUM(E310:E311)</f>
        <v>8741</v>
      </c>
      <c r="F309" s="667">
        <f t="shared" si="54"/>
        <v>15.874255411884352</v>
      </c>
      <c r="G309" s="835">
        <f>SUM(G310:G311)</f>
        <v>55064</v>
      </c>
      <c r="H309" s="533">
        <f>SUM(H310:H311)</f>
        <v>8741</v>
      </c>
      <c r="I309" s="667">
        <f t="shared" si="53"/>
        <v>15.874255411884352</v>
      </c>
      <c r="J309" s="835"/>
      <c r="K309" s="533"/>
      <c r="L309" s="837"/>
      <c r="M309" s="835"/>
      <c r="N309" s="533"/>
      <c r="O309" s="667"/>
      <c r="P309" s="835"/>
      <c r="Q309" s="533"/>
      <c r="R309" s="837"/>
    </row>
    <row r="310" spans="1:18" s="916" customFormat="1" ht="33.75">
      <c r="A310" s="705" t="s">
        <v>41</v>
      </c>
      <c r="B310" s="913" t="s">
        <v>256</v>
      </c>
      <c r="C310" s="707"/>
      <c r="D310" s="708">
        <f>G310+J310+M310+P310</f>
        <v>0</v>
      </c>
      <c r="E310" s="708">
        <f>H310+K310+N310+Q310</f>
        <v>8741</v>
      </c>
      <c r="F310" s="709" t="e">
        <f t="shared" si="54"/>
        <v>#DIV/0!</v>
      </c>
      <c r="G310" s="710"/>
      <c r="H310" s="711">
        <v>8741</v>
      </c>
      <c r="I310" s="709" t="e">
        <f>H310/G310*100</f>
        <v>#DIV/0!</v>
      </c>
      <c r="J310" s="710"/>
      <c r="K310" s="711"/>
      <c r="L310" s="426"/>
      <c r="M310" s="710"/>
      <c r="N310" s="711"/>
      <c r="O310" s="709"/>
      <c r="P310" s="710"/>
      <c r="Q310" s="711"/>
      <c r="R310" s="426"/>
    </row>
    <row r="311" spans="1:18" s="692" customFormat="1" ht="33.75">
      <c r="A311" s="693" t="s">
        <v>976</v>
      </c>
      <c r="B311" s="694" t="s">
        <v>256</v>
      </c>
      <c r="C311" s="695"/>
      <c r="D311" s="696">
        <f>G311+J311+M311+P311</f>
        <v>55064</v>
      </c>
      <c r="E311" s="696">
        <f>H311+K311+N311+Q311</f>
        <v>0</v>
      </c>
      <c r="F311" s="679">
        <f t="shared" si="54"/>
        <v>0</v>
      </c>
      <c r="G311" s="523">
        <v>55064</v>
      </c>
      <c r="H311" s="524"/>
      <c r="I311" s="690">
        <f>H311/G311*100</f>
        <v>0</v>
      </c>
      <c r="J311" s="523"/>
      <c r="K311" s="524"/>
      <c r="L311" s="424"/>
      <c r="M311" s="523"/>
      <c r="N311" s="524"/>
      <c r="O311" s="679"/>
      <c r="P311" s="523"/>
      <c r="Q311" s="524"/>
      <c r="R311" s="424"/>
    </row>
    <row r="312" spans="1:18" ht="24">
      <c r="A312" s="680" t="s">
        <v>257</v>
      </c>
      <c r="B312" s="867" t="s">
        <v>258</v>
      </c>
      <c r="C312" s="682">
        <f>C313</f>
        <v>4803048</v>
      </c>
      <c r="D312" s="663">
        <f>D313</f>
        <v>4803048</v>
      </c>
      <c r="E312" s="663">
        <f>E313</f>
        <v>934804</v>
      </c>
      <c r="F312" s="685">
        <f t="shared" si="54"/>
        <v>19.462724503273755</v>
      </c>
      <c r="G312" s="683"/>
      <c r="H312" s="684"/>
      <c r="I312" s="665"/>
      <c r="J312" s="683"/>
      <c r="K312" s="684"/>
      <c r="L312" s="687"/>
      <c r="M312" s="683">
        <f>M313</f>
        <v>4803048</v>
      </c>
      <c r="N312" s="684">
        <f>N313</f>
        <v>934804</v>
      </c>
      <c r="O312" s="831">
        <f>N312/M312*100</f>
        <v>19.462724503273755</v>
      </c>
      <c r="P312" s="683"/>
      <c r="Q312" s="684"/>
      <c r="R312" s="687"/>
    </row>
    <row r="313" spans="1:18" ht="42.75" customHeight="1">
      <c r="A313" s="688" t="s">
        <v>962</v>
      </c>
      <c r="B313" s="691" t="s">
        <v>259</v>
      </c>
      <c r="C313" s="689">
        <v>4803048</v>
      </c>
      <c r="D313" s="643">
        <f aca="true" t="shared" si="55" ref="D313:E315">G313+J313+M313+P313</f>
        <v>4803048</v>
      </c>
      <c r="E313" s="643">
        <f t="shared" si="55"/>
        <v>934804</v>
      </c>
      <c r="F313" s="690">
        <f t="shared" si="54"/>
        <v>19.462724503273755</v>
      </c>
      <c r="G313" s="359"/>
      <c r="H313" s="358"/>
      <c r="I313" s="841"/>
      <c r="J313" s="359"/>
      <c r="K313" s="358"/>
      <c r="L313" s="416"/>
      <c r="M313" s="359">
        <v>4803048</v>
      </c>
      <c r="N313" s="358">
        <v>934804</v>
      </c>
      <c r="O313" s="679">
        <f>N313/M313*100</f>
        <v>19.462724503273755</v>
      </c>
      <c r="P313" s="359"/>
      <c r="Q313" s="358"/>
      <c r="R313" s="416"/>
    </row>
    <row r="314" spans="1:18" s="784" customFormat="1" ht="23.25" customHeight="1">
      <c r="A314" s="698" t="s">
        <v>260</v>
      </c>
      <c r="B314" s="877" t="s">
        <v>261</v>
      </c>
      <c r="C314" s="700"/>
      <c r="D314" s="664">
        <f>D315</f>
        <v>0</v>
      </c>
      <c r="E314" s="752">
        <f t="shared" si="55"/>
        <v>0</v>
      </c>
      <c r="F314" s="665" t="e">
        <f t="shared" si="54"/>
        <v>#DIV/0!</v>
      </c>
      <c r="G314" s="702"/>
      <c r="H314" s="703"/>
      <c r="I314" s="665"/>
      <c r="J314" s="702">
        <f>J315</f>
        <v>0</v>
      </c>
      <c r="K314" s="703">
        <f>K315</f>
        <v>0</v>
      </c>
      <c r="L314" s="427" t="e">
        <f>K314/J314*100</f>
        <v>#DIV/0!</v>
      </c>
      <c r="M314" s="702"/>
      <c r="N314" s="703"/>
      <c r="O314" s="665"/>
      <c r="P314" s="702"/>
      <c r="Q314" s="703"/>
      <c r="R314" s="427"/>
    </row>
    <row r="315" spans="1:18" ht="56.25" customHeight="1">
      <c r="A315" s="688" t="s">
        <v>950</v>
      </c>
      <c r="B315" s="691" t="s">
        <v>187</v>
      </c>
      <c r="C315" s="689"/>
      <c r="D315" s="643">
        <f t="shared" si="55"/>
        <v>0</v>
      </c>
      <c r="E315" s="643">
        <f t="shared" si="55"/>
        <v>0</v>
      </c>
      <c r="F315" s="690" t="e">
        <f t="shared" si="54"/>
        <v>#DIV/0!</v>
      </c>
      <c r="G315" s="523"/>
      <c r="H315" s="358"/>
      <c r="I315" s="841"/>
      <c r="J315" s="359"/>
      <c r="K315" s="358"/>
      <c r="L315" s="417" t="e">
        <f>K315/J315*100</f>
        <v>#DIV/0!</v>
      </c>
      <c r="M315" s="359"/>
      <c r="N315" s="358"/>
      <c r="O315" s="690"/>
      <c r="P315" s="359"/>
      <c r="Q315" s="358"/>
      <c r="R315" s="416"/>
    </row>
    <row r="316" spans="1:18" ht="15.75" customHeight="1">
      <c r="A316" s="809" t="s">
        <v>262</v>
      </c>
      <c r="B316" s="869" t="s">
        <v>888</v>
      </c>
      <c r="C316" s="811"/>
      <c r="D316" s="752">
        <f>SUM(D317:D318)</f>
        <v>30000</v>
      </c>
      <c r="E316" s="752">
        <f>SUM(E317:E318)</f>
        <v>30000</v>
      </c>
      <c r="F316" s="823">
        <f t="shared" si="54"/>
        <v>100</v>
      </c>
      <c r="G316" s="816"/>
      <c r="H316" s="814"/>
      <c r="I316" s="823"/>
      <c r="J316" s="816"/>
      <c r="K316" s="814"/>
      <c r="L316" s="817"/>
      <c r="M316" s="816">
        <f>SUM(M317:M318)</f>
        <v>30000</v>
      </c>
      <c r="N316" s="814">
        <f>SUM(N317:N318)</f>
        <v>30000</v>
      </c>
      <c r="O316" s="823">
        <f>N316/M316*100</f>
        <v>100</v>
      </c>
      <c r="P316" s="816"/>
      <c r="Q316" s="814"/>
      <c r="R316" s="817"/>
    </row>
    <row r="317" spans="1:18" s="821" customFormat="1" ht="57" customHeight="1">
      <c r="A317" s="917" t="s">
        <v>37</v>
      </c>
      <c r="B317" s="918" t="s">
        <v>38</v>
      </c>
      <c r="C317" s="919"/>
      <c r="D317" s="708">
        <f>G317+J317+M317+P317</f>
        <v>0</v>
      </c>
      <c r="E317" s="708">
        <f>H317+K317+N317+Q317</f>
        <v>0</v>
      </c>
      <c r="F317" s="920" t="e">
        <f t="shared" si="54"/>
        <v>#DIV/0!</v>
      </c>
      <c r="G317" s="738"/>
      <c r="H317" s="739"/>
      <c r="I317" s="920"/>
      <c r="J317" s="738"/>
      <c r="K317" s="739"/>
      <c r="L317" s="741"/>
      <c r="M317" s="738"/>
      <c r="N317" s="739"/>
      <c r="O317" s="920" t="e">
        <f>N317/M317*100</f>
        <v>#DIV/0!</v>
      </c>
      <c r="P317" s="738"/>
      <c r="Q317" s="739"/>
      <c r="R317" s="741"/>
    </row>
    <row r="318" spans="1:18" ht="44.25" customHeight="1">
      <c r="A318" s="693" t="s">
        <v>191</v>
      </c>
      <c r="B318" s="694" t="s">
        <v>192</v>
      </c>
      <c r="C318" s="695"/>
      <c r="D318" s="696">
        <f>G318+J318+M318+P318</f>
        <v>30000</v>
      </c>
      <c r="E318" s="696">
        <f>H318+K318+N318+Q318</f>
        <v>30000</v>
      </c>
      <c r="F318" s="921">
        <f t="shared" si="54"/>
        <v>100</v>
      </c>
      <c r="G318" s="523"/>
      <c r="H318" s="524"/>
      <c r="I318" s="685"/>
      <c r="J318" s="523"/>
      <c r="K318" s="524"/>
      <c r="L318" s="424"/>
      <c r="M318" s="523">
        <v>30000</v>
      </c>
      <c r="N318" s="524">
        <v>30000</v>
      </c>
      <c r="O318" s="679">
        <f>N318/M318*100</f>
        <v>100</v>
      </c>
      <c r="P318" s="523"/>
      <c r="Q318" s="524"/>
      <c r="R318" s="424"/>
    </row>
    <row r="319" spans="1:18" ht="13.5" customHeight="1">
      <c r="A319" s="809" t="s">
        <v>263</v>
      </c>
      <c r="B319" s="869" t="s">
        <v>897</v>
      </c>
      <c r="C319" s="811"/>
      <c r="D319" s="752">
        <f>D320</f>
        <v>0</v>
      </c>
      <c r="E319" s="752">
        <f>E320</f>
        <v>0</v>
      </c>
      <c r="F319" s="823" t="e">
        <f t="shared" si="54"/>
        <v>#DIV/0!</v>
      </c>
      <c r="G319" s="816"/>
      <c r="H319" s="814"/>
      <c r="I319" s="823"/>
      <c r="J319" s="816"/>
      <c r="K319" s="814"/>
      <c r="L319" s="817"/>
      <c r="M319" s="816">
        <f>M320</f>
        <v>0</v>
      </c>
      <c r="N319" s="814">
        <f>N320</f>
        <v>0</v>
      </c>
      <c r="O319" s="823" t="e">
        <f>N319/M319*100</f>
        <v>#DIV/0!</v>
      </c>
      <c r="P319" s="816"/>
      <c r="Q319" s="814"/>
      <c r="R319" s="817"/>
    </row>
    <row r="320" spans="1:18" ht="42.75" customHeight="1">
      <c r="A320" s="688" t="s">
        <v>962</v>
      </c>
      <c r="B320" s="691" t="s">
        <v>259</v>
      </c>
      <c r="C320" s="689"/>
      <c r="D320" s="643">
        <f>G320+J320+M320+P320</f>
        <v>0</v>
      </c>
      <c r="E320" s="643">
        <f>H320+K320+N320+Q320</f>
        <v>0</v>
      </c>
      <c r="F320" s="922" t="e">
        <f t="shared" si="54"/>
        <v>#DIV/0!</v>
      </c>
      <c r="G320" s="359"/>
      <c r="H320" s="358"/>
      <c r="I320" s="841"/>
      <c r="J320" s="359"/>
      <c r="K320" s="358"/>
      <c r="L320" s="416"/>
      <c r="M320" s="359"/>
      <c r="N320" s="358"/>
      <c r="O320" s="679" t="e">
        <f>N320/M320*100</f>
        <v>#DIV/0!</v>
      </c>
      <c r="P320" s="359"/>
      <c r="Q320" s="358"/>
      <c r="R320" s="416"/>
    </row>
    <row r="321" spans="1:18" ht="16.5" customHeight="1">
      <c r="A321" s="134" t="s">
        <v>264</v>
      </c>
      <c r="B321" s="699" t="s">
        <v>378</v>
      </c>
      <c r="C321" s="700"/>
      <c r="D321" s="664">
        <f>SUM(D322:D322)</f>
        <v>316713</v>
      </c>
      <c r="E321" s="664">
        <f>E322</f>
        <v>0</v>
      </c>
      <c r="F321" s="774"/>
      <c r="G321" s="702">
        <f>G322</f>
        <v>316713</v>
      </c>
      <c r="H321" s="703">
        <f>H322</f>
        <v>0</v>
      </c>
      <c r="I321" s="719"/>
      <c r="J321" s="702"/>
      <c r="K321" s="703"/>
      <c r="L321" s="748"/>
      <c r="M321" s="702"/>
      <c r="N321" s="703"/>
      <c r="O321" s="265"/>
      <c r="P321" s="702"/>
      <c r="Q321" s="703"/>
      <c r="R321" s="427"/>
    </row>
    <row r="322" spans="1:18" ht="32.25" customHeight="1">
      <c r="A322" s="672" t="s">
        <v>976</v>
      </c>
      <c r="B322" s="879" t="s">
        <v>256</v>
      </c>
      <c r="C322" s="747"/>
      <c r="D322" s="675">
        <f>G322+J322+M322+P322</f>
        <v>316713</v>
      </c>
      <c r="E322" s="675">
        <f>H322+K322+N322+Q322</f>
        <v>0</v>
      </c>
      <c r="F322" s="719"/>
      <c r="G322" s="677">
        <v>316713</v>
      </c>
      <c r="H322" s="678"/>
      <c r="I322" s="665"/>
      <c r="J322" s="677"/>
      <c r="K322" s="678"/>
      <c r="L322" s="417"/>
      <c r="M322" s="677"/>
      <c r="N322" s="678"/>
      <c r="O322" s="719"/>
      <c r="P322" s="677"/>
      <c r="Q322" s="678"/>
      <c r="R322" s="417"/>
    </row>
    <row r="323" spans="1:18" ht="24.75" thickBot="1">
      <c r="A323" s="923" t="s">
        <v>265</v>
      </c>
      <c r="B323" s="924" t="s">
        <v>920</v>
      </c>
      <c r="C323" s="925">
        <f>C324</f>
        <v>0</v>
      </c>
      <c r="D323" s="926">
        <f>G323+J323+M323+P323</f>
        <v>12164</v>
      </c>
      <c r="E323" s="926">
        <f>E324</f>
        <v>0</v>
      </c>
      <c r="F323" s="927">
        <f>E323/D323*100</f>
        <v>0</v>
      </c>
      <c r="G323" s="928">
        <f>G324</f>
        <v>12164</v>
      </c>
      <c r="H323" s="929">
        <f>H324</f>
        <v>0</v>
      </c>
      <c r="I323" s="927">
        <f aca="true" t="shared" si="56" ref="I323:I335">H323/G323*100</f>
        <v>0</v>
      </c>
      <c r="J323" s="928"/>
      <c r="K323" s="929"/>
      <c r="L323" s="930"/>
      <c r="M323" s="928"/>
      <c r="N323" s="929"/>
      <c r="O323" s="931"/>
      <c r="P323" s="928"/>
      <c r="Q323" s="929"/>
      <c r="R323" s="930"/>
    </row>
    <row r="324" spans="1:18" ht="13.5" customHeight="1" thickTop="1">
      <c r="A324" s="833" t="s">
        <v>266</v>
      </c>
      <c r="B324" s="834" t="s">
        <v>378</v>
      </c>
      <c r="C324" s="858">
        <f>C329</f>
        <v>0</v>
      </c>
      <c r="D324" s="836">
        <f>D326+D327+D330+D325</f>
        <v>12164</v>
      </c>
      <c r="E324" s="836">
        <f>E326+E327+E330+E325</f>
        <v>0</v>
      </c>
      <c r="F324" s="667">
        <f>E324/D324*100</f>
        <v>0</v>
      </c>
      <c r="G324" s="835">
        <f>G326+G327+G330+G325</f>
        <v>12164</v>
      </c>
      <c r="H324" s="533">
        <f>H327+H326+H330+H325</f>
        <v>0</v>
      </c>
      <c r="I324" s="667">
        <f t="shared" si="56"/>
        <v>0</v>
      </c>
      <c r="J324" s="835"/>
      <c r="K324" s="533"/>
      <c r="L324" s="837"/>
      <c r="M324" s="835"/>
      <c r="N324" s="533"/>
      <c r="O324" s="380"/>
      <c r="P324" s="835"/>
      <c r="Q324" s="533"/>
      <c r="R324" s="837"/>
    </row>
    <row r="325" spans="1:18" s="821" customFormat="1" ht="36" customHeight="1">
      <c r="A325" s="688" t="s">
        <v>976</v>
      </c>
      <c r="B325" s="706" t="s">
        <v>256</v>
      </c>
      <c r="C325" s="876"/>
      <c r="D325" s="708">
        <f aca="true" t="shared" si="57" ref="D325:E330">G325+J325+M325+P325</f>
        <v>12164</v>
      </c>
      <c r="E325" s="932">
        <f t="shared" si="57"/>
        <v>0</v>
      </c>
      <c r="F325" s="709"/>
      <c r="G325" s="710">
        <v>12164</v>
      </c>
      <c r="H325" s="711"/>
      <c r="I325" s="709"/>
      <c r="J325" s="710"/>
      <c r="K325" s="711"/>
      <c r="L325" s="426"/>
      <c r="M325" s="710"/>
      <c r="N325" s="711"/>
      <c r="O325" s="225"/>
      <c r="P325" s="710"/>
      <c r="Q325" s="711"/>
      <c r="R325" s="426"/>
    </row>
    <row r="326" spans="1:18" s="853" customFormat="1" ht="68.25" customHeight="1">
      <c r="A326" s="688" t="s">
        <v>267</v>
      </c>
      <c r="B326" s="691" t="s">
        <v>268</v>
      </c>
      <c r="C326" s="689"/>
      <c r="D326" s="643">
        <f t="shared" si="57"/>
        <v>0</v>
      </c>
      <c r="E326" s="933">
        <f t="shared" si="57"/>
        <v>0</v>
      </c>
      <c r="F326" s="690" t="e">
        <f>E326/D326*100</f>
        <v>#DIV/0!</v>
      </c>
      <c r="G326" s="359"/>
      <c r="H326" s="358"/>
      <c r="I326" s="934" t="e">
        <f>H326/G326*100</f>
        <v>#DIV/0!</v>
      </c>
      <c r="J326" s="359"/>
      <c r="K326" s="358"/>
      <c r="L326" s="416"/>
      <c r="M326" s="359"/>
      <c r="N326" s="358"/>
      <c r="O326" s="194"/>
      <c r="P326" s="359"/>
      <c r="Q326" s="358"/>
      <c r="R326" s="416"/>
    </row>
    <row r="327" spans="1:18" ht="30" customHeight="1">
      <c r="A327" s="688" t="s">
        <v>962</v>
      </c>
      <c r="B327" s="691" t="s">
        <v>269</v>
      </c>
      <c r="C327" s="935"/>
      <c r="D327" s="643">
        <f t="shared" si="57"/>
        <v>0</v>
      </c>
      <c r="E327" s="933">
        <f t="shared" si="57"/>
        <v>0</v>
      </c>
      <c r="F327" s="936" t="e">
        <f>E327/D327*100</f>
        <v>#DIV/0!</v>
      </c>
      <c r="G327" s="935">
        <f>SUM(G328:G329)</f>
        <v>0</v>
      </c>
      <c r="H327" s="933">
        <f>SUM(H328:H329)</f>
        <v>0</v>
      </c>
      <c r="I327" s="934" t="e">
        <f>H327/G327*100</f>
        <v>#DIV/0!</v>
      </c>
      <c r="J327" s="359"/>
      <c r="K327" s="358"/>
      <c r="L327" s="749"/>
      <c r="M327" s="359"/>
      <c r="N327" s="358"/>
      <c r="O327" s="194"/>
      <c r="P327" s="359"/>
      <c r="Q327" s="358"/>
      <c r="R327" s="416"/>
    </row>
    <row r="328" spans="1:18" ht="13.5" customHeight="1">
      <c r="A328" s="688"/>
      <c r="B328" s="937" t="s">
        <v>270</v>
      </c>
      <c r="C328" s="938"/>
      <c r="D328" s="939">
        <f t="shared" si="57"/>
        <v>0</v>
      </c>
      <c r="E328" s="940">
        <f t="shared" si="57"/>
        <v>0</v>
      </c>
      <c r="F328" s="941"/>
      <c r="G328" s="942"/>
      <c r="H328" s="943"/>
      <c r="I328" s="944"/>
      <c r="J328" s="359"/>
      <c r="K328" s="358"/>
      <c r="L328" s="749"/>
      <c r="M328" s="359"/>
      <c r="N328" s="358"/>
      <c r="O328" s="194"/>
      <c r="P328" s="359"/>
      <c r="Q328" s="358"/>
      <c r="R328" s="416"/>
    </row>
    <row r="329" spans="1:18" ht="13.5" customHeight="1">
      <c r="A329" s="688"/>
      <c r="B329" s="945" t="s">
        <v>271</v>
      </c>
      <c r="C329" s="938"/>
      <c r="D329" s="939">
        <f t="shared" si="57"/>
        <v>0</v>
      </c>
      <c r="E329" s="940">
        <f t="shared" si="57"/>
        <v>0</v>
      </c>
      <c r="F329" s="941" t="e">
        <f aca="true" t="shared" si="58" ref="F329:F336">E329/D329*100</f>
        <v>#DIV/0!</v>
      </c>
      <c r="G329" s="942"/>
      <c r="H329" s="943"/>
      <c r="I329" s="944" t="e">
        <f>H329/G329*100</f>
        <v>#DIV/0!</v>
      </c>
      <c r="J329" s="359"/>
      <c r="K329" s="358"/>
      <c r="L329" s="749"/>
      <c r="M329" s="359"/>
      <c r="N329" s="358"/>
      <c r="O329" s="194"/>
      <c r="P329" s="359"/>
      <c r="Q329" s="358"/>
      <c r="R329" s="416"/>
    </row>
    <row r="330" spans="1:18" ht="39" customHeight="1" thickBot="1">
      <c r="A330" s="688" t="s">
        <v>272</v>
      </c>
      <c r="B330" s="691" t="s">
        <v>269</v>
      </c>
      <c r="C330" s="935"/>
      <c r="D330" s="643">
        <f t="shared" si="57"/>
        <v>0</v>
      </c>
      <c r="E330" s="933">
        <f t="shared" si="57"/>
        <v>0</v>
      </c>
      <c r="F330" s="936"/>
      <c r="G330" s="935"/>
      <c r="H330" s="933"/>
      <c r="I330" s="946"/>
      <c r="J330" s="359"/>
      <c r="K330" s="358"/>
      <c r="L330" s="749"/>
      <c r="M330" s="359"/>
      <c r="N330" s="358"/>
      <c r="O330" s="194"/>
      <c r="P330" s="359"/>
      <c r="Q330" s="358"/>
      <c r="R330" s="416"/>
    </row>
    <row r="331" spans="1:18" ht="18" customHeight="1" thickBot="1" thickTop="1">
      <c r="A331" s="947" t="s">
        <v>273</v>
      </c>
      <c r="B331" s="948"/>
      <c r="C331" s="949">
        <f>C323+C308+C296+C270+C261+C205+C201+C212+C149+C134+C95+C86+C81+C59+C43+C30+C26+C10+C7</f>
        <v>291951255</v>
      </c>
      <c r="D331" s="949">
        <f>D323+D308+D296+D270+D261+D205+D201+D212+D149+D134+D95+D86+D81+D59+D43+D30+D26+D10+D7</f>
        <v>299712187</v>
      </c>
      <c r="E331" s="949">
        <f>H331+K331+N331+Q331</f>
        <v>85549558</v>
      </c>
      <c r="F331" s="377">
        <f t="shared" si="58"/>
        <v>28.543903688507665</v>
      </c>
      <c r="G331" s="949">
        <f>G10+G26+G30+G43+G59+G86+G95+G134+G149+G201+G205+G212+G261+G270+G296+G308+G323</f>
        <v>190169756</v>
      </c>
      <c r="H331" s="949">
        <f>H10+H26+H30+H43+H59+H86+H95+H134+H149+H201+H205+H212+H261+H270+H296+H308+H323</f>
        <v>51833508</v>
      </c>
      <c r="I331" s="657">
        <f t="shared" si="56"/>
        <v>27.256441344963388</v>
      </c>
      <c r="J331" s="950">
        <f>J7+J10+J30+J43+J59+J86+J95+J134+J149+J201+J205+J212+J261+J270+J296+J308+J323+J81</f>
        <v>20754917</v>
      </c>
      <c r="K331" s="951">
        <f>K7+K10+K30+K43+K59+K86+K95+K134+K149+K201+K205+K212+K261+K270+K296+K308+K323+K81</f>
        <v>5282298</v>
      </c>
      <c r="L331" s="743">
        <f>K331/J331*100</f>
        <v>25.45082690525816</v>
      </c>
      <c r="M331" s="949">
        <f>M7+M10+M26+M30+M43+M59+M86+M95+M134+M149+M201+M205+M212+M261+M270+M296+M308+M323+M81</f>
        <v>80114328</v>
      </c>
      <c r="N331" s="949">
        <f>N7+N10+N26+N30+N43+N59+N86+N95+N134+N149+N201+N205+N212+N261+N270+N296+N308+N323+N81</f>
        <v>25611044</v>
      </c>
      <c r="O331" s="657">
        <f>N331/M331*100</f>
        <v>31.96811936062173</v>
      </c>
      <c r="P331" s="950">
        <f>P10+P30+P43+P59+P86+P95+P134+P149+P201+P205+P212+P261+P270+P296+P308+P323</f>
        <v>8673186</v>
      </c>
      <c r="Q331" s="951">
        <f>Q10+Q30+Q43+Q59+Q86+Q95+Q134+Q149+Q201+Q205+Q212+Q261+Q270+Q296+Q308+Q323</f>
        <v>2822708</v>
      </c>
      <c r="R331" s="743">
        <f>Q331/P331*100</f>
        <v>32.5452261717897</v>
      </c>
    </row>
    <row r="332" spans="1:18" s="784" customFormat="1" ht="18" customHeight="1" thickTop="1">
      <c r="A332" s="952" t="s">
        <v>274</v>
      </c>
      <c r="B332" s="953"/>
      <c r="C332" s="954">
        <f>C331-C336</f>
        <v>263413745</v>
      </c>
      <c r="D332" s="955">
        <f>G332+M332</f>
        <v>270284084</v>
      </c>
      <c r="E332" s="955">
        <f aca="true" t="shared" si="59" ref="D332:E335">H332+K332+N332+Q332</f>
        <v>77444552</v>
      </c>
      <c r="F332" s="372">
        <f t="shared" si="58"/>
        <v>28.653019761237587</v>
      </c>
      <c r="G332" s="956">
        <f>G331</f>
        <v>190169756</v>
      </c>
      <c r="H332" s="957">
        <f>H331</f>
        <v>51833508</v>
      </c>
      <c r="I332" s="372">
        <f t="shared" si="56"/>
        <v>27.256441344963388</v>
      </c>
      <c r="J332" s="956"/>
      <c r="K332" s="957"/>
      <c r="L332" s="958"/>
      <c r="M332" s="956">
        <f>M331</f>
        <v>80114328</v>
      </c>
      <c r="N332" s="957">
        <f>N331</f>
        <v>25611044</v>
      </c>
      <c r="O332" s="372">
        <f>N332/M332*100</f>
        <v>31.96811936062173</v>
      </c>
      <c r="P332" s="956"/>
      <c r="Q332" s="957"/>
      <c r="R332" s="671"/>
    </row>
    <row r="333" spans="1:18" s="784" customFormat="1" ht="9.75" customHeight="1">
      <c r="A333" s="959" t="s">
        <v>275</v>
      </c>
      <c r="B333" s="960"/>
      <c r="C333" s="954"/>
      <c r="D333" s="955"/>
      <c r="E333" s="955"/>
      <c r="F333" s="372"/>
      <c r="G333" s="956"/>
      <c r="H333" s="957"/>
      <c r="I333" s="372"/>
      <c r="J333" s="956"/>
      <c r="K333" s="957"/>
      <c r="L333" s="958"/>
      <c r="M333" s="956"/>
      <c r="N333" s="961"/>
      <c r="O333" s="372"/>
      <c r="P333" s="956"/>
      <c r="Q333" s="957"/>
      <c r="R333" s="671"/>
    </row>
    <row r="334" spans="1:18" ht="19.5" customHeight="1">
      <c r="A334" s="962" t="s">
        <v>276</v>
      </c>
      <c r="B334" s="963"/>
      <c r="C334" s="964">
        <f>C12+C203+C204+C226+C291+C292</f>
        <v>197000</v>
      </c>
      <c r="D334" s="965">
        <f t="shared" si="59"/>
        <v>273204</v>
      </c>
      <c r="E334" s="965">
        <f t="shared" si="59"/>
        <v>170302</v>
      </c>
      <c r="F334" s="108">
        <f t="shared" si="58"/>
        <v>62.3351049032957</v>
      </c>
      <c r="G334" s="966">
        <f>G12+G203+G204</f>
        <v>0</v>
      </c>
      <c r="H334" s="967">
        <f>H12+H203+H204</f>
        <v>0</v>
      </c>
      <c r="I334" s="108" t="e">
        <f t="shared" si="56"/>
        <v>#DIV/0!</v>
      </c>
      <c r="J334" s="966"/>
      <c r="K334" s="967"/>
      <c r="L334" s="256"/>
      <c r="M334" s="966">
        <f>M226+M291+M292+M265+M318+M91</f>
        <v>273204</v>
      </c>
      <c r="N334" s="968">
        <f>N226+N291+N292+N265+N318+N91</f>
        <v>170302</v>
      </c>
      <c r="O334" s="108">
        <f>N334/M334*100</f>
        <v>62.3351049032957</v>
      </c>
      <c r="P334" s="966"/>
      <c r="Q334" s="967"/>
      <c r="R334" s="343"/>
    </row>
    <row r="335" spans="1:18" ht="24" customHeight="1">
      <c r="A335" s="962" t="s">
        <v>277</v>
      </c>
      <c r="B335" s="963"/>
      <c r="C335" s="969">
        <f>C58+C75</f>
        <v>24600</v>
      </c>
      <c r="D335" s="970">
        <f t="shared" si="59"/>
        <v>24600</v>
      </c>
      <c r="E335" s="970">
        <f t="shared" si="59"/>
        <v>12149</v>
      </c>
      <c r="F335" s="971">
        <f t="shared" si="58"/>
        <v>49.386178861788615</v>
      </c>
      <c r="G335" s="972">
        <f>G195+G58+G259</f>
        <v>16600</v>
      </c>
      <c r="H335" s="972">
        <f>H195+H58+H259</f>
        <v>4149</v>
      </c>
      <c r="I335" s="971">
        <f t="shared" si="56"/>
        <v>24.99397590361446</v>
      </c>
      <c r="J335" s="973"/>
      <c r="K335" s="972"/>
      <c r="L335" s="974"/>
      <c r="M335" s="973">
        <f>M75+M17+M317+M196</f>
        <v>8000</v>
      </c>
      <c r="N335" s="975">
        <f>N75+N17+N317+N196</f>
        <v>8000</v>
      </c>
      <c r="O335" s="971">
        <f>N335/M335*100</f>
        <v>100</v>
      </c>
      <c r="P335" s="973"/>
      <c r="Q335" s="972"/>
      <c r="R335" s="976"/>
    </row>
    <row r="336" spans="1:18" s="784" customFormat="1" ht="18.75" customHeight="1" thickBot="1">
      <c r="A336" s="977" t="s">
        <v>278</v>
      </c>
      <c r="B336" s="978"/>
      <c r="C336" s="979">
        <v>28537510</v>
      </c>
      <c r="D336" s="980">
        <f>J331+P331</f>
        <v>29428103</v>
      </c>
      <c r="E336" s="980">
        <f>K331+Q331</f>
        <v>8105006</v>
      </c>
      <c r="F336" s="981">
        <f t="shared" si="58"/>
        <v>27.541720918946083</v>
      </c>
      <c r="G336" s="982"/>
      <c r="H336" s="983"/>
      <c r="I336" s="984"/>
      <c r="J336" s="982"/>
      <c r="K336" s="985"/>
      <c r="L336" s="986"/>
      <c r="M336" s="982"/>
      <c r="N336" s="985"/>
      <c r="O336" s="981"/>
      <c r="P336" s="982"/>
      <c r="Q336" s="985"/>
      <c r="R336" s="930"/>
    </row>
    <row r="337" spans="1:18" s="994" customFormat="1" ht="15" customHeight="1" thickBot="1" thickTop="1">
      <c r="A337" s="987" t="s">
        <v>279</v>
      </c>
      <c r="B337" s="988"/>
      <c r="C337" s="989">
        <v>208636408</v>
      </c>
      <c r="D337" s="990">
        <f>G331+J331</f>
        <v>210924673</v>
      </c>
      <c r="E337" s="990">
        <f>H331+K331</f>
        <v>57115806</v>
      </c>
      <c r="F337" s="217">
        <f>E337/D337*100</f>
        <v>27.07876949037631</v>
      </c>
      <c r="G337" s="991"/>
      <c r="H337" s="992"/>
      <c r="I337" s="217"/>
      <c r="J337" s="991"/>
      <c r="K337" s="992"/>
      <c r="L337" s="435"/>
      <c r="M337" s="991"/>
      <c r="N337" s="992"/>
      <c r="O337" s="217"/>
      <c r="P337" s="991"/>
      <c r="Q337" s="992"/>
      <c r="R337" s="993"/>
    </row>
    <row r="338" spans="1:18" s="994" customFormat="1" ht="16.5" customHeight="1" thickBot="1" thickTop="1">
      <c r="A338" s="995" t="s">
        <v>280</v>
      </c>
      <c r="B338" s="996"/>
      <c r="C338" s="997">
        <v>83314847</v>
      </c>
      <c r="D338" s="998">
        <f>M331+P331</f>
        <v>88787514</v>
      </c>
      <c r="E338" s="998">
        <f>N331+Q331</f>
        <v>28433752</v>
      </c>
      <c r="F338" s="999">
        <f>E338/D338*100</f>
        <v>32.02449389449061</v>
      </c>
      <c r="G338" s="1000"/>
      <c r="H338" s="1000"/>
      <c r="I338" s="999"/>
      <c r="J338" s="1001"/>
      <c r="K338" s="1000"/>
      <c r="L338" s="1002"/>
      <c r="M338" s="1001"/>
      <c r="N338" s="1000"/>
      <c r="O338" s="999"/>
      <c r="P338" s="1001"/>
      <c r="Q338" s="1000"/>
      <c r="R338" s="1003"/>
    </row>
    <row r="339" ht="13.5" thickTop="1"/>
    <row r="340" s="857" customFormat="1" ht="12.75">
      <c r="A340" s="1038" t="s">
        <v>315</v>
      </c>
    </row>
    <row r="341" s="857" customFormat="1" ht="12.75">
      <c r="A341" s="1038" t="s">
        <v>310</v>
      </c>
    </row>
    <row r="342" ht="12.75">
      <c r="A342" s="1038" t="s">
        <v>314</v>
      </c>
    </row>
  </sheetData>
  <mergeCells count="16">
    <mergeCell ref="A336:B336"/>
    <mergeCell ref="A337:B337"/>
    <mergeCell ref="A338:B338"/>
    <mergeCell ref="A331:B331"/>
    <mergeCell ref="A332:B332"/>
    <mergeCell ref="A334:B334"/>
    <mergeCell ref="A335:B335"/>
    <mergeCell ref="M3:R3"/>
    <mergeCell ref="G4:I4"/>
    <mergeCell ref="J4:L4"/>
    <mergeCell ref="M4:O4"/>
    <mergeCell ref="P4:R4"/>
    <mergeCell ref="A3:A5"/>
    <mergeCell ref="B3:B5"/>
    <mergeCell ref="C3:F4"/>
    <mergeCell ref="G3:L3"/>
  </mergeCells>
  <printOptions horizontalCentered="1"/>
  <pageMargins left="0.1968503937007874" right="0.31496062992125984" top="0.5118110236220472" bottom="0.33" header="0.2755905511811024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79"/>
  <sheetViews>
    <sheetView workbookViewId="0" topLeftCell="A1770">
      <selection activeCell="A1778" sqref="A1778"/>
    </sheetView>
  </sheetViews>
  <sheetFormatPr defaultColWidth="9.00390625" defaultRowHeight="12.75"/>
  <cols>
    <col min="1" max="1" width="6.00390625" style="1" customWidth="1"/>
    <col min="2" max="2" width="18.75390625" style="2" customWidth="1"/>
    <col min="3" max="3" width="11.375" style="3" customWidth="1"/>
    <col min="4" max="4" width="13.125" style="4" customWidth="1"/>
    <col min="5" max="5" width="13.375" style="3" customWidth="1"/>
    <col min="6" max="6" width="4.25390625" style="5" customWidth="1"/>
    <col min="7" max="7" width="12.00390625" style="3" customWidth="1"/>
    <col min="8" max="8" width="11.125" style="3" customWidth="1"/>
    <col min="9" max="9" width="4.00390625" style="6" customWidth="1"/>
    <col min="10" max="11" width="12.375" style="3" customWidth="1"/>
    <col min="12" max="12" width="4.00390625" style="7" customWidth="1"/>
    <col min="13" max="14" width="10.125" style="3" customWidth="1"/>
    <col min="15" max="15" width="4.00390625" style="6" customWidth="1"/>
    <col min="16" max="16" width="11.375" style="3" customWidth="1"/>
    <col min="17" max="17" width="9.375" style="3" customWidth="1"/>
    <col min="18" max="18" width="4.00390625" style="6" customWidth="1"/>
    <col min="19" max="16384" width="9.125" style="9" customWidth="1"/>
  </cols>
  <sheetData>
    <row r="1" spans="13:14" ht="12.75" hidden="1">
      <c r="M1" s="8"/>
      <c r="N1" s="8"/>
    </row>
    <row r="2" spans="1:18" ht="15.75">
      <c r="A2" s="10"/>
      <c r="B2" s="11"/>
      <c r="C2" s="12"/>
      <c r="D2" s="13"/>
      <c r="E2" s="12"/>
      <c r="F2" s="14"/>
      <c r="G2" s="12"/>
      <c r="H2" s="12"/>
      <c r="I2" s="15"/>
      <c r="J2" s="12"/>
      <c r="K2" s="12"/>
      <c r="L2" s="16"/>
      <c r="M2" s="12"/>
      <c r="N2" s="12"/>
      <c r="O2" s="17"/>
      <c r="P2" s="18"/>
      <c r="Q2" s="19"/>
      <c r="R2" s="15"/>
    </row>
    <row r="3" spans="1:18" s="28" customFormat="1" ht="29.25" customHeight="1">
      <c r="A3" s="20" t="s">
        <v>316</v>
      </c>
      <c r="B3" s="21"/>
      <c r="C3" s="22"/>
      <c r="D3" s="23"/>
      <c r="E3" s="22"/>
      <c r="F3" s="24"/>
      <c r="G3" s="22"/>
      <c r="H3" s="22"/>
      <c r="I3" s="25"/>
      <c r="J3" s="22"/>
      <c r="K3" s="22"/>
      <c r="L3" s="26"/>
      <c r="M3" s="23"/>
      <c r="N3" s="23"/>
      <c r="O3" s="25"/>
      <c r="P3" s="27"/>
      <c r="Q3" s="27"/>
      <c r="R3" s="25"/>
    </row>
    <row r="4" spans="1:18" ht="12" customHeight="1" thickBot="1">
      <c r="A4" s="29"/>
      <c r="B4" s="30"/>
      <c r="C4" s="31"/>
      <c r="D4" s="23"/>
      <c r="E4" s="31"/>
      <c r="F4" s="24"/>
      <c r="G4" s="31"/>
      <c r="H4" s="31"/>
      <c r="I4" s="25"/>
      <c r="J4" s="31"/>
      <c r="K4" s="31"/>
      <c r="L4" s="32"/>
      <c r="M4" s="33"/>
      <c r="N4" s="33"/>
      <c r="O4" s="34"/>
      <c r="P4" s="35" t="s">
        <v>317</v>
      </c>
      <c r="Q4" s="27"/>
      <c r="R4" s="25"/>
    </row>
    <row r="5" spans="1:18" s="52" customFormat="1" ht="18" customHeight="1" thickTop="1">
      <c r="A5" s="36" t="s">
        <v>318</v>
      </c>
      <c r="B5" s="37"/>
      <c r="C5" s="38" t="s">
        <v>319</v>
      </c>
      <c r="D5" s="39"/>
      <c r="E5" s="40"/>
      <c r="F5" s="41"/>
      <c r="G5" s="42" t="s">
        <v>320</v>
      </c>
      <c r="H5" s="43"/>
      <c r="I5" s="44"/>
      <c r="J5" s="45" t="s">
        <v>321</v>
      </c>
      <c r="K5" s="46"/>
      <c r="L5" s="47"/>
      <c r="M5" s="48" t="s">
        <v>322</v>
      </c>
      <c r="N5" s="49"/>
      <c r="O5" s="50"/>
      <c r="P5" s="49" t="s">
        <v>323</v>
      </c>
      <c r="Q5" s="49"/>
      <c r="R5" s="51"/>
    </row>
    <row r="6" spans="1:18" s="65" customFormat="1" ht="36" customHeight="1" thickBot="1">
      <c r="A6" s="53" t="s">
        <v>324</v>
      </c>
      <c r="B6" s="54" t="s">
        <v>325</v>
      </c>
      <c r="C6" s="55" t="s">
        <v>326</v>
      </c>
      <c r="D6" s="56" t="s">
        <v>327</v>
      </c>
      <c r="E6" s="56" t="s">
        <v>328</v>
      </c>
      <c r="F6" s="57" t="s">
        <v>329</v>
      </c>
      <c r="G6" s="58" t="s">
        <v>330</v>
      </c>
      <c r="H6" s="59" t="s">
        <v>328</v>
      </c>
      <c r="I6" s="60" t="s">
        <v>331</v>
      </c>
      <c r="J6" s="58" t="s">
        <v>330</v>
      </c>
      <c r="K6" s="61" t="s">
        <v>328</v>
      </c>
      <c r="L6" s="62" t="s">
        <v>332</v>
      </c>
      <c r="M6" s="58" t="s">
        <v>330</v>
      </c>
      <c r="N6" s="63" t="s">
        <v>328</v>
      </c>
      <c r="O6" s="62" t="s">
        <v>332</v>
      </c>
      <c r="P6" s="58" t="s">
        <v>330</v>
      </c>
      <c r="Q6" s="64" t="s">
        <v>328</v>
      </c>
      <c r="R6" s="62" t="s">
        <v>331</v>
      </c>
    </row>
    <row r="7" spans="1:18" s="74" customFormat="1" ht="15" customHeight="1" thickBot="1" thickTop="1">
      <c r="A7" s="66">
        <v>1</v>
      </c>
      <c r="B7" s="67">
        <v>2</v>
      </c>
      <c r="C7" s="68">
        <v>3</v>
      </c>
      <c r="D7" s="69">
        <v>4</v>
      </c>
      <c r="E7" s="69">
        <v>5</v>
      </c>
      <c r="F7" s="70">
        <v>6</v>
      </c>
      <c r="G7" s="69">
        <v>7</v>
      </c>
      <c r="H7" s="71">
        <v>8</v>
      </c>
      <c r="I7" s="72">
        <v>9</v>
      </c>
      <c r="J7" s="71">
        <v>10</v>
      </c>
      <c r="K7" s="69">
        <v>11</v>
      </c>
      <c r="L7" s="73">
        <v>12</v>
      </c>
      <c r="M7" s="71">
        <v>13</v>
      </c>
      <c r="N7" s="69">
        <v>14</v>
      </c>
      <c r="O7" s="72">
        <v>15</v>
      </c>
      <c r="P7" s="71">
        <v>16</v>
      </c>
      <c r="Q7" s="71">
        <v>17</v>
      </c>
      <c r="R7" s="72">
        <v>18</v>
      </c>
    </row>
    <row r="8" spans="1:18" s="87" customFormat="1" ht="26.25" customHeight="1" thickBot="1" thickTop="1">
      <c r="A8" s="75" t="s">
        <v>333</v>
      </c>
      <c r="B8" s="76" t="s">
        <v>334</v>
      </c>
      <c r="C8" s="77">
        <f>C11+C29</f>
        <v>2000</v>
      </c>
      <c r="D8" s="78">
        <f aca="true" t="shared" si="0" ref="D8:E10">G8+J8+P8+M8</f>
        <v>2000</v>
      </c>
      <c r="E8" s="78">
        <f t="shared" si="0"/>
        <v>439</v>
      </c>
      <c r="F8" s="79">
        <f>E8/D8*100</f>
        <v>21.95</v>
      </c>
      <c r="G8" s="80">
        <f>G29</f>
        <v>2000</v>
      </c>
      <c r="H8" s="80">
        <f>H29</f>
        <v>439</v>
      </c>
      <c r="I8" s="81">
        <f>H8/G8*100</f>
        <v>21.95</v>
      </c>
      <c r="J8" s="82">
        <f>J31</f>
        <v>0</v>
      </c>
      <c r="K8" s="83">
        <f>K31</f>
        <v>0</v>
      </c>
      <c r="L8" s="84" t="e">
        <f>K8/J8*100</f>
        <v>#DIV/0!</v>
      </c>
      <c r="M8" s="85"/>
      <c r="N8" s="85"/>
      <c r="O8" s="86"/>
      <c r="P8" s="80"/>
      <c r="Q8" s="80"/>
      <c r="R8" s="81"/>
    </row>
    <row r="9" spans="1:18" s="87" customFormat="1" ht="26.25" customHeight="1" hidden="1">
      <c r="A9" s="88" t="s">
        <v>335</v>
      </c>
      <c r="B9" s="89" t="s">
        <v>336</v>
      </c>
      <c r="C9" s="90"/>
      <c r="D9" s="91">
        <f t="shared" si="0"/>
        <v>0</v>
      </c>
      <c r="E9" s="91">
        <f t="shared" si="0"/>
        <v>0</v>
      </c>
      <c r="F9" s="92" t="e">
        <f>E9/D9*100</f>
        <v>#DIV/0!</v>
      </c>
      <c r="G9" s="93"/>
      <c r="H9" s="94"/>
      <c r="I9" s="95"/>
      <c r="J9" s="96"/>
      <c r="K9" s="97"/>
      <c r="L9" s="98"/>
      <c r="M9" s="99"/>
      <c r="N9" s="99"/>
      <c r="O9" s="100"/>
      <c r="P9" s="93">
        <f>SUM(P10)</f>
        <v>0</v>
      </c>
      <c r="Q9" s="93">
        <f>SUM(Q10)</f>
        <v>0</v>
      </c>
      <c r="R9" s="95" t="e">
        <f>Q9/P9*100</f>
        <v>#DIV/0!</v>
      </c>
    </row>
    <row r="10" spans="1:18" s="114" customFormat="1" ht="15.75" customHeight="1" hidden="1">
      <c r="A10" s="101" t="s">
        <v>337</v>
      </c>
      <c r="B10" s="102" t="s">
        <v>338</v>
      </c>
      <c r="C10" s="103"/>
      <c r="D10" s="104">
        <f t="shared" si="0"/>
        <v>0</v>
      </c>
      <c r="E10" s="104">
        <f t="shared" si="0"/>
        <v>0</v>
      </c>
      <c r="F10" s="105" t="e">
        <f>E10/D10*100</f>
        <v>#DIV/0!</v>
      </c>
      <c r="G10" s="106"/>
      <c r="H10" s="107"/>
      <c r="I10" s="108"/>
      <c r="J10" s="109"/>
      <c r="K10" s="104"/>
      <c r="L10" s="110"/>
      <c r="M10" s="111"/>
      <c r="N10" s="111"/>
      <c r="O10" s="112"/>
      <c r="P10" s="106"/>
      <c r="Q10" s="106"/>
      <c r="R10" s="113" t="e">
        <f>Q10/P10*100</f>
        <v>#DIV/0!</v>
      </c>
    </row>
    <row r="11" spans="1:18" s="87" customFormat="1" ht="15" customHeight="1" hidden="1">
      <c r="A11" s="115" t="s">
        <v>339</v>
      </c>
      <c r="B11" s="116" t="s">
        <v>340</v>
      </c>
      <c r="C11" s="117">
        <f>SUM(C12:C28)</f>
        <v>0</v>
      </c>
      <c r="D11" s="118">
        <f>SUM(D12:D28)</f>
        <v>0</v>
      </c>
      <c r="E11" s="119">
        <f aca="true" t="shared" si="1" ref="E11:E28">SUM(H11+K11+N11+Q11)</f>
        <v>0</v>
      </c>
      <c r="F11" s="120" t="e">
        <f>E11/D11*100</f>
        <v>#DIV/0!</v>
      </c>
      <c r="G11" s="121"/>
      <c r="H11" s="122"/>
      <c r="I11" s="123"/>
      <c r="J11" s="124"/>
      <c r="K11" s="119"/>
      <c r="L11" s="125"/>
      <c r="M11" s="121"/>
      <c r="N11" s="121"/>
      <c r="O11" s="123"/>
      <c r="P11" s="126">
        <f>SUM(P12:P28)</f>
        <v>0</v>
      </c>
      <c r="Q11" s="126">
        <f>SUM(Q12:Q28)</f>
        <v>0</v>
      </c>
      <c r="R11" s="127" t="e">
        <f>Q11/P11*100</f>
        <v>#DIV/0!</v>
      </c>
    </row>
    <row r="12" spans="1:18" s="114" customFormat="1" ht="36.75" hidden="1" thickTop="1">
      <c r="A12" s="101" t="s">
        <v>341</v>
      </c>
      <c r="B12" s="102" t="s">
        <v>342</v>
      </c>
      <c r="C12" s="128"/>
      <c r="D12" s="104">
        <f aca="true" t="shared" si="2" ref="D12:D41">G12+J12+P12+M12</f>
        <v>0</v>
      </c>
      <c r="E12" s="129">
        <f t="shared" si="1"/>
        <v>0</v>
      </c>
      <c r="F12" s="130" t="e">
        <f>E12/D12*100</f>
        <v>#DIV/0!</v>
      </c>
      <c r="G12" s="111"/>
      <c r="H12" s="131"/>
      <c r="I12" s="112"/>
      <c r="J12" s="109"/>
      <c r="K12" s="104"/>
      <c r="L12" s="110"/>
      <c r="M12" s="111"/>
      <c r="N12" s="111"/>
      <c r="O12" s="112"/>
      <c r="P12" s="132"/>
      <c r="Q12" s="133"/>
      <c r="R12" s="108" t="e">
        <f>Q12/P12*100</f>
        <v>#DIV/0!</v>
      </c>
    </row>
    <row r="13" spans="1:18" s="114" customFormat="1" ht="24.75" hidden="1" thickTop="1">
      <c r="A13" s="101" t="s">
        <v>343</v>
      </c>
      <c r="B13" s="102" t="s">
        <v>344</v>
      </c>
      <c r="C13" s="128"/>
      <c r="D13" s="104">
        <f t="shared" si="2"/>
        <v>0</v>
      </c>
      <c r="E13" s="129">
        <f t="shared" si="1"/>
        <v>0</v>
      </c>
      <c r="F13" s="105" t="e">
        <f aca="true" t="shared" si="3" ref="F13:F61">E13/D13*100</f>
        <v>#DIV/0!</v>
      </c>
      <c r="G13" s="111"/>
      <c r="H13" s="131"/>
      <c r="I13" s="112"/>
      <c r="J13" s="109"/>
      <c r="K13" s="104"/>
      <c r="L13" s="110"/>
      <c r="M13" s="111"/>
      <c r="N13" s="111"/>
      <c r="O13" s="112"/>
      <c r="P13" s="128"/>
      <c r="Q13" s="106"/>
      <c r="R13" s="108" t="e">
        <f aca="true" t="shared" si="4" ref="R13:R28">Q13/P13*100</f>
        <v>#DIV/0!</v>
      </c>
    </row>
    <row r="14" spans="1:18" s="114" customFormat="1" ht="24.75" customHeight="1" hidden="1">
      <c r="A14" s="101" t="s">
        <v>345</v>
      </c>
      <c r="B14" s="102" t="s">
        <v>346</v>
      </c>
      <c r="C14" s="128"/>
      <c r="D14" s="104">
        <f t="shared" si="2"/>
        <v>0</v>
      </c>
      <c r="E14" s="129">
        <f t="shared" si="1"/>
        <v>0</v>
      </c>
      <c r="F14" s="105" t="e">
        <f t="shared" si="3"/>
        <v>#DIV/0!</v>
      </c>
      <c r="G14" s="111"/>
      <c r="H14" s="131"/>
      <c r="I14" s="112"/>
      <c r="J14" s="109"/>
      <c r="K14" s="104"/>
      <c r="L14" s="110"/>
      <c r="M14" s="111"/>
      <c r="N14" s="111"/>
      <c r="O14" s="112"/>
      <c r="P14" s="128"/>
      <c r="Q14" s="106"/>
      <c r="R14" s="108" t="e">
        <f t="shared" si="4"/>
        <v>#DIV/0!</v>
      </c>
    </row>
    <row r="15" spans="1:18" s="114" customFormat="1" ht="36.75" hidden="1" thickTop="1">
      <c r="A15" s="101" t="s">
        <v>347</v>
      </c>
      <c r="B15" s="102" t="s">
        <v>348</v>
      </c>
      <c r="C15" s="128"/>
      <c r="D15" s="104">
        <f t="shared" si="2"/>
        <v>0</v>
      </c>
      <c r="E15" s="129">
        <f t="shared" si="1"/>
        <v>0</v>
      </c>
      <c r="F15" s="105" t="e">
        <f t="shared" si="3"/>
        <v>#DIV/0!</v>
      </c>
      <c r="G15" s="111"/>
      <c r="H15" s="131"/>
      <c r="I15" s="112"/>
      <c r="J15" s="109"/>
      <c r="K15" s="104"/>
      <c r="L15" s="110"/>
      <c r="M15" s="111"/>
      <c r="N15" s="111"/>
      <c r="O15" s="112"/>
      <c r="P15" s="128"/>
      <c r="Q15" s="106"/>
      <c r="R15" s="108" t="e">
        <f t="shared" si="4"/>
        <v>#DIV/0!</v>
      </c>
    </row>
    <row r="16" spans="1:18" s="114" customFormat="1" ht="24.75" hidden="1" thickTop="1">
      <c r="A16" s="101" t="s">
        <v>349</v>
      </c>
      <c r="B16" s="102" t="s">
        <v>350</v>
      </c>
      <c r="C16" s="128"/>
      <c r="D16" s="104">
        <f t="shared" si="2"/>
        <v>0</v>
      </c>
      <c r="E16" s="129">
        <f t="shared" si="1"/>
        <v>0</v>
      </c>
      <c r="F16" s="105" t="e">
        <f t="shared" si="3"/>
        <v>#DIV/0!</v>
      </c>
      <c r="G16" s="111"/>
      <c r="H16" s="131"/>
      <c r="I16" s="112"/>
      <c r="J16" s="109"/>
      <c r="K16" s="104"/>
      <c r="L16" s="110"/>
      <c r="M16" s="111"/>
      <c r="N16" s="111"/>
      <c r="O16" s="112"/>
      <c r="P16" s="128"/>
      <c r="Q16" s="106"/>
      <c r="R16" s="108" t="e">
        <f t="shared" si="4"/>
        <v>#DIV/0!</v>
      </c>
    </row>
    <row r="17" spans="1:18" s="114" customFormat="1" ht="24.75" hidden="1" thickTop="1">
      <c r="A17" s="101" t="s">
        <v>351</v>
      </c>
      <c r="B17" s="102" t="s">
        <v>352</v>
      </c>
      <c r="C17" s="128"/>
      <c r="D17" s="104">
        <f t="shared" si="2"/>
        <v>0</v>
      </c>
      <c r="E17" s="129">
        <f t="shared" si="1"/>
        <v>0</v>
      </c>
      <c r="F17" s="105" t="e">
        <f t="shared" si="3"/>
        <v>#DIV/0!</v>
      </c>
      <c r="G17" s="111"/>
      <c r="H17" s="131"/>
      <c r="I17" s="112"/>
      <c r="J17" s="109"/>
      <c r="K17" s="104"/>
      <c r="L17" s="110"/>
      <c r="M17" s="111"/>
      <c r="N17" s="111"/>
      <c r="O17" s="112"/>
      <c r="P17" s="128"/>
      <c r="Q17" s="106"/>
      <c r="R17" s="108" t="e">
        <f t="shared" si="4"/>
        <v>#DIV/0!</v>
      </c>
    </row>
    <row r="18" spans="1:18" s="114" customFormat="1" ht="13.5" hidden="1" thickTop="1">
      <c r="A18" s="101" t="s">
        <v>353</v>
      </c>
      <c r="B18" s="102" t="s">
        <v>354</v>
      </c>
      <c r="C18" s="128"/>
      <c r="D18" s="104">
        <f t="shared" si="2"/>
        <v>0</v>
      </c>
      <c r="E18" s="129">
        <f t="shared" si="1"/>
        <v>0</v>
      </c>
      <c r="F18" s="105" t="e">
        <f t="shared" si="3"/>
        <v>#DIV/0!</v>
      </c>
      <c r="G18" s="111"/>
      <c r="H18" s="131"/>
      <c r="I18" s="112"/>
      <c r="J18" s="109"/>
      <c r="K18" s="104"/>
      <c r="L18" s="110"/>
      <c r="M18" s="111"/>
      <c r="N18" s="111"/>
      <c r="O18" s="112"/>
      <c r="P18" s="128"/>
      <c r="Q18" s="106"/>
      <c r="R18" s="108" t="e">
        <f t="shared" si="4"/>
        <v>#DIV/0!</v>
      </c>
    </row>
    <row r="19" spans="1:18" s="114" customFormat="1" ht="24.75" hidden="1" thickTop="1">
      <c r="A19" s="101" t="s">
        <v>355</v>
      </c>
      <c r="B19" s="102" t="s">
        <v>356</v>
      </c>
      <c r="C19" s="128"/>
      <c r="D19" s="104">
        <f t="shared" si="2"/>
        <v>0</v>
      </c>
      <c r="E19" s="129">
        <f t="shared" si="1"/>
        <v>0</v>
      </c>
      <c r="F19" s="105" t="e">
        <f t="shared" si="3"/>
        <v>#DIV/0!</v>
      </c>
      <c r="G19" s="111"/>
      <c r="H19" s="131"/>
      <c r="I19" s="112"/>
      <c r="J19" s="109"/>
      <c r="K19" s="104"/>
      <c r="L19" s="110"/>
      <c r="M19" s="111"/>
      <c r="N19" s="111"/>
      <c r="O19" s="112"/>
      <c r="P19" s="128"/>
      <c r="Q19" s="106"/>
      <c r="R19" s="108" t="e">
        <f t="shared" si="4"/>
        <v>#DIV/0!</v>
      </c>
    </row>
    <row r="20" spans="1:18" s="114" customFormat="1" ht="24.75" hidden="1" thickTop="1">
      <c r="A20" s="101" t="s">
        <v>357</v>
      </c>
      <c r="B20" s="102" t="s">
        <v>358</v>
      </c>
      <c r="C20" s="128"/>
      <c r="D20" s="104">
        <f t="shared" si="2"/>
        <v>0</v>
      </c>
      <c r="E20" s="129">
        <f t="shared" si="1"/>
        <v>0</v>
      </c>
      <c r="F20" s="105" t="e">
        <f t="shared" si="3"/>
        <v>#DIV/0!</v>
      </c>
      <c r="G20" s="111"/>
      <c r="H20" s="131"/>
      <c r="I20" s="112"/>
      <c r="J20" s="109"/>
      <c r="K20" s="104"/>
      <c r="L20" s="110"/>
      <c r="M20" s="111"/>
      <c r="N20" s="111"/>
      <c r="O20" s="112"/>
      <c r="P20" s="128"/>
      <c r="Q20" s="106"/>
      <c r="R20" s="108" t="e">
        <f t="shared" si="4"/>
        <v>#DIV/0!</v>
      </c>
    </row>
    <row r="21" spans="1:18" s="114" customFormat="1" ht="13.5" hidden="1" thickTop="1">
      <c r="A21" s="101" t="s">
        <v>359</v>
      </c>
      <c r="B21" s="102" t="s">
        <v>360</v>
      </c>
      <c r="C21" s="128"/>
      <c r="D21" s="104">
        <f t="shared" si="2"/>
        <v>0</v>
      </c>
      <c r="E21" s="129">
        <f t="shared" si="1"/>
        <v>0</v>
      </c>
      <c r="F21" s="105" t="e">
        <f t="shared" si="3"/>
        <v>#DIV/0!</v>
      </c>
      <c r="G21" s="111"/>
      <c r="H21" s="131"/>
      <c r="I21" s="112"/>
      <c r="J21" s="109"/>
      <c r="K21" s="104"/>
      <c r="L21" s="110"/>
      <c r="M21" s="111"/>
      <c r="N21" s="111"/>
      <c r="O21" s="112"/>
      <c r="P21" s="128"/>
      <c r="Q21" s="106"/>
      <c r="R21" s="108" t="e">
        <f t="shared" si="4"/>
        <v>#DIV/0!</v>
      </c>
    </row>
    <row r="22" spans="1:18" s="114" customFormat="1" ht="24.75" hidden="1" thickTop="1">
      <c r="A22" s="101" t="s">
        <v>361</v>
      </c>
      <c r="B22" s="102" t="s">
        <v>362</v>
      </c>
      <c r="C22" s="128"/>
      <c r="D22" s="104">
        <f t="shared" si="2"/>
        <v>0</v>
      </c>
      <c r="E22" s="129">
        <f t="shared" si="1"/>
        <v>0</v>
      </c>
      <c r="F22" s="105" t="e">
        <f t="shared" si="3"/>
        <v>#DIV/0!</v>
      </c>
      <c r="G22" s="111"/>
      <c r="H22" s="131"/>
      <c r="I22" s="112"/>
      <c r="J22" s="109"/>
      <c r="K22" s="104"/>
      <c r="L22" s="110"/>
      <c r="M22" s="111"/>
      <c r="N22" s="111"/>
      <c r="O22" s="112"/>
      <c r="P22" s="128"/>
      <c r="Q22" s="106"/>
      <c r="R22" s="108" t="e">
        <f t="shared" si="4"/>
        <v>#DIV/0!</v>
      </c>
    </row>
    <row r="23" spans="1:18" s="114" customFormat="1" ht="24.75" hidden="1" thickTop="1">
      <c r="A23" s="101" t="s">
        <v>363</v>
      </c>
      <c r="B23" s="102" t="s">
        <v>364</v>
      </c>
      <c r="C23" s="128"/>
      <c r="D23" s="104">
        <f t="shared" si="2"/>
        <v>0</v>
      </c>
      <c r="E23" s="129">
        <f t="shared" si="1"/>
        <v>0</v>
      </c>
      <c r="F23" s="105" t="e">
        <f t="shared" si="3"/>
        <v>#DIV/0!</v>
      </c>
      <c r="G23" s="111"/>
      <c r="H23" s="131"/>
      <c r="I23" s="112"/>
      <c r="J23" s="109"/>
      <c r="K23" s="104"/>
      <c r="L23" s="110"/>
      <c r="M23" s="111"/>
      <c r="N23" s="111"/>
      <c r="O23" s="112"/>
      <c r="P23" s="128"/>
      <c r="Q23" s="106"/>
      <c r="R23" s="108" t="e">
        <f t="shared" si="4"/>
        <v>#DIV/0!</v>
      </c>
    </row>
    <row r="24" spans="1:18" s="114" customFormat="1" ht="24.75" hidden="1" thickTop="1">
      <c r="A24" s="101" t="s">
        <v>337</v>
      </c>
      <c r="B24" s="102" t="s">
        <v>338</v>
      </c>
      <c r="C24" s="128"/>
      <c r="D24" s="104">
        <f t="shared" si="2"/>
        <v>0</v>
      </c>
      <c r="E24" s="129">
        <f t="shared" si="1"/>
        <v>0</v>
      </c>
      <c r="F24" s="105" t="e">
        <f t="shared" si="3"/>
        <v>#DIV/0!</v>
      </c>
      <c r="G24" s="111"/>
      <c r="H24" s="131"/>
      <c r="I24" s="112"/>
      <c r="J24" s="109"/>
      <c r="K24" s="104"/>
      <c r="L24" s="110"/>
      <c r="M24" s="111"/>
      <c r="N24" s="111"/>
      <c r="O24" s="112"/>
      <c r="P24" s="128"/>
      <c r="Q24" s="106"/>
      <c r="R24" s="108" t="e">
        <f t="shared" si="4"/>
        <v>#DIV/0!</v>
      </c>
    </row>
    <row r="25" spans="1:18" s="114" customFormat="1" ht="13.5" hidden="1" thickTop="1">
      <c r="A25" s="101" t="s">
        <v>365</v>
      </c>
      <c r="B25" s="102" t="s">
        <v>366</v>
      </c>
      <c r="C25" s="128"/>
      <c r="D25" s="104">
        <f t="shared" si="2"/>
        <v>0</v>
      </c>
      <c r="E25" s="129">
        <f t="shared" si="1"/>
        <v>0</v>
      </c>
      <c r="F25" s="105" t="e">
        <f t="shared" si="3"/>
        <v>#DIV/0!</v>
      </c>
      <c r="G25" s="111"/>
      <c r="H25" s="131"/>
      <c r="I25" s="112"/>
      <c r="J25" s="109"/>
      <c r="K25" s="104"/>
      <c r="L25" s="110"/>
      <c r="M25" s="111"/>
      <c r="N25" s="111"/>
      <c r="O25" s="112"/>
      <c r="P25" s="128"/>
      <c r="Q25" s="106"/>
      <c r="R25" s="108" t="e">
        <f t="shared" si="4"/>
        <v>#DIV/0!</v>
      </c>
    </row>
    <row r="26" spans="1:18" s="114" customFormat="1" ht="13.5" hidden="1" thickTop="1">
      <c r="A26" s="101" t="s">
        <v>367</v>
      </c>
      <c r="B26" s="102" t="s">
        <v>368</v>
      </c>
      <c r="C26" s="128"/>
      <c r="D26" s="104">
        <f t="shared" si="2"/>
        <v>0</v>
      </c>
      <c r="E26" s="129">
        <f t="shared" si="1"/>
        <v>0</v>
      </c>
      <c r="F26" s="105" t="e">
        <f t="shared" si="3"/>
        <v>#DIV/0!</v>
      </c>
      <c r="G26" s="111"/>
      <c r="H26" s="131"/>
      <c r="I26" s="112"/>
      <c r="J26" s="109"/>
      <c r="K26" s="104"/>
      <c r="L26" s="110"/>
      <c r="M26" s="111"/>
      <c r="N26" s="111"/>
      <c r="O26" s="112"/>
      <c r="P26" s="128"/>
      <c r="Q26" s="106"/>
      <c r="R26" s="108" t="e">
        <f t="shared" si="4"/>
        <v>#DIV/0!</v>
      </c>
    </row>
    <row r="27" spans="1:18" s="114" customFormat="1" ht="24.75" hidden="1" thickTop="1">
      <c r="A27" s="101" t="s">
        <v>369</v>
      </c>
      <c r="B27" s="102" t="s">
        <v>370</v>
      </c>
      <c r="C27" s="128"/>
      <c r="D27" s="104">
        <f t="shared" si="2"/>
        <v>0</v>
      </c>
      <c r="E27" s="129">
        <f t="shared" si="1"/>
        <v>0</v>
      </c>
      <c r="F27" s="105" t="e">
        <f t="shared" si="3"/>
        <v>#DIV/0!</v>
      </c>
      <c r="G27" s="111"/>
      <c r="H27" s="131"/>
      <c r="I27" s="112"/>
      <c r="J27" s="109"/>
      <c r="K27" s="104"/>
      <c r="L27" s="110"/>
      <c r="M27" s="111"/>
      <c r="N27" s="111"/>
      <c r="O27" s="112"/>
      <c r="P27" s="128"/>
      <c r="Q27" s="106"/>
      <c r="R27" s="108" t="e">
        <f t="shared" si="4"/>
        <v>#DIV/0!</v>
      </c>
    </row>
    <row r="28" spans="1:18" s="114" customFormat="1" ht="24.75" hidden="1" thickTop="1">
      <c r="A28" s="101" t="s">
        <v>371</v>
      </c>
      <c r="B28" s="102" t="s">
        <v>372</v>
      </c>
      <c r="C28" s="128"/>
      <c r="D28" s="104">
        <f t="shared" si="2"/>
        <v>0</v>
      </c>
      <c r="E28" s="129">
        <f t="shared" si="1"/>
        <v>0</v>
      </c>
      <c r="F28" s="105" t="e">
        <f t="shared" si="3"/>
        <v>#DIV/0!</v>
      </c>
      <c r="G28" s="111"/>
      <c r="H28" s="131"/>
      <c r="I28" s="112"/>
      <c r="J28" s="109"/>
      <c r="K28" s="104"/>
      <c r="L28" s="110"/>
      <c r="M28" s="111"/>
      <c r="N28" s="111"/>
      <c r="O28" s="112"/>
      <c r="P28" s="128"/>
      <c r="Q28" s="106"/>
      <c r="R28" s="108" t="e">
        <f t="shared" si="4"/>
        <v>#DIV/0!</v>
      </c>
    </row>
    <row r="29" spans="1:18" s="145" customFormat="1" ht="16.5" customHeight="1" thickTop="1">
      <c r="A29" s="134" t="s">
        <v>373</v>
      </c>
      <c r="B29" s="135" t="s">
        <v>374</v>
      </c>
      <c r="C29" s="136">
        <f>SUM(C30:C30)</f>
        <v>2000</v>
      </c>
      <c r="D29" s="137">
        <f t="shared" si="2"/>
        <v>2000</v>
      </c>
      <c r="E29" s="137">
        <f>H29+K29+Q29+N29</f>
        <v>439</v>
      </c>
      <c r="F29" s="138">
        <f t="shared" si="3"/>
        <v>21.95</v>
      </c>
      <c r="G29" s="139">
        <f>SUM(G30:G30)</f>
        <v>2000</v>
      </c>
      <c r="H29" s="137">
        <f>SUM(H30:H30)</f>
        <v>439</v>
      </c>
      <c r="I29" s="127">
        <f>H29/G29*100</f>
        <v>21.95</v>
      </c>
      <c r="J29" s="140"/>
      <c r="K29" s="137"/>
      <c r="L29" s="125"/>
      <c r="M29" s="141"/>
      <c r="N29" s="141"/>
      <c r="O29" s="142"/>
      <c r="P29" s="143"/>
      <c r="Q29" s="118"/>
      <c r="R29" s="144"/>
    </row>
    <row r="30" spans="1:18" s="114" customFormat="1" ht="54.75" customHeight="1" thickBot="1">
      <c r="A30" s="146" t="s">
        <v>375</v>
      </c>
      <c r="B30" s="147" t="s">
        <v>376</v>
      </c>
      <c r="C30" s="148">
        <v>2000</v>
      </c>
      <c r="D30" s="149">
        <f t="shared" si="2"/>
        <v>2000</v>
      </c>
      <c r="E30" s="150">
        <f>SUM(H30+K30+N30+Q30)</f>
        <v>439</v>
      </c>
      <c r="F30" s="151">
        <f t="shared" si="3"/>
        <v>21.95</v>
      </c>
      <c r="G30" s="152">
        <v>2000</v>
      </c>
      <c r="H30" s="149">
        <v>439</v>
      </c>
      <c r="I30" s="113">
        <f>H30/G30*100</f>
        <v>21.95</v>
      </c>
      <c r="J30" s="153"/>
      <c r="K30" s="149"/>
      <c r="L30" s="154"/>
      <c r="M30" s="155"/>
      <c r="N30" s="155"/>
      <c r="O30" s="156"/>
      <c r="P30" s="157"/>
      <c r="Q30" s="133"/>
      <c r="R30" s="158"/>
    </row>
    <row r="31" spans="1:18" s="114" customFormat="1" ht="16.5" customHeight="1" hidden="1">
      <c r="A31" s="134" t="s">
        <v>377</v>
      </c>
      <c r="B31" s="135" t="s">
        <v>378</v>
      </c>
      <c r="C31" s="136"/>
      <c r="D31" s="159">
        <f t="shared" si="2"/>
        <v>0</v>
      </c>
      <c r="E31" s="159">
        <f>SUM(H31+K31+N31+Q31)</f>
        <v>0</v>
      </c>
      <c r="F31" s="151" t="e">
        <f>E31/D31*100</f>
        <v>#DIV/0!</v>
      </c>
      <c r="G31" s="139"/>
      <c r="H31" s="137"/>
      <c r="I31" s="127"/>
      <c r="J31" s="140">
        <f>SUM(J32:J34)</f>
        <v>0</v>
      </c>
      <c r="K31" s="137">
        <f>SUM(K32:K34)</f>
        <v>0</v>
      </c>
      <c r="L31" s="125" t="e">
        <f>K31/J31*100</f>
        <v>#DIV/0!</v>
      </c>
      <c r="M31" s="141"/>
      <c r="N31" s="141"/>
      <c r="O31" s="142"/>
      <c r="P31" s="143"/>
      <c r="Q31" s="118"/>
      <c r="R31" s="144"/>
    </row>
    <row r="32" spans="1:18" s="114" customFormat="1" ht="24.75" hidden="1" thickBot="1">
      <c r="A32" s="101" t="s">
        <v>355</v>
      </c>
      <c r="B32" s="102" t="s">
        <v>356</v>
      </c>
      <c r="C32" s="160"/>
      <c r="D32" s="149">
        <f t="shared" si="2"/>
        <v>0</v>
      </c>
      <c r="E32" s="150">
        <f>SUM(H32+K32+N32+Q32)</f>
        <v>0</v>
      </c>
      <c r="F32" s="151" t="e">
        <f>E32/D32*100</f>
        <v>#DIV/0!</v>
      </c>
      <c r="G32" s="161"/>
      <c r="H32" s="104"/>
      <c r="I32" s="108"/>
      <c r="J32" s="109"/>
      <c r="K32" s="104"/>
      <c r="L32" s="110" t="e">
        <f>K32/J32*100</f>
        <v>#DIV/0!</v>
      </c>
      <c r="M32" s="111"/>
      <c r="N32" s="111"/>
      <c r="O32" s="112"/>
      <c r="P32" s="103"/>
      <c r="Q32" s="106"/>
      <c r="R32" s="162"/>
    </row>
    <row r="33" spans="1:18" s="114" customFormat="1" ht="13.5" hidden="1" thickBot="1">
      <c r="A33" s="101" t="s">
        <v>365</v>
      </c>
      <c r="B33" s="102" t="s">
        <v>366</v>
      </c>
      <c r="C33" s="160"/>
      <c r="D33" s="104">
        <f t="shared" si="2"/>
        <v>0</v>
      </c>
      <c r="E33" s="129">
        <f>SUM(H33+K33+N33+Q33)</f>
        <v>0</v>
      </c>
      <c r="F33" s="163" t="e">
        <f>E33/D33*100</f>
        <v>#DIV/0!</v>
      </c>
      <c r="G33" s="106"/>
      <c r="H33" s="104"/>
      <c r="I33" s="108"/>
      <c r="J33" s="109"/>
      <c r="K33" s="104"/>
      <c r="L33" s="110" t="e">
        <f>K33/J33*100</f>
        <v>#DIV/0!</v>
      </c>
      <c r="M33" s="111"/>
      <c r="N33" s="111"/>
      <c r="O33" s="112"/>
      <c r="P33" s="103"/>
      <c r="Q33" s="106"/>
      <c r="R33" s="162"/>
    </row>
    <row r="34" spans="1:18" s="114" customFormat="1" ht="60.75" hidden="1" thickBot="1">
      <c r="A34" s="101" t="s">
        <v>379</v>
      </c>
      <c r="B34" s="102" t="s">
        <v>380</v>
      </c>
      <c r="C34" s="160"/>
      <c r="D34" s="104">
        <f t="shared" si="2"/>
        <v>0</v>
      </c>
      <c r="E34" s="129">
        <f>SUM(H34+K34+N34+Q34)</f>
        <v>0</v>
      </c>
      <c r="F34" s="163" t="e">
        <f>E34/D34*100</f>
        <v>#DIV/0!</v>
      </c>
      <c r="G34" s="161"/>
      <c r="H34" s="164"/>
      <c r="I34" s="108"/>
      <c r="J34" s="109"/>
      <c r="K34" s="104"/>
      <c r="L34" s="110" t="e">
        <f>K34/J34*100</f>
        <v>#DIV/0!</v>
      </c>
      <c r="M34" s="111"/>
      <c r="N34" s="111"/>
      <c r="O34" s="112"/>
      <c r="P34" s="103"/>
      <c r="Q34" s="106"/>
      <c r="R34" s="162"/>
    </row>
    <row r="35" spans="1:18" s="87" customFormat="1" ht="18.75" customHeight="1" hidden="1">
      <c r="A35" s="75" t="s">
        <v>381</v>
      </c>
      <c r="B35" s="76" t="s">
        <v>382</v>
      </c>
      <c r="C35" s="77">
        <f>C36</f>
        <v>0</v>
      </c>
      <c r="D35" s="78">
        <f t="shared" si="2"/>
        <v>0</v>
      </c>
      <c r="E35" s="83">
        <f>H35+K35+Q35+N35</f>
        <v>0</v>
      </c>
      <c r="F35" s="79" t="e">
        <f t="shared" si="3"/>
        <v>#DIV/0!</v>
      </c>
      <c r="G35" s="85"/>
      <c r="H35" s="165"/>
      <c r="I35" s="86"/>
      <c r="J35" s="165"/>
      <c r="K35" s="85"/>
      <c r="L35" s="166"/>
      <c r="M35" s="80">
        <f>M36</f>
        <v>0</v>
      </c>
      <c r="N35" s="80">
        <f>N36</f>
        <v>0</v>
      </c>
      <c r="O35" s="81" t="e">
        <f>N35/M35*100</f>
        <v>#DIV/0!</v>
      </c>
      <c r="P35" s="77"/>
      <c r="Q35" s="80"/>
      <c r="R35" s="167"/>
    </row>
    <row r="36" spans="1:18" s="87" customFormat="1" ht="25.5" hidden="1" thickBot="1" thickTop="1">
      <c r="A36" s="115" t="s">
        <v>383</v>
      </c>
      <c r="B36" s="116" t="s">
        <v>384</v>
      </c>
      <c r="C36" s="117">
        <f>C37</f>
        <v>0</v>
      </c>
      <c r="D36" s="91">
        <f t="shared" si="2"/>
        <v>0</v>
      </c>
      <c r="E36" s="126">
        <f>E37</f>
        <v>0</v>
      </c>
      <c r="F36" s="168" t="e">
        <f t="shared" si="3"/>
        <v>#DIV/0!</v>
      </c>
      <c r="G36" s="121"/>
      <c r="H36" s="122"/>
      <c r="I36" s="123"/>
      <c r="J36" s="122"/>
      <c r="K36" s="121"/>
      <c r="L36" s="169"/>
      <c r="M36" s="126">
        <f>M37</f>
        <v>0</v>
      </c>
      <c r="N36" s="126">
        <f>N37</f>
        <v>0</v>
      </c>
      <c r="O36" s="170" t="e">
        <f>N36/M36*100</f>
        <v>#DIV/0!</v>
      </c>
      <c r="P36" s="117"/>
      <c r="Q36" s="126"/>
      <c r="R36" s="171"/>
    </row>
    <row r="37" spans="1:18" s="180" customFormat="1" ht="24.75" hidden="1" thickBot="1">
      <c r="A37" s="172">
        <v>4300</v>
      </c>
      <c r="B37" s="173" t="s">
        <v>385</v>
      </c>
      <c r="C37" s="132"/>
      <c r="D37" s="149">
        <f t="shared" si="2"/>
        <v>0</v>
      </c>
      <c r="E37" s="150">
        <f>SUM(H37+K37+N37+Q37)</f>
        <v>0</v>
      </c>
      <c r="F37" s="130" t="e">
        <f t="shared" si="3"/>
        <v>#DIV/0!</v>
      </c>
      <c r="G37" s="174"/>
      <c r="H37" s="175"/>
      <c r="I37" s="156"/>
      <c r="J37" s="175"/>
      <c r="K37" s="174"/>
      <c r="L37" s="176"/>
      <c r="M37" s="177"/>
      <c r="N37" s="177">
        <v>0</v>
      </c>
      <c r="O37" s="113" t="e">
        <f>N37/M37*100</f>
        <v>#DIV/0!</v>
      </c>
      <c r="P37" s="178"/>
      <c r="Q37" s="177"/>
      <c r="R37" s="179"/>
    </row>
    <row r="38" spans="1:18" s="185" customFormat="1" ht="15.75" customHeight="1" thickBot="1" thickTop="1">
      <c r="A38" s="181">
        <v>500</v>
      </c>
      <c r="B38" s="182" t="s">
        <v>386</v>
      </c>
      <c r="C38" s="183">
        <f>C39</f>
        <v>162000</v>
      </c>
      <c r="D38" s="78">
        <f t="shared" si="2"/>
        <v>162000</v>
      </c>
      <c r="E38" s="83">
        <f>H38+K38+Q38+N38</f>
        <v>39633</v>
      </c>
      <c r="F38" s="79">
        <f t="shared" si="3"/>
        <v>24.464814814814815</v>
      </c>
      <c r="G38" s="78">
        <f>G39</f>
        <v>162000</v>
      </c>
      <c r="H38" s="78">
        <f>H39</f>
        <v>39633</v>
      </c>
      <c r="I38" s="81">
        <f aca="true" t="shared" si="5" ref="I38:I45">H38/G38*100</f>
        <v>24.464814814814815</v>
      </c>
      <c r="J38" s="82"/>
      <c r="K38" s="83"/>
      <c r="L38" s="84"/>
      <c r="M38" s="83"/>
      <c r="N38" s="83"/>
      <c r="O38" s="184"/>
      <c r="P38" s="77"/>
      <c r="Q38" s="80"/>
      <c r="R38" s="167"/>
    </row>
    <row r="39" spans="1:18" s="185" customFormat="1" ht="18" customHeight="1" thickTop="1">
      <c r="A39" s="186">
        <v>50095</v>
      </c>
      <c r="B39" s="187" t="s">
        <v>378</v>
      </c>
      <c r="C39" s="188">
        <f>SUM(C40:C44)</f>
        <v>162000</v>
      </c>
      <c r="D39" s="189">
        <f t="shared" si="2"/>
        <v>162000</v>
      </c>
      <c r="E39" s="119">
        <f>SUM(E40:E44)</f>
        <v>39633</v>
      </c>
      <c r="F39" s="168">
        <f t="shared" si="3"/>
        <v>24.464814814814815</v>
      </c>
      <c r="G39" s="137">
        <f>SUM(G40:G44)</f>
        <v>162000</v>
      </c>
      <c r="H39" s="137">
        <f>SUM(H40:H44)</f>
        <v>39633</v>
      </c>
      <c r="I39" s="170">
        <f t="shared" si="5"/>
        <v>24.464814814814815</v>
      </c>
      <c r="J39" s="124"/>
      <c r="K39" s="119"/>
      <c r="L39" s="125"/>
      <c r="M39" s="119"/>
      <c r="N39" s="119"/>
      <c r="O39" s="190"/>
      <c r="P39" s="117"/>
      <c r="Q39" s="126"/>
      <c r="R39" s="171"/>
    </row>
    <row r="40" spans="1:18" s="52" customFormat="1" ht="24">
      <c r="A40" s="191">
        <v>4210</v>
      </c>
      <c r="B40" s="192" t="s">
        <v>356</v>
      </c>
      <c r="C40" s="128">
        <v>2000</v>
      </c>
      <c r="D40" s="104">
        <f t="shared" si="2"/>
        <v>2000</v>
      </c>
      <c r="E40" s="129">
        <f>SUM(H40+K40+N40+Q40)</f>
        <v>176</v>
      </c>
      <c r="F40" s="105">
        <f t="shared" si="3"/>
        <v>8.799999999999999</v>
      </c>
      <c r="G40" s="132">
        <v>2000</v>
      </c>
      <c r="H40" s="149">
        <v>176</v>
      </c>
      <c r="I40" s="108">
        <f t="shared" si="5"/>
        <v>8.799999999999999</v>
      </c>
      <c r="J40" s="193"/>
      <c r="K40" s="129"/>
      <c r="L40" s="110"/>
      <c r="M40" s="129"/>
      <c r="N40" s="129"/>
      <c r="O40" s="194"/>
      <c r="P40" s="195"/>
      <c r="Q40" s="196"/>
      <c r="R40" s="197"/>
    </row>
    <row r="41" spans="1:18" s="52" customFormat="1" ht="14.25" customHeight="1">
      <c r="A41" s="191">
        <v>4260</v>
      </c>
      <c r="B41" s="192" t="s">
        <v>360</v>
      </c>
      <c r="C41" s="128">
        <v>2000</v>
      </c>
      <c r="D41" s="104">
        <f t="shared" si="2"/>
        <v>2000</v>
      </c>
      <c r="E41" s="129">
        <f>SUM(H41+K41+N41+Q41)</f>
        <v>212</v>
      </c>
      <c r="F41" s="105">
        <f t="shared" si="3"/>
        <v>10.6</v>
      </c>
      <c r="G41" s="128">
        <v>2000</v>
      </c>
      <c r="H41" s="104">
        <v>212</v>
      </c>
      <c r="I41" s="108">
        <f t="shared" si="5"/>
        <v>10.6</v>
      </c>
      <c r="J41" s="193"/>
      <c r="K41" s="129"/>
      <c r="L41" s="110"/>
      <c r="M41" s="129"/>
      <c r="N41" s="129"/>
      <c r="O41" s="194"/>
      <c r="P41" s="195"/>
      <c r="Q41" s="196"/>
      <c r="R41" s="197"/>
    </row>
    <row r="42" spans="1:18" s="52" customFormat="1" ht="14.25" customHeight="1">
      <c r="A42" s="191">
        <v>4270</v>
      </c>
      <c r="B42" s="192" t="s">
        <v>362</v>
      </c>
      <c r="C42" s="128">
        <v>25000</v>
      </c>
      <c r="D42" s="104">
        <f>G42+J42+P42+M42</f>
        <v>25000</v>
      </c>
      <c r="E42" s="129">
        <f>SUM(H42+K42+N42+Q42)</f>
        <v>0</v>
      </c>
      <c r="F42" s="105">
        <f>E42/D42*100</f>
        <v>0</v>
      </c>
      <c r="G42" s="128">
        <v>25000</v>
      </c>
      <c r="H42" s="104"/>
      <c r="I42" s="108">
        <f t="shared" si="5"/>
        <v>0</v>
      </c>
      <c r="J42" s="193"/>
      <c r="K42" s="129"/>
      <c r="L42" s="110"/>
      <c r="M42" s="129"/>
      <c r="N42" s="129"/>
      <c r="O42" s="194"/>
      <c r="P42" s="195"/>
      <c r="Q42" s="196"/>
      <c r="R42" s="197"/>
    </row>
    <row r="43" spans="1:18" s="52" customFormat="1" ht="14.25" customHeight="1" thickBot="1">
      <c r="A43" s="191">
        <v>4300</v>
      </c>
      <c r="B43" s="198" t="s">
        <v>364</v>
      </c>
      <c r="C43" s="128">
        <v>133000</v>
      </c>
      <c r="D43" s="104">
        <f aca="true" t="shared" si="6" ref="D43:D110">G43+J43+P43+M43</f>
        <v>133000</v>
      </c>
      <c r="E43" s="129">
        <f>SUM(H43+K43+N43+Q43)</f>
        <v>39245</v>
      </c>
      <c r="F43" s="105">
        <f>E43/D43*100</f>
        <v>29.507518796992482</v>
      </c>
      <c r="G43" s="128">
        <v>133000</v>
      </c>
      <c r="H43" s="104">
        <v>39245</v>
      </c>
      <c r="I43" s="108">
        <f t="shared" si="5"/>
        <v>29.507518796992482</v>
      </c>
      <c r="J43" s="193"/>
      <c r="K43" s="129"/>
      <c r="L43" s="110"/>
      <c r="M43" s="129"/>
      <c r="N43" s="129"/>
      <c r="O43" s="194"/>
      <c r="P43" s="195"/>
      <c r="Q43" s="196"/>
      <c r="R43" s="197"/>
    </row>
    <row r="44" spans="1:18" s="52" customFormat="1" ht="36.75" hidden="1" thickBot="1">
      <c r="A44" s="191">
        <v>6050</v>
      </c>
      <c r="B44" s="198" t="s">
        <v>387</v>
      </c>
      <c r="C44" s="128"/>
      <c r="D44" s="104">
        <f t="shared" si="6"/>
        <v>0</v>
      </c>
      <c r="E44" s="129">
        <f>SUM(H44+K44+N44+Q44)</f>
        <v>0</v>
      </c>
      <c r="F44" s="105" t="e">
        <f t="shared" si="3"/>
        <v>#DIV/0!</v>
      </c>
      <c r="G44" s="199"/>
      <c r="H44" s="164"/>
      <c r="I44" s="108" t="e">
        <f t="shared" si="5"/>
        <v>#DIV/0!</v>
      </c>
      <c r="J44" s="193"/>
      <c r="K44" s="129"/>
      <c r="L44" s="110"/>
      <c r="M44" s="129"/>
      <c r="N44" s="129"/>
      <c r="O44" s="194"/>
      <c r="P44" s="128"/>
      <c r="Q44" s="129"/>
      <c r="R44" s="200"/>
    </row>
    <row r="45" spans="1:18" s="185" customFormat="1" ht="28.5" customHeight="1" thickBot="1" thickTop="1">
      <c r="A45" s="201">
        <v>600</v>
      </c>
      <c r="B45" s="202" t="s">
        <v>388</v>
      </c>
      <c r="C45" s="203">
        <f>SUM(C46+C49+C91+C119+C125+C127)</f>
        <v>41259480</v>
      </c>
      <c r="D45" s="78">
        <f t="shared" si="6"/>
        <v>41955027</v>
      </c>
      <c r="E45" s="78">
        <f>H45+K45+Q45+N45</f>
        <v>4202214</v>
      </c>
      <c r="F45" s="204">
        <f t="shared" si="3"/>
        <v>10.015996414446354</v>
      </c>
      <c r="G45" s="78">
        <f>SUM(G91+G127+G49)+G46+G119+G125</f>
        <v>28845027</v>
      </c>
      <c r="H45" s="78">
        <f>SUM(H91+H127+H49)+H46+H119+H125</f>
        <v>3738383</v>
      </c>
      <c r="I45" s="205">
        <f t="shared" si="5"/>
        <v>12.960234011914777</v>
      </c>
      <c r="J45" s="206"/>
      <c r="K45" s="78"/>
      <c r="L45" s="84"/>
      <c r="M45" s="78">
        <f>SUM(M91+M127+M49)</f>
        <v>13110000</v>
      </c>
      <c r="N45" s="78">
        <f>SUM(N91+N127+N49)</f>
        <v>463831</v>
      </c>
      <c r="O45" s="207">
        <f>N45/M45*100</f>
        <v>3.5379938977879477</v>
      </c>
      <c r="P45" s="203"/>
      <c r="Q45" s="78"/>
      <c r="R45" s="208"/>
    </row>
    <row r="46" spans="1:18" s="221" customFormat="1" ht="27" customHeight="1" thickTop="1">
      <c r="A46" s="209">
        <v>60004</v>
      </c>
      <c r="B46" s="210" t="s">
        <v>389</v>
      </c>
      <c r="C46" s="211">
        <f>SUM(C47:C48)</f>
        <v>6500000</v>
      </c>
      <c r="D46" s="212">
        <f t="shared" si="6"/>
        <v>6500000</v>
      </c>
      <c r="E46" s="212">
        <f>H46+K46+Q46+N46</f>
        <v>750000</v>
      </c>
      <c r="F46" s="138">
        <f>E46/D46*100</f>
        <v>11.538461538461538</v>
      </c>
      <c r="G46" s="213">
        <f>SUM(G47:G48)</f>
        <v>6500000</v>
      </c>
      <c r="H46" s="213">
        <f>SUM(H47:H48)</f>
        <v>750000</v>
      </c>
      <c r="I46" s="214">
        <f>H46/G46*100</f>
        <v>11.538461538461538</v>
      </c>
      <c r="J46" s="215"/>
      <c r="K46" s="216"/>
      <c r="L46" s="217"/>
      <c r="M46" s="218"/>
      <c r="N46" s="212"/>
      <c r="O46" s="219"/>
      <c r="P46" s="211"/>
      <c r="Q46" s="213"/>
      <c r="R46" s="220"/>
    </row>
    <row r="47" spans="1:18" ht="15.75" customHeight="1">
      <c r="A47" s="172">
        <v>4300</v>
      </c>
      <c r="B47" s="198" t="s">
        <v>364</v>
      </c>
      <c r="C47" s="132">
        <v>4500000</v>
      </c>
      <c r="D47" s="149">
        <f t="shared" si="6"/>
        <v>4500000</v>
      </c>
      <c r="E47" s="149">
        <f>H47+K47+Q47+N47</f>
        <v>750000</v>
      </c>
      <c r="F47" s="130">
        <f>E47/D47*100</f>
        <v>16.666666666666664</v>
      </c>
      <c r="G47" s="149">
        <v>4500000</v>
      </c>
      <c r="H47" s="153">
        <v>750000</v>
      </c>
      <c r="I47" s="222">
        <f>H47/G47*100</f>
        <v>16.666666666666664</v>
      </c>
      <c r="J47" s="223"/>
      <c r="K47" s="177"/>
      <c r="L47" s="113"/>
      <c r="M47" s="224"/>
      <c r="N47" s="150"/>
      <c r="O47" s="225"/>
      <c r="P47" s="132"/>
      <c r="Q47" s="150"/>
      <c r="R47" s="226"/>
    </row>
    <row r="48" spans="1:18" ht="60">
      <c r="A48" s="227">
        <v>6010</v>
      </c>
      <c r="B48" s="228" t="s">
        <v>390</v>
      </c>
      <c r="C48" s="229">
        <v>2000000</v>
      </c>
      <c r="D48" s="230">
        <f t="shared" si="6"/>
        <v>2000000</v>
      </c>
      <c r="E48" s="230">
        <f>H48+K48+Q48+N48</f>
        <v>0</v>
      </c>
      <c r="F48" s="168">
        <f>E48/D48*100</f>
        <v>0</v>
      </c>
      <c r="G48" s="230">
        <v>2000000</v>
      </c>
      <c r="H48" s="231"/>
      <c r="I48" s="232">
        <f>H48/G48*100</f>
        <v>0</v>
      </c>
      <c r="J48" s="233"/>
      <c r="K48" s="234"/>
      <c r="L48" s="170"/>
      <c r="M48" s="235"/>
      <c r="N48" s="236"/>
      <c r="O48" s="237"/>
      <c r="P48" s="229"/>
      <c r="Q48" s="236"/>
      <c r="R48" s="238"/>
    </row>
    <row r="49" spans="1:18" s="185" customFormat="1" ht="39" customHeight="1">
      <c r="A49" s="239">
        <v>60015</v>
      </c>
      <c r="B49" s="240" t="s">
        <v>391</v>
      </c>
      <c r="C49" s="143">
        <f>SUM(C50:C58)+SUM(C87:C90)</f>
        <v>12940000</v>
      </c>
      <c r="D49" s="137">
        <f t="shared" si="6"/>
        <v>13110000</v>
      </c>
      <c r="E49" s="137">
        <f>H49+K49+Q49+N49</f>
        <v>463831</v>
      </c>
      <c r="F49" s="138">
        <f t="shared" si="3"/>
        <v>3.5379938977879477</v>
      </c>
      <c r="G49" s="118"/>
      <c r="H49" s="241"/>
      <c r="I49" s="242"/>
      <c r="J49" s="241"/>
      <c r="K49" s="118"/>
      <c r="L49" s="243"/>
      <c r="M49" s="139">
        <f>SUM(M50:M58)+SUM(M87:M90)</f>
        <v>13110000</v>
      </c>
      <c r="N49" s="118">
        <f>SUM(N50:N58)+SUM(N87:N90)</f>
        <v>463831</v>
      </c>
      <c r="O49" s="243">
        <f aca="true" t="shared" si="7" ref="O49:O90">N49/M49*100</f>
        <v>3.5379938977879477</v>
      </c>
      <c r="P49" s="143"/>
      <c r="Q49" s="118"/>
      <c r="R49" s="244"/>
    </row>
    <row r="50" spans="1:18" ht="24">
      <c r="A50" s="191">
        <v>4210</v>
      </c>
      <c r="B50" s="192" t="s">
        <v>356</v>
      </c>
      <c r="C50" s="128">
        <v>50000</v>
      </c>
      <c r="D50" s="104">
        <f t="shared" si="6"/>
        <v>50000</v>
      </c>
      <c r="E50" s="129">
        <f>SUM(H50+K50+N50+Q50)</f>
        <v>16970</v>
      </c>
      <c r="F50" s="105">
        <f t="shared" si="3"/>
        <v>33.94</v>
      </c>
      <c r="G50" s="196"/>
      <c r="H50" s="245"/>
      <c r="I50" s="246"/>
      <c r="J50" s="245"/>
      <c r="K50" s="196"/>
      <c r="L50" s="108"/>
      <c r="M50" s="247">
        <v>50000</v>
      </c>
      <c r="N50" s="196">
        <v>16970</v>
      </c>
      <c r="O50" s="108">
        <f t="shared" si="7"/>
        <v>33.94</v>
      </c>
      <c r="P50" s="195"/>
      <c r="Q50" s="196"/>
      <c r="R50" s="197"/>
    </row>
    <row r="51" spans="1:18" ht="24" hidden="1">
      <c r="A51" s="191">
        <v>4170</v>
      </c>
      <c r="B51" s="192" t="s">
        <v>392</v>
      </c>
      <c r="C51" s="128"/>
      <c r="D51" s="104">
        <f t="shared" si="6"/>
        <v>0</v>
      </c>
      <c r="E51" s="129">
        <f>SUM(H51+K51+N51+Q51)</f>
        <v>0</v>
      </c>
      <c r="F51" s="105" t="e">
        <f>E51/D51*100</f>
        <v>#DIV/0!</v>
      </c>
      <c r="G51" s="196"/>
      <c r="H51" s="245"/>
      <c r="I51" s="246"/>
      <c r="J51" s="245"/>
      <c r="K51" s="196"/>
      <c r="L51" s="108"/>
      <c r="M51" s="247"/>
      <c r="N51" s="196"/>
      <c r="O51" s="108" t="e">
        <f t="shared" si="7"/>
        <v>#DIV/0!</v>
      </c>
      <c r="P51" s="195"/>
      <c r="Q51" s="196"/>
      <c r="R51" s="197"/>
    </row>
    <row r="52" spans="1:18" ht="15.75" customHeight="1">
      <c r="A52" s="191">
        <v>4260</v>
      </c>
      <c r="B52" s="192" t="s">
        <v>360</v>
      </c>
      <c r="C52" s="128">
        <v>65000</v>
      </c>
      <c r="D52" s="104">
        <f t="shared" si="6"/>
        <v>65000</v>
      </c>
      <c r="E52" s="129">
        <f>SUM(H52+K52+N52+Q52)</f>
        <v>13803</v>
      </c>
      <c r="F52" s="105">
        <f t="shared" si="3"/>
        <v>21.235384615384614</v>
      </c>
      <c r="G52" s="196"/>
      <c r="H52" s="245"/>
      <c r="I52" s="246"/>
      <c r="J52" s="245"/>
      <c r="K52" s="196"/>
      <c r="L52" s="108"/>
      <c r="M52" s="247">
        <v>65000</v>
      </c>
      <c r="N52" s="196">
        <v>13803</v>
      </c>
      <c r="O52" s="108">
        <f t="shared" si="7"/>
        <v>21.235384615384614</v>
      </c>
      <c r="P52" s="195"/>
      <c r="Q52" s="196"/>
      <c r="R52" s="197"/>
    </row>
    <row r="53" spans="1:18" ht="15.75" customHeight="1">
      <c r="A53" s="191">
        <v>4270</v>
      </c>
      <c r="B53" s="198" t="s">
        <v>362</v>
      </c>
      <c r="C53" s="128">
        <v>650000</v>
      </c>
      <c r="D53" s="104">
        <f t="shared" si="6"/>
        <v>550000</v>
      </c>
      <c r="E53" s="129">
        <f>SUM(H53+K53+N53+Q53)</f>
        <v>174515</v>
      </c>
      <c r="F53" s="105">
        <f t="shared" si="3"/>
        <v>31.730000000000004</v>
      </c>
      <c r="G53" s="129"/>
      <c r="H53" s="193"/>
      <c r="I53" s="194"/>
      <c r="J53" s="193"/>
      <c r="K53" s="129"/>
      <c r="L53" s="110"/>
      <c r="M53" s="247">
        <f>650000-100000</f>
        <v>550000</v>
      </c>
      <c r="N53" s="129">
        <v>174515</v>
      </c>
      <c r="O53" s="108">
        <f t="shared" si="7"/>
        <v>31.730000000000004</v>
      </c>
      <c r="P53" s="128"/>
      <c r="Q53" s="129"/>
      <c r="R53" s="197"/>
    </row>
    <row r="54" spans="1:18" ht="15.75" customHeight="1">
      <c r="A54" s="191">
        <v>4300</v>
      </c>
      <c r="B54" s="198" t="s">
        <v>364</v>
      </c>
      <c r="C54" s="128">
        <v>25000</v>
      </c>
      <c r="D54" s="104">
        <f t="shared" si="6"/>
        <v>25000</v>
      </c>
      <c r="E54" s="129">
        <f aca="true" t="shared" si="8" ref="E54:E114">SUM(H54+K54+N54+Q54)</f>
        <v>4175</v>
      </c>
      <c r="F54" s="105">
        <f t="shared" si="3"/>
        <v>16.7</v>
      </c>
      <c r="G54" s="129"/>
      <c r="H54" s="193"/>
      <c r="I54" s="194"/>
      <c r="J54" s="193"/>
      <c r="K54" s="129"/>
      <c r="L54" s="110"/>
      <c r="M54" s="247">
        <v>25000</v>
      </c>
      <c r="N54" s="129">
        <v>4175</v>
      </c>
      <c r="O54" s="108">
        <f t="shared" si="7"/>
        <v>16.7</v>
      </c>
      <c r="P54" s="128"/>
      <c r="Q54" s="129"/>
      <c r="R54" s="197"/>
    </row>
    <row r="55" spans="1:18" ht="36">
      <c r="A55" s="191">
        <v>4390</v>
      </c>
      <c r="B55" s="198" t="s">
        <v>393</v>
      </c>
      <c r="C55" s="128">
        <v>20000</v>
      </c>
      <c r="D55" s="104">
        <f t="shared" si="6"/>
        <v>20000</v>
      </c>
      <c r="E55" s="129">
        <f>SUM(H55+K55+N55+Q55)</f>
        <v>0</v>
      </c>
      <c r="F55" s="105">
        <f>E55/D55*100</f>
        <v>0</v>
      </c>
      <c r="G55" s="129"/>
      <c r="H55" s="193"/>
      <c r="I55" s="194"/>
      <c r="J55" s="193"/>
      <c r="K55" s="129"/>
      <c r="L55" s="110"/>
      <c r="M55" s="247">
        <v>20000</v>
      </c>
      <c r="N55" s="129"/>
      <c r="O55" s="108">
        <f t="shared" si="7"/>
        <v>0</v>
      </c>
      <c r="P55" s="128"/>
      <c r="Q55" s="129"/>
      <c r="R55" s="197"/>
    </row>
    <row r="56" spans="1:18" ht="12.75" hidden="1">
      <c r="A56" s="191">
        <v>4580</v>
      </c>
      <c r="B56" s="198" t="s">
        <v>394</v>
      </c>
      <c r="C56" s="128"/>
      <c r="D56" s="104">
        <f t="shared" si="6"/>
        <v>0</v>
      </c>
      <c r="E56" s="129">
        <f>SUM(H56+K56+N56+Q56)</f>
        <v>0</v>
      </c>
      <c r="F56" s="105" t="e">
        <f>E56/D56*100</f>
        <v>#DIV/0!</v>
      </c>
      <c r="G56" s="129"/>
      <c r="H56" s="193"/>
      <c r="I56" s="194"/>
      <c r="J56" s="193"/>
      <c r="K56" s="129"/>
      <c r="L56" s="110"/>
      <c r="M56" s="247"/>
      <c r="N56" s="129"/>
      <c r="O56" s="108" t="e">
        <f t="shared" si="7"/>
        <v>#DIV/0!</v>
      </c>
      <c r="P56" s="128"/>
      <c r="Q56" s="129"/>
      <c r="R56" s="197"/>
    </row>
    <row r="57" spans="1:18" ht="36" hidden="1">
      <c r="A57" s="191">
        <v>4610</v>
      </c>
      <c r="B57" s="198" t="s">
        <v>395</v>
      </c>
      <c r="C57" s="128"/>
      <c r="D57" s="104">
        <f t="shared" si="6"/>
        <v>0</v>
      </c>
      <c r="E57" s="129">
        <f>SUM(H57+K57+N57+Q57)</f>
        <v>0</v>
      </c>
      <c r="F57" s="105" t="e">
        <f>E57/D57*100</f>
        <v>#DIV/0!</v>
      </c>
      <c r="G57" s="129"/>
      <c r="H57" s="193"/>
      <c r="I57" s="194"/>
      <c r="J57" s="193"/>
      <c r="K57" s="129"/>
      <c r="L57" s="110"/>
      <c r="M57" s="247"/>
      <c r="N57" s="129"/>
      <c r="O57" s="108" t="e">
        <f t="shared" si="7"/>
        <v>#DIV/0!</v>
      </c>
      <c r="P57" s="128"/>
      <c r="Q57" s="129"/>
      <c r="R57" s="197"/>
    </row>
    <row r="58" spans="1:18" ht="24">
      <c r="A58" s="191">
        <v>6050</v>
      </c>
      <c r="B58" s="198" t="s">
        <v>396</v>
      </c>
      <c r="C58" s="128">
        <f>SUM(C59:C84)</f>
        <v>12130000</v>
      </c>
      <c r="D58" s="104">
        <f t="shared" si="6"/>
        <v>12400000</v>
      </c>
      <c r="E58" s="129">
        <f t="shared" si="8"/>
        <v>254368</v>
      </c>
      <c r="F58" s="105">
        <f t="shared" si="3"/>
        <v>2.0513548387096776</v>
      </c>
      <c r="G58" s="129"/>
      <c r="H58" s="193"/>
      <c r="I58" s="194"/>
      <c r="J58" s="193"/>
      <c r="K58" s="129"/>
      <c r="L58" s="110"/>
      <c r="M58" s="247">
        <f>SUM(M59:M84)</f>
        <v>12400000</v>
      </c>
      <c r="N58" s="129">
        <f>SUM(N59:N84)</f>
        <v>254368</v>
      </c>
      <c r="O58" s="108">
        <f t="shared" si="7"/>
        <v>2.0513548387096776</v>
      </c>
      <c r="P58" s="128"/>
      <c r="Q58" s="129"/>
      <c r="R58" s="197"/>
    </row>
    <row r="59" spans="1:18" s="254" customFormat="1" ht="24">
      <c r="A59" s="248"/>
      <c r="B59" s="249" t="s">
        <v>397</v>
      </c>
      <c r="C59" s="250">
        <v>2200000</v>
      </c>
      <c r="D59" s="251">
        <f t="shared" si="6"/>
        <v>2200000</v>
      </c>
      <c r="E59" s="251">
        <f t="shared" si="8"/>
        <v>3386</v>
      </c>
      <c r="F59" s="105">
        <f t="shared" si="3"/>
        <v>0.1539090909090909</v>
      </c>
      <c r="G59" s="251"/>
      <c r="H59" s="252"/>
      <c r="I59" s="110"/>
      <c r="J59" s="252"/>
      <c r="K59" s="251"/>
      <c r="L59" s="110"/>
      <c r="M59" s="253">
        <v>2200000</v>
      </c>
      <c r="N59" s="251">
        <f>3385+1</f>
        <v>3386</v>
      </c>
      <c r="O59" s="108">
        <f t="shared" si="7"/>
        <v>0.1539090909090909</v>
      </c>
      <c r="P59" s="250"/>
      <c r="Q59" s="251"/>
      <c r="R59" s="162"/>
    </row>
    <row r="60" spans="1:18" s="254" customFormat="1" ht="24">
      <c r="A60" s="248"/>
      <c r="B60" s="249" t="s">
        <v>398</v>
      </c>
      <c r="C60" s="250">
        <v>50000</v>
      </c>
      <c r="D60" s="251">
        <f t="shared" si="6"/>
        <v>50000</v>
      </c>
      <c r="E60" s="251">
        <f t="shared" si="8"/>
        <v>0</v>
      </c>
      <c r="F60" s="105">
        <f t="shared" si="3"/>
        <v>0</v>
      </c>
      <c r="G60" s="251"/>
      <c r="H60" s="252"/>
      <c r="I60" s="110"/>
      <c r="J60" s="252"/>
      <c r="K60" s="251"/>
      <c r="L60" s="110"/>
      <c r="M60" s="253">
        <v>50000</v>
      </c>
      <c r="N60" s="251"/>
      <c r="O60" s="108">
        <f t="shared" si="7"/>
        <v>0</v>
      </c>
      <c r="P60" s="250"/>
      <c r="Q60" s="251"/>
      <c r="R60" s="162"/>
    </row>
    <row r="61" spans="1:18" s="254" customFormat="1" ht="36">
      <c r="A61" s="248"/>
      <c r="B61" s="249" t="s">
        <v>399</v>
      </c>
      <c r="C61" s="250">
        <v>10000</v>
      </c>
      <c r="D61" s="251">
        <f t="shared" si="6"/>
        <v>10000</v>
      </c>
      <c r="E61" s="251">
        <f t="shared" si="8"/>
        <v>0</v>
      </c>
      <c r="F61" s="105">
        <f t="shared" si="3"/>
        <v>0</v>
      </c>
      <c r="G61" s="251"/>
      <c r="H61" s="252"/>
      <c r="I61" s="110"/>
      <c r="J61" s="252"/>
      <c r="K61" s="251"/>
      <c r="L61" s="110"/>
      <c r="M61" s="253">
        <v>10000</v>
      </c>
      <c r="N61" s="251"/>
      <c r="O61" s="108">
        <f t="shared" si="7"/>
        <v>0</v>
      </c>
      <c r="P61" s="250"/>
      <c r="Q61" s="251"/>
      <c r="R61" s="162"/>
    </row>
    <row r="62" spans="1:18" s="254" customFormat="1" ht="72">
      <c r="A62" s="248"/>
      <c r="B62" s="249" t="s">
        <v>400</v>
      </c>
      <c r="C62" s="250">
        <v>2400000</v>
      </c>
      <c r="D62" s="251">
        <f t="shared" si="6"/>
        <v>2400000</v>
      </c>
      <c r="E62" s="251">
        <f>SUM(H62+K62+N62+Q62)</f>
        <v>200780</v>
      </c>
      <c r="F62" s="105">
        <f>E62/D62*100</f>
        <v>8.365833333333333</v>
      </c>
      <c r="G62" s="251"/>
      <c r="H62" s="252"/>
      <c r="I62" s="110"/>
      <c r="J62" s="252"/>
      <c r="K62" s="251"/>
      <c r="L62" s="110"/>
      <c r="M62" s="253">
        <v>2400000</v>
      </c>
      <c r="N62" s="251">
        <v>200780</v>
      </c>
      <c r="O62" s="108">
        <f t="shared" si="7"/>
        <v>8.365833333333333</v>
      </c>
      <c r="P62" s="250"/>
      <c r="Q62" s="251"/>
      <c r="R62" s="162"/>
    </row>
    <row r="63" spans="1:18" s="254" customFormat="1" ht="48">
      <c r="A63" s="248"/>
      <c r="B63" s="249" t="s">
        <v>401</v>
      </c>
      <c r="C63" s="250">
        <v>20000</v>
      </c>
      <c r="D63" s="251">
        <f t="shared" si="6"/>
        <v>20000</v>
      </c>
      <c r="E63" s="251">
        <f t="shared" si="8"/>
        <v>0</v>
      </c>
      <c r="F63" s="105">
        <f>E63/D63*100</f>
        <v>0</v>
      </c>
      <c r="G63" s="251"/>
      <c r="H63" s="252"/>
      <c r="I63" s="110"/>
      <c r="J63" s="252"/>
      <c r="K63" s="251"/>
      <c r="L63" s="110"/>
      <c r="M63" s="253">
        <v>20000</v>
      </c>
      <c r="N63" s="251"/>
      <c r="O63" s="108">
        <f t="shared" si="7"/>
        <v>0</v>
      </c>
      <c r="P63" s="250"/>
      <c r="Q63" s="251"/>
      <c r="R63" s="162"/>
    </row>
    <row r="64" spans="1:18" s="254" customFormat="1" ht="36">
      <c r="A64" s="248"/>
      <c r="B64" s="249" t="s">
        <v>402</v>
      </c>
      <c r="C64" s="250">
        <v>100000</v>
      </c>
      <c r="D64" s="251">
        <f t="shared" si="6"/>
        <v>100000</v>
      </c>
      <c r="E64" s="251">
        <f t="shared" si="8"/>
        <v>0</v>
      </c>
      <c r="F64" s="105">
        <f aca="true" t="shared" si="9" ref="F64:F91">E64/D64*100</f>
        <v>0</v>
      </c>
      <c r="G64" s="251"/>
      <c r="H64" s="252"/>
      <c r="I64" s="110"/>
      <c r="J64" s="252"/>
      <c r="K64" s="251"/>
      <c r="L64" s="110"/>
      <c r="M64" s="253">
        <v>100000</v>
      </c>
      <c r="N64" s="251"/>
      <c r="O64" s="108">
        <f t="shared" si="7"/>
        <v>0</v>
      </c>
      <c r="P64" s="250"/>
      <c r="Q64" s="251"/>
      <c r="R64" s="162"/>
    </row>
    <row r="65" spans="1:18" s="254" customFormat="1" ht="36">
      <c r="A65" s="248"/>
      <c r="B65" s="249" t="s">
        <v>403</v>
      </c>
      <c r="C65" s="250">
        <v>500000</v>
      </c>
      <c r="D65" s="251">
        <f t="shared" si="6"/>
        <v>500000</v>
      </c>
      <c r="E65" s="251">
        <f>SUM(H65+K65+N65+Q65)</f>
        <v>0</v>
      </c>
      <c r="F65" s="105">
        <f>E65/D65*100</f>
        <v>0</v>
      </c>
      <c r="G65" s="251"/>
      <c r="H65" s="252"/>
      <c r="I65" s="110"/>
      <c r="J65" s="252"/>
      <c r="K65" s="251"/>
      <c r="L65" s="110"/>
      <c r="M65" s="253">
        <v>500000</v>
      </c>
      <c r="N65" s="251"/>
      <c r="O65" s="108">
        <f t="shared" si="7"/>
        <v>0</v>
      </c>
      <c r="P65" s="250"/>
      <c r="Q65" s="251"/>
      <c r="R65" s="162"/>
    </row>
    <row r="66" spans="1:18" s="254" customFormat="1" ht="12.75">
      <c r="A66" s="248"/>
      <c r="B66" s="249" t="s">
        <v>404</v>
      </c>
      <c r="C66" s="250">
        <v>100000</v>
      </c>
      <c r="D66" s="251">
        <f t="shared" si="6"/>
        <v>100000</v>
      </c>
      <c r="E66" s="251">
        <f t="shared" si="8"/>
        <v>0</v>
      </c>
      <c r="F66" s="105">
        <f t="shared" si="9"/>
        <v>0</v>
      </c>
      <c r="G66" s="251"/>
      <c r="H66" s="252"/>
      <c r="I66" s="110"/>
      <c r="J66" s="252"/>
      <c r="K66" s="251"/>
      <c r="L66" s="110"/>
      <c r="M66" s="253">
        <v>100000</v>
      </c>
      <c r="N66" s="251"/>
      <c r="O66" s="108">
        <f t="shared" si="7"/>
        <v>0</v>
      </c>
      <c r="P66" s="250"/>
      <c r="Q66" s="251"/>
      <c r="R66" s="162"/>
    </row>
    <row r="67" spans="1:18" s="254" customFormat="1" ht="12.75">
      <c r="A67" s="248"/>
      <c r="B67" s="249" t="s">
        <v>405</v>
      </c>
      <c r="C67" s="250">
        <v>100000</v>
      </c>
      <c r="D67" s="251">
        <f t="shared" si="6"/>
        <v>100000</v>
      </c>
      <c r="E67" s="251">
        <f t="shared" si="8"/>
        <v>0</v>
      </c>
      <c r="F67" s="105">
        <f t="shared" si="9"/>
        <v>0</v>
      </c>
      <c r="G67" s="251"/>
      <c r="H67" s="252"/>
      <c r="I67" s="110"/>
      <c r="J67" s="252"/>
      <c r="K67" s="251"/>
      <c r="L67" s="110"/>
      <c r="M67" s="253">
        <v>100000</v>
      </c>
      <c r="N67" s="251"/>
      <c r="O67" s="108">
        <f t="shared" si="7"/>
        <v>0</v>
      </c>
      <c r="P67" s="250"/>
      <c r="Q67" s="251"/>
      <c r="R67" s="162"/>
    </row>
    <row r="68" spans="1:18" s="254" customFormat="1" ht="12.75">
      <c r="A68" s="248"/>
      <c r="B68" s="249" t="s">
        <v>406</v>
      </c>
      <c r="C68" s="250">
        <v>100000</v>
      </c>
      <c r="D68" s="251">
        <f t="shared" si="6"/>
        <v>100000</v>
      </c>
      <c r="E68" s="251">
        <f t="shared" si="8"/>
        <v>0</v>
      </c>
      <c r="F68" s="105">
        <f t="shared" si="9"/>
        <v>0</v>
      </c>
      <c r="G68" s="251"/>
      <c r="H68" s="252"/>
      <c r="I68" s="110"/>
      <c r="J68" s="252"/>
      <c r="K68" s="251"/>
      <c r="L68" s="110"/>
      <c r="M68" s="253">
        <v>100000</v>
      </c>
      <c r="N68" s="251"/>
      <c r="O68" s="108">
        <f t="shared" si="7"/>
        <v>0</v>
      </c>
      <c r="P68" s="250"/>
      <c r="Q68" s="251"/>
      <c r="R68" s="162"/>
    </row>
    <row r="69" spans="1:18" s="254" customFormat="1" ht="24">
      <c r="A69" s="248"/>
      <c r="B69" s="249" t="s">
        <v>407</v>
      </c>
      <c r="C69" s="250">
        <v>1580000</v>
      </c>
      <c r="D69" s="251">
        <f t="shared" si="6"/>
        <v>1450000</v>
      </c>
      <c r="E69" s="251">
        <f t="shared" si="8"/>
        <v>140</v>
      </c>
      <c r="F69" s="105">
        <f t="shared" si="9"/>
        <v>0.009655172413793104</v>
      </c>
      <c r="G69" s="251"/>
      <c r="H69" s="252"/>
      <c r="I69" s="110"/>
      <c r="J69" s="252"/>
      <c r="K69" s="251"/>
      <c r="L69" s="110"/>
      <c r="M69" s="253">
        <f>1580000-130000</f>
        <v>1450000</v>
      </c>
      <c r="N69" s="251">
        <v>140</v>
      </c>
      <c r="O69" s="108">
        <f t="shared" si="7"/>
        <v>0.009655172413793104</v>
      </c>
      <c r="P69" s="250"/>
      <c r="Q69" s="251"/>
      <c r="R69" s="162"/>
    </row>
    <row r="70" spans="1:18" s="254" customFormat="1" ht="36">
      <c r="A70" s="248"/>
      <c r="B70" s="249" t="s">
        <v>408</v>
      </c>
      <c r="C70" s="250">
        <v>830000</v>
      </c>
      <c r="D70" s="251">
        <f t="shared" si="6"/>
        <v>830000</v>
      </c>
      <c r="E70" s="251">
        <f t="shared" si="8"/>
        <v>0</v>
      </c>
      <c r="F70" s="105">
        <f t="shared" si="9"/>
        <v>0</v>
      </c>
      <c r="G70" s="251"/>
      <c r="H70" s="252"/>
      <c r="I70" s="110"/>
      <c r="J70" s="252"/>
      <c r="K70" s="251"/>
      <c r="L70" s="110"/>
      <c r="M70" s="253">
        <v>830000</v>
      </c>
      <c r="N70" s="251"/>
      <c r="O70" s="108">
        <f t="shared" si="7"/>
        <v>0</v>
      </c>
      <c r="P70" s="250"/>
      <c r="Q70" s="251"/>
      <c r="R70" s="162"/>
    </row>
    <row r="71" spans="1:18" s="254" customFormat="1" ht="36">
      <c r="A71" s="248"/>
      <c r="B71" s="249" t="s">
        <v>409</v>
      </c>
      <c r="C71" s="250">
        <v>1200000</v>
      </c>
      <c r="D71" s="251">
        <f t="shared" si="6"/>
        <v>1200000</v>
      </c>
      <c r="E71" s="251">
        <f t="shared" si="8"/>
        <v>0</v>
      </c>
      <c r="F71" s="105">
        <f t="shared" si="9"/>
        <v>0</v>
      </c>
      <c r="G71" s="251"/>
      <c r="H71" s="252"/>
      <c r="I71" s="110"/>
      <c r="J71" s="252"/>
      <c r="K71" s="251"/>
      <c r="L71" s="110"/>
      <c r="M71" s="253">
        <v>1200000</v>
      </c>
      <c r="N71" s="251"/>
      <c r="O71" s="108">
        <f t="shared" si="7"/>
        <v>0</v>
      </c>
      <c r="P71" s="250"/>
      <c r="Q71" s="251"/>
      <c r="R71" s="162"/>
    </row>
    <row r="72" spans="1:18" s="254" customFormat="1" ht="36">
      <c r="A72" s="248"/>
      <c r="B72" s="249" t="s">
        <v>410</v>
      </c>
      <c r="C72" s="250">
        <v>100000</v>
      </c>
      <c r="D72" s="251">
        <f t="shared" si="6"/>
        <v>100000</v>
      </c>
      <c r="E72" s="251">
        <f t="shared" si="8"/>
        <v>0</v>
      </c>
      <c r="F72" s="105">
        <f>E72/D72*100</f>
        <v>0</v>
      </c>
      <c r="G72" s="251"/>
      <c r="H72" s="252"/>
      <c r="I72" s="110"/>
      <c r="J72" s="252"/>
      <c r="K72" s="251"/>
      <c r="L72" s="110"/>
      <c r="M72" s="253">
        <v>100000</v>
      </c>
      <c r="N72" s="251"/>
      <c r="O72" s="108">
        <f t="shared" si="7"/>
        <v>0</v>
      </c>
      <c r="P72" s="250"/>
      <c r="Q72" s="251"/>
      <c r="R72" s="162"/>
    </row>
    <row r="73" spans="1:18" s="254" customFormat="1" ht="24">
      <c r="A73" s="248"/>
      <c r="B73" s="249" t="s">
        <v>411</v>
      </c>
      <c r="C73" s="250">
        <v>20000</v>
      </c>
      <c r="D73" s="251">
        <f t="shared" si="6"/>
        <v>20000</v>
      </c>
      <c r="E73" s="251">
        <f t="shared" si="8"/>
        <v>0</v>
      </c>
      <c r="F73" s="105">
        <f t="shared" si="9"/>
        <v>0</v>
      </c>
      <c r="G73" s="251"/>
      <c r="H73" s="252"/>
      <c r="I73" s="110"/>
      <c r="J73" s="252"/>
      <c r="K73" s="251"/>
      <c r="L73" s="110"/>
      <c r="M73" s="253">
        <v>20000</v>
      </c>
      <c r="N73" s="251"/>
      <c r="O73" s="108">
        <f t="shared" si="7"/>
        <v>0</v>
      </c>
      <c r="P73" s="250"/>
      <c r="Q73" s="251"/>
      <c r="R73" s="162"/>
    </row>
    <row r="74" spans="1:18" s="254" customFormat="1" ht="12.75" hidden="1">
      <c r="A74" s="248"/>
      <c r="B74" s="249" t="s">
        <v>412</v>
      </c>
      <c r="C74" s="250"/>
      <c r="D74" s="251">
        <f t="shared" si="6"/>
        <v>0</v>
      </c>
      <c r="E74" s="251">
        <f t="shared" si="8"/>
        <v>0</v>
      </c>
      <c r="F74" s="105" t="e">
        <f t="shared" si="9"/>
        <v>#DIV/0!</v>
      </c>
      <c r="G74" s="251"/>
      <c r="H74" s="252"/>
      <c r="I74" s="110"/>
      <c r="J74" s="252"/>
      <c r="K74" s="251"/>
      <c r="L74" s="110"/>
      <c r="M74" s="253"/>
      <c r="N74" s="251"/>
      <c r="O74" s="108" t="e">
        <f t="shared" si="7"/>
        <v>#DIV/0!</v>
      </c>
      <c r="P74" s="250"/>
      <c r="Q74" s="251"/>
      <c r="R74" s="162"/>
    </row>
    <row r="75" spans="1:18" s="254" customFormat="1" ht="24">
      <c r="A75" s="248"/>
      <c r="B75" s="249" t="s">
        <v>413</v>
      </c>
      <c r="C75" s="250">
        <v>600000</v>
      </c>
      <c r="D75" s="251">
        <f t="shared" si="6"/>
        <v>600000</v>
      </c>
      <c r="E75" s="251">
        <f t="shared" si="8"/>
        <v>62</v>
      </c>
      <c r="F75" s="105">
        <f t="shared" si="9"/>
        <v>0.010333333333333333</v>
      </c>
      <c r="G75" s="251"/>
      <c r="H75" s="252"/>
      <c r="I75" s="110"/>
      <c r="J75" s="252"/>
      <c r="K75" s="251"/>
      <c r="L75" s="110"/>
      <c r="M75" s="253">
        <v>600000</v>
      </c>
      <c r="N75" s="251">
        <v>62</v>
      </c>
      <c r="O75" s="108">
        <f t="shared" si="7"/>
        <v>0.010333333333333333</v>
      </c>
      <c r="P75" s="250"/>
      <c r="Q75" s="251"/>
      <c r="R75" s="162"/>
    </row>
    <row r="76" spans="1:18" s="254" customFormat="1" ht="24">
      <c r="A76" s="248"/>
      <c r="B76" s="249" t="s">
        <v>414</v>
      </c>
      <c r="C76" s="250">
        <v>600000</v>
      </c>
      <c r="D76" s="251">
        <f t="shared" si="6"/>
        <v>600000</v>
      </c>
      <c r="E76" s="251">
        <f t="shared" si="8"/>
        <v>0</v>
      </c>
      <c r="F76" s="105">
        <f t="shared" si="9"/>
        <v>0</v>
      </c>
      <c r="G76" s="251"/>
      <c r="H76" s="252"/>
      <c r="I76" s="110"/>
      <c r="J76" s="252"/>
      <c r="K76" s="251"/>
      <c r="L76" s="110"/>
      <c r="M76" s="253">
        <v>600000</v>
      </c>
      <c r="N76" s="251"/>
      <c r="O76" s="108">
        <f t="shared" si="7"/>
        <v>0</v>
      </c>
      <c r="P76" s="250"/>
      <c r="Q76" s="251"/>
      <c r="R76" s="162"/>
    </row>
    <row r="77" spans="1:18" s="254" customFormat="1" ht="60">
      <c r="A77" s="248"/>
      <c r="B77" s="249" t="s">
        <v>415</v>
      </c>
      <c r="C77" s="250">
        <v>500000</v>
      </c>
      <c r="D77" s="251">
        <f t="shared" si="6"/>
        <v>500000</v>
      </c>
      <c r="E77" s="251">
        <f t="shared" si="8"/>
        <v>0</v>
      </c>
      <c r="F77" s="105">
        <f t="shared" si="9"/>
        <v>0</v>
      </c>
      <c r="G77" s="251"/>
      <c r="H77" s="252"/>
      <c r="I77" s="110"/>
      <c r="J77" s="252"/>
      <c r="K77" s="251"/>
      <c r="L77" s="110"/>
      <c r="M77" s="253">
        <v>500000</v>
      </c>
      <c r="N77" s="251"/>
      <c r="O77" s="108">
        <f t="shared" si="7"/>
        <v>0</v>
      </c>
      <c r="P77" s="250"/>
      <c r="Q77" s="251"/>
      <c r="R77" s="162"/>
    </row>
    <row r="78" spans="1:18" s="254" customFormat="1" ht="36">
      <c r="A78" s="248"/>
      <c r="B78" s="249" t="s">
        <v>416</v>
      </c>
      <c r="C78" s="250">
        <v>50000</v>
      </c>
      <c r="D78" s="251">
        <f t="shared" si="6"/>
        <v>50000</v>
      </c>
      <c r="E78" s="251">
        <f t="shared" si="8"/>
        <v>0</v>
      </c>
      <c r="F78" s="105">
        <f t="shared" si="9"/>
        <v>0</v>
      </c>
      <c r="G78" s="251"/>
      <c r="H78" s="252"/>
      <c r="I78" s="110"/>
      <c r="J78" s="252"/>
      <c r="K78" s="251"/>
      <c r="L78" s="110"/>
      <c r="M78" s="253">
        <v>50000</v>
      </c>
      <c r="N78" s="251"/>
      <c r="O78" s="108">
        <f t="shared" si="7"/>
        <v>0</v>
      </c>
      <c r="P78" s="250"/>
      <c r="Q78" s="251"/>
      <c r="R78" s="162"/>
    </row>
    <row r="79" spans="1:18" s="254" customFormat="1" ht="36">
      <c r="A79" s="248"/>
      <c r="B79" s="249" t="s">
        <v>417</v>
      </c>
      <c r="C79" s="250">
        <v>20000</v>
      </c>
      <c r="D79" s="251">
        <f t="shared" si="6"/>
        <v>20000</v>
      </c>
      <c r="E79" s="251">
        <f t="shared" si="8"/>
        <v>0</v>
      </c>
      <c r="F79" s="105">
        <f t="shared" si="9"/>
        <v>0</v>
      </c>
      <c r="G79" s="251"/>
      <c r="H79" s="252"/>
      <c r="I79" s="110"/>
      <c r="J79" s="252"/>
      <c r="K79" s="251"/>
      <c r="L79" s="110"/>
      <c r="M79" s="253">
        <v>20000</v>
      </c>
      <c r="N79" s="251"/>
      <c r="O79" s="108">
        <f t="shared" si="7"/>
        <v>0</v>
      </c>
      <c r="P79" s="250"/>
      <c r="Q79" s="251"/>
      <c r="R79" s="162"/>
    </row>
    <row r="80" spans="1:18" s="254" customFormat="1" ht="24">
      <c r="A80" s="248"/>
      <c r="B80" s="249" t="s">
        <v>418</v>
      </c>
      <c r="C80" s="250">
        <v>200000</v>
      </c>
      <c r="D80" s="251">
        <f t="shared" si="6"/>
        <v>200000</v>
      </c>
      <c r="E80" s="251">
        <f t="shared" si="8"/>
        <v>0</v>
      </c>
      <c r="F80" s="105">
        <f t="shared" si="9"/>
        <v>0</v>
      </c>
      <c r="G80" s="251"/>
      <c r="H80" s="252"/>
      <c r="I80" s="110"/>
      <c r="J80" s="252"/>
      <c r="K80" s="251"/>
      <c r="L80" s="110"/>
      <c r="M80" s="253">
        <v>200000</v>
      </c>
      <c r="N80" s="251"/>
      <c r="O80" s="108">
        <f t="shared" si="7"/>
        <v>0</v>
      </c>
      <c r="P80" s="250"/>
      <c r="Q80" s="251"/>
      <c r="R80" s="162"/>
    </row>
    <row r="81" spans="1:18" s="254" customFormat="1" ht="48">
      <c r="A81" s="248"/>
      <c r="B81" s="249" t="s">
        <v>419</v>
      </c>
      <c r="C81" s="250">
        <v>800000</v>
      </c>
      <c r="D81" s="251">
        <f t="shared" si="6"/>
        <v>800000</v>
      </c>
      <c r="E81" s="251">
        <f t="shared" si="8"/>
        <v>0</v>
      </c>
      <c r="F81" s="105">
        <f t="shared" si="9"/>
        <v>0</v>
      </c>
      <c r="G81" s="251"/>
      <c r="H81" s="252"/>
      <c r="I81" s="110"/>
      <c r="J81" s="252"/>
      <c r="K81" s="251"/>
      <c r="L81" s="110"/>
      <c r="M81" s="253">
        <v>800000</v>
      </c>
      <c r="N81" s="251"/>
      <c r="O81" s="108">
        <f t="shared" si="7"/>
        <v>0</v>
      </c>
      <c r="P81" s="250"/>
      <c r="Q81" s="251"/>
      <c r="R81" s="162"/>
    </row>
    <row r="82" spans="1:18" s="254" customFormat="1" ht="36">
      <c r="A82" s="248"/>
      <c r="B82" s="249" t="s">
        <v>420</v>
      </c>
      <c r="C82" s="250"/>
      <c r="D82" s="251">
        <f>G82+J82+P82+M82</f>
        <v>200000</v>
      </c>
      <c r="E82" s="251">
        <f>SUM(H82+K82+N82+Q82)</f>
        <v>0</v>
      </c>
      <c r="F82" s="105">
        <f>E82/D82*100</f>
        <v>0</v>
      </c>
      <c r="G82" s="251"/>
      <c r="H82" s="252"/>
      <c r="I82" s="110"/>
      <c r="J82" s="252"/>
      <c r="K82" s="251"/>
      <c r="L82" s="110"/>
      <c r="M82" s="253">
        <v>200000</v>
      </c>
      <c r="N82" s="251"/>
      <c r="O82" s="108">
        <f t="shared" si="7"/>
        <v>0</v>
      </c>
      <c r="P82" s="250"/>
      <c r="Q82" s="251"/>
      <c r="R82" s="162"/>
    </row>
    <row r="83" spans="1:18" s="254" customFormat="1" ht="36">
      <c r="A83" s="248"/>
      <c r="B83" s="255" t="s">
        <v>421</v>
      </c>
      <c r="C83" s="250"/>
      <c r="D83" s="251">
        <f>G83+J83+P83+M83</f>
        <v>100000</v>
      </c>
      <c r="E83" s="251">
        <f>SUM(H83+K83+N83+Q83)</f>
        <v>0</v>
      </c>
      <c r="F83" s="105">
        <f>E83/D83*100</f>
        <v>0</v>
      </c>
      <c r="G83" s="251"/>
      <c r="H83" s="252"/>
      <c r="I83" s="110"/>
      <c r="J83" s="252"/>
      <c r="K83" s="251"/>
      <c r="L83" s="110"/>
      <c r="M83" s="253">
        <v>100000</v>
      </c>
      <c r="N83" s="251"/>
      <c r="O83" s="108">
        <f t="shared" si="7"/>
        <v>0</v>
      </c>
      <c r="P83" s="250"/>
      <c r="Q83" s="251"/>
      <c r="R83" s="162"/>
    </row>
    <row r="84" spans="1:18" s="254" customFormat="1" ht="12" customHeight="1">
      <c r="A84" s="248"/>
      <c r="B84" s="249" t="s">
        <v>422</v>
      </c>
      <c r="C84" s="250">
        <v>50000</v>
      </c>
      <c r="D84" s="251">
        <f t="shared" si="6"/>
        <v>150000</v>
      </c>
      <c r="E84" s="251">
        <f t="shared" si="8"/>
        <v>50000</v>
      </c>
      <c r="F84" s="105">
        <f t="shared" si="9"/>
        <v>33.33333333333333</v>
      </c>
      <c r="G84" s="251"/>
      <c r="H84" s="252"/>
      <c r="I84" s="110"/>
      <c r="J84" s="252"/>
      <c r="K84" s="251"/>
      <c r="L84" s="110"/>
      <c r="M84" s="253">
        <f>50000+100000</f>
        <v>150000</v>
      </c>
      <c r="N84" s="251">
        <v>50000</v>
      </c>
      <c r="O84" s="256">
        <f t="shared" si="7"/>
        <v>33.33333333333333</v>
      </c>
      <c r="P84" s="250"/>
      <c r="Q84" s="251"/>
      <c r="R84" s="162"/>
    </row>
    <row r="85" spans="1:18" ht="48" hidden="1">
      <c r="A85" s="191">
        <v>6058</v>
      </c>
      <c r="B85" s="198" t="s">
        <v>423</v>
      </c>
      <c r="C85" s="128"/>
      <c r="D85" s="104">
        <f t="shared" si="6"/>
        <v>0</v>
      </c>
      <c r="E85" s="129">
        <f t="shared" si="8"/>
        <v>0</v>
      </c>
      <c r="F85" s="105" t="e">
        <f t="shared" si="9"/>
        <v>#DIV/0!</v>
      </c>
      <c r="G85" s="129"/>
      <c r="H85" s="193"/>
      <c r="I85" s="194"/>
      <c r="J85" s="193"/>
      <c r="K85" s="129"/>
      <c r="L85" s="110"/>
      <c r="M85" s="247"/>
      <c r="N85" s="129"/>
      <c r="O85" s="108" t="e">
        <f t="shared" si="7"/>
        <v>#DIV/0!</v>
      </c>
      <c r="P85" s="128"/>
      <c r="Q85" s="129"/>
      <c r="R85" s="197"/>
    </row>
    <row r="86" spans="1:18" ht="48" hidden="1">
      <c r="A86" s="191">
        <v>6059</v>
      </c>
      <c r="B86" s="198" t="s">
        <v>423</v>
      </c>
      <c r="C86" s="128"/>
      <c r="D86" s="104">
        <f t="shared" si="6"/>
        <v>0</v>
      </c>
      <c r="E86" s="129">
        <f t="shared" si="8"/>
        <v>0</v>
      </c>
      <c r="F86" s="105" t="e">
        <f t="shared" si="9"/>
        <v>#DIV/0!</v>
      </c>
      <c r="G86" s="129"/>
      <c r="H86" s="193"/>
      <c r="I86" s="194"/>
      <c r="J86" s="193"/>
      <c r="K86" s="129"/>
      <c r="L86" s="110"/>
      <c r="M86" s="247"/>
      <c r="N86" s="129"/>
      <c r="O86" s="108" t="e">
        <f t="shared" si="7"/>
        <v>#DIV/0!</v>
      </c>
      <c r="P86" s="128"/>
      <c r="Q86" s="129"/>
      <c r="R86" s="197"/>
    </row>
    <row r="87" spans="1:18" ht="36" hidden="1">
      <c r="A87" s="191">
        <v>6058</v>
      </c>
      <c r="B87" s="198" t="s">
        <v>424</v>
      </c>
      <c r="C87" s="128"/>
      <c r="D87" s="104">
        <f t="shared" si="6"/>
        <v>0</v>
      </c>
      <c r="E87" s="129">
        <f t="shared" si="8"/>
        <v>0</v>
      </c>
      <c r="F87" s="105" t="e">
        <f t="shared" si="9"/>
        <v>#DIV/0!</v>
      </c>
      <c r="G87" s="129"/>
      <c r="H87" s="193"/>
      <c r="I87" s="194"/>
      <c r="J87" s="193"/>
      <c r="K87" s="129"/>
      <c r="L87" s="110"/>
      <c r="M87" s="247"/>
      <c r="N87" s="129"/>
      <c r="O87" s="108" t="e">
        <f t="shared" si="7"/>
        <v>#DIV/0!</v>
      </c>
      <c r="P87" s="128"/>
      <c r="Q87" s="129"/>
      <c r="R87" s="197"/>
    </row>
    <row r="88" spans="1:18" ht="36" hidden="1">
      <c r="A88" s="191">
        <v>6059</v>
      </c>
      <c r="B88" s="198" t="s">
        <v>424</v>
      </c>
      <c r="C88" s="128"/>
      <c r="D88" s="104">
        <f t="shared" si="6"/>
        <v>0</v>
      </c>
      <c r="E88" s="129">
        <f t="shared" si="8"/>
        <v>0</v>
      </c>
      <c r="F88" s="105" t="e">
        <f t="shared" si="9"/>
        <v>#DIV/0!</v>
      </c>
      <c r="G88" s="129"/>
      <c r="H88" s="193"/>
      <c r="I88" s="194"/>
      <c r="J88" s="193"/>
      <c r="K88" s="129"/>
      <c r="L88" s="110"/>
      <c r="M88" s="247"/>
      <c r="N88" s="129"/>
      <c r="O88" s="108" t="e">
        <f t="shared" si="7"/>
        <v>#DIV/0!</v>
      </c>
      <c r="P88" s="128"/>
      <c r="Q88" s="129"/>
      <c r="R88" s="197"/>
    </row>
    <row r="89" spans="1:18" ht="48" hidden="1">
      <c r="A89" s="191">
        <v>6051</v>
      </c>
      <c r="B89" s="198" t="s">
        <v>425</v>
      </c>
      <c r="C89" s="128"/>
      <c r="D89" s="104">
        <f t="shared" si="6"/>
        <v>0</v>
      </c>
      <c r="E89" s="129">
        <f t="shared" si="8"/>
        <v>0</v>
      </c>
      <c r="F89" s="105" t="e">
        <f t="shared" si="9"/>
        <v>#DIV/0!</v>
      </c>
      <c r="G89" s="129"/>
      <c r="H89" s="193"/>
      <c r="I89" s="194"/>
      <c r="J89" s="193"/>
      <c r="K89" s="129"/>
      <c r="L89" s="110"/>
      <c r="M89" s="247"/>
      <c r="N89" s="129"/>
      <c r="O89" s="108" t="e">
        <f t="shared" si="7"/>
        <v>#DIV/0!</v>
      </c>
      <c r="P89" s="128"/>
      <c r="Q89" s="129"/>
      <c r="R89" s="197"/>
    </row>
    <row r="90" spans="1:18" ht="48" hidden="1">
      <c r="A90" s="191">
        <v>6053</v>
      </c>
      <c r="B90" s="198" t="s">
        <v>426</v>
      </c>
      <c r="C90" s="128"/>
      <c r="D90" s="104">
        <f t="shared" si="6"/>
        <v>0</v>
      </c>
      <c r="E90" s="129">
        <f t="shared" si="8"/>
        <v>0</v>
      </c>
      <c r="F90" s="105" t="e">
        <f t="shared" si="9"/>
        <v>#DIV/0!</v>
      </c>
      <c r="G90" s="129"/>
      <c r="H90" s="193"/>
      <c r="I90" s="194"/>
      <c r="J90" s="193"/>
      <c r="K90" s="129"/>
      <c r="L90" s="110"/>
      <c r="M90" s="247"/>
      <c r="N90" s="236"/>
      <c r="O90" s="108" t="e">
        <f t="shared" si="7"/>
        <v>#DIV/0!</v>
      </c>
      <c r="P90" s="128"/>
      <c r="Q90" s="129"/>
      <c r="R90" s="197"/>
    </row>
    <row r="91" spans="1:18" s="185" customFormat="1" ht="24">
      <c r="A91" s="186">
        <v>60016</v>
      </c>
      <c r="B91" s="187" t="s">
        <v>427</v>
      </c>
      <c r="C91" s="117">
        <f>SUM(C93:C98)</f>
        <v>17040000</v>
      </c>
      <c r="D91" s="137">
        <f t="shared" si="6"/>
        <v>17401947</v>
      </c>
      <c r="E91" s="119">
        <f>H91+K91+Q91+N91</f>
        <v>2236524</v>
      </c>
      <c r="F91" s="120">
        <f t="shared" si="9"/>
        <v>12.852148095842377</v>
      </c>
      <c r="G91" s="126">
        <f>SUM(G92:G98)</f>
        <v>17401947</v>
      </c>
      <c r="H91" s="126">
        <f>SUM(H92:H98)</f>
        <v>2236524</v>
      </c>
      <c r="I91" s="127">
        <f aca="true" t="shared" si="10" ref="I91:I154">H91/G91*100</f>
        <v>12.852148095842377</v>
      </c>
      <c r="J91" s="257"/>
      <c r="K91" s="126"/>
      <c r="L91" s="243"/>
      <c r="M91" s="126"/>
      <c r="N91" s="126"/>
      <c r="O91" s="258"/>
      <c r="P91" s="117"/>
      <c r="Q91" s="126"/>
      <c r="R91" s="171"/>
    </row>
    <row r="92" spans="1:18" ht="24" hidden="1">
      <c r="A92" s="191">
        <v>4170</v>
      </c>
      <c r="B92" s="192" t="s">
        <v>392</v>
      </c>
      <c r="C92" s="128"/>
      <c r="D92" s="104">
        <f t="shared" si="6"/>
        <v>0</v>
      </c>
      <c r="E92" s="129">
        <f>SUM(H92+K92+N92+Q92)</f>
        <v>0</v>
      </c>
      <c r="F92" s="105"/>
      <c r="G92" s="128"/>
      <c r="H92" s="196"/>
      <c r="I92" s="108" t="e">
        <f>H92/G92*100</f>
        <v>#DIV/0!</v>
      </c>
      <c r="J92" s="245"/>
      <c r="K92" s="196"/>
      <c r="L92" s="108"/>
      <c r="M92" s="196"/>
      <c r="N92" s="196"/>
      <c r="O92" s="246"/>
      <c r="P92" s="195"/>
      <c r="Q92" s="196"/>
      <c r="R92" s="197"/>
    </row>
    <row r="93" spans="1:18" ht="24" hidden="1">
      <c r="A93" s="191">
        <v>4210</v>
      </c>
      <c r="B93" s="192" t="s">
        <v>356</v>
      </c>
      <c r="C93" s="128"/>
      <c r="D93" s="104">
        <f t="shared" si="6"/>
        <v>0</v>
      </c>
      <c r="E93" s="129">
        <f t="shared" si="8"/>
        <v>0</v>
      </c>
      <c r="F93" s="105" t="e">
        <f aca="true" t="shared" si="11" ref="F93:F104">E93/D93*100</f>
        <v>#DIV/0!</v>
      </c>
      <c r="G93" s="128"/>
      <c r="H93" s="196"/>
      <c r="I93" s="108" t="e">
        <f t="shared" si="10"/>
        <v>#DIV/0!</v>
      </c>
      <c r="J93" s="245"/>
      <c r="K93" s="196"/>
      <c r="L93" s="108"/>
      <c r="M93" s="196"/>
      <c r="N93" s="196"/>
      <c r="O93" s="246"/>
      <c r="P93" s="195"/>
      <c r="Q93" s="196"/>
      <c r="R93" s="197"/>
    </row>
    <row r="94" spans="1:18" ht="16.5" customHeight="1">
      <c r="A94" s="191">
        <v>4270</v>
      </c>
      <c r="B94" s="198" t="s">
        <v>362</v>
      </c>
      <c r="C94" s="128">
        <v>700000</v>
      </c>
      <c r="D94" s="104">
        <f t="shared" si="6"/>
        <v>470000</v>
      </c>
      <c r="E94" s="129">
        <f t="shared" si="8"/>
        <v>194101</v>
      </c>
      <c r="F94" s="105">
        <f t="shared" si="11"/>
        <v>41.298085106382985</v>
      </c>
      <c r="G94" s="128">
        <f>700000-230000</f>
        <v>470000</v>
      </c>
      <c r="H94" s="129">
        <v>194101</v>
      </c>
      <c r="I94" s="108">
        <f t="shared" si="10"/>
        <v>41.298085106382985</v>
      </c>
      <c r="J94" s="193"/>
      <c r="K94" s="196"/>
      <c r="L94" s="108"/>
      <c r="M94" s="129"/>
      <c r="N94" s="129"/>
      <c r="O94" s="194"/>
      <c r="P94" s="128"/>
      <c r="Q94" s="129"/>
      <c r="R94" s="200"/>
    </row>
    <row r="95" spans="1:18" ht="14.25" customHeight="1">
      <c r="A95" s="191">
        <v>4300</v>
      </c>
      <c r="B95" s="198" t="s">
        <v>364</v>
      </c>
      <c r="C95" s="128">
        <v>45000</v>
      </c>
      <c r="D95" s="104">
        <f t="shared" si="6"/>
        <v>45000</v>
      </c>
      <c r="E95" s="129">
        <f t="shared" si="8"/>
        <v>54</v>
      </c>
      <c r="F95" s="105">
        <f t="shared" si="11"/>
        <v>0.12</v>
      </c>
      <c r="G95" s="128">
        <v>45000</v>
      </c>
      <c r="H95" s="129">
        <v>54</v>
      </c>
      <c r="I95" s="108">
        <f t="shared" si="10"/>
        <v>0.12</v>
      </c>
      <c r="J95" s="193"/>
      <c r="K95" s="196"/>
      <c r="L95" s="108"/>
      <c r="M95" s="129"/>
      <c r="N95" s="129"/>
      <c r="O95" s="194"/>
      <c r="P95" s="128"/>
      <c r="Q95" s="129"/>
      <c r="R95" s="200"/>
    </row>
    <row r="96" spans="1:18" ht="36">
      <c r="A96" s="191">
        <v>4390</v>
      </c>
      <c r="B96" s="198" t="s">
        <v>393</v>
      </c>
      <c r="C96" s="128">
        <v>25000</v>
      </c>
      <c r="D96" s="104">
        <f t="shared" si="6"/>
        <v>25000</v>
      </c>
      <c r="E96" s="129">
        <f t="shared" si="8"/>
        <v>0</v>
      </c>
      <c r="F96" s="105">
        <f t="shared" si="11"/>
        <v>0</v>
      </c>
      <c r="G96" s="128">
        <v>25000</v>
      </c>
      <c r="H96" s="129"/>
      <c r="I96" s="108">
        <f t="shared" si="10"/>
        <v>0</v>
      </c>
      <c r="J96" s="193"/>
      <c r="K96" s="196"/>
      <c r="L96" s="108"/>
      <c r="M96" s="129"/>
      <c r="N96" s="129"/>
      <c r="O96" s="194"/>
      <c r="P96" s="128"/>
      <c r="Q96" s="129"/>
      <c r="R96" s="200"/>
    </row>
    <row r="97" spans="1:18" ht="84" hidden="1">
      <c r="A97" s="191">
        <v>6610</v>
      </c>
      <c r="B97" s="259" t="s">
        <v>428</v>
      </c>
      <c r="C97" s="128"/>
      <c r="D97" s="104">
        <f t="shared" si="6"/>
        <v>0</v>
      </c>
      <c r="E97" s="129">
        <f t="shared" si="8"/>
        <v>0</v>
      </c>
      <c r="F97" s="105" t="e">
        <f t="shared" si="11"/>
        <v>#DIV/0!</v>
      </c>
      <c r="G97" s="128">
        <f>250000-250000</f>
        <v>0</v>
      </c>
      <c r="H97" s="129"/>
      <c r="I97" s="108" t="e">
        <f t="shared" si="10"/>
        <v>#DIV/0!</v>
      </c>
      <c r="J97" s="193"/>
      <c r="K97" s="196"/>
      <c r="L97" s="108"/>
      <c r="M97" s="129"/>
      <c r="N97" s="129"/>
      <c r="O97" s="194"/>
      <c r="P97" s="128"/>
      <c r="Q97" s="129"/>
      <c r="R97" s="194"/>
    </row>
    <row r="98" spans="1:18" ht="24">
      <c r="A98" s="191">
        <v>6050</v>
      </c>
      <c r="B98" s="259" t="s">
        <v>396</v>
      </c>
      <c r="C98" s="128">
        <f>SUM(C99:C118)</f>
        <v>16270000</v>
      </c>
      <c r="D98" s="104">
        <f t="shared" si="6"/>
        <v>16861947</v>
      </c>
      <c r="E98" s="129">
        <f>SUM(H98+K98+N98+Q98)</f>
        <v>2042369</v>
      </c>
      <c r="F98" s="105">
        <f>E98/D98*100</f>
        <v>12.112296403256398</v>
      </c>
      <c r="G98" s="247">
        <f>SUM(G99:G118)</f>
        <v>16861947</v>
      </c>
      <c r="H98" s="129">
        <f>SUM(H99:H118)</f>
        <v>2042369</v>
      </c>
      <c r="I98" s="108">
        <f t="shared" si="10"/>
        <v>12.112296403256398</v>
      </c>
      <c r="J98" s="193"/>
      <c r="K98" s="196"/>
      <c r="L98" s="108"/>
      <c r="M98" s="129"/>
      <c r="N98" s="129"/>
      <c r="O98" s="194"/>
      <c r="P98" s="128"/>
      <c r="Q98" s="129"/>
      <c r="R98" s="200"/>
    </row>
    <row r="99" spans="1:18" s="254" customFormat="1" ht="12.75">
      <c r="A99" s="248"/>
      <c r="B99" s="260" t="s">
        <v>429</v>
      </c>
      <c r="C99" s="250">
        <v>50000</v>
      </c>
      <c r="D99" s="251">
        <f t="shared" si="6"/>
        <v>50000</v>
      </c>
      <c r="E99" s="251">
        <f t="shared" si="8"/>
        <v>0</v>
      </c>
      <c r="F99" s="105">
        <f t="shared" si="11"/>
        <v>0</v>
      </c>
      <c r="G99" s="250">
        <v>50000</v>
      </c>
      <c r="H99" s="251"/>
      <c r="I99" s="108">
        <f t="shared" si="10"/>
        <v>0</v>
      </c>
      <c r="J99" s="252"/>
      <c r="K99" s="261"/>
      <c r="L99" s="108"/>
      <c r="M99" s="251"/>
      <c r="N99" s="251"/>
      <c r="O99" s="110"/>
      <c r="P99" s="250"/>
      <c r="Q99" s="251"/>
      <c r="R99" s="262"/>
    </row>
    <row r="100" spans="1:18" s="254" customFormat="1" ht="24">
      <c r="A100" s="248"/>
      <c r="B100" s="260" t="s">
        <v>430</v>
      </c>
      <c r="C100" s="250">
        <v>1000000</v>
      </c>
      <c r="D100" s="251">
        <f t="shared" si="6"/>
        <v>1155500</v>
      </c>
      <c r="E100" s="251">
        <f t="shared" si="8"/>
        <v>245199</v>
      </c>
      <c r="F100" s="105">
        <f t="shared" si="11"/>
        <v>21.22016443098226</v>
      </c>
      <c r="G100" s="250">
        <f>1000000+60500+20000+75000</f>
        <v>1155500</v>
      </c>
      <c r="H100" s="251">
        <f>187+245011+1</f>
        <v>245199</v>
      </c>
      <c r="I100" s="108">
        <f t="shared" si="10"/>
        <v>21.22016443098226</v>
      </c>
      <c r="J100" s="252"/>
      <c r="K100" s="261"/>
      <c r="L100" s="108"/>
      <c r="M100" s="251"/>
      <c r="N100" s="251"/>
      <c r="O100" s="110"/>
      <c r="P100" s="250"/>
      <c r="Q100" s="251"/>
      <c r="R100" s="262"/>
    </row>
    <row r="101" spans="1:18" s="254" customFormat="1" ht="36">
      <c r="A101" s="248"/>
      <c r="B101" s="260" t="s">
        <v>431</v>
      </c>
      <c r="C101" s="250">
        <v>50000</v>
      </c>
      <c r="D101" s="251">
        <f t="shared" si="6"/>
        <v>50000</v>
      </c>
      <c r="E101" s="251">
        <f t="shared" si="8"/>
        <v>0</v>
      </c>
      <c r="F101" s="105">
        <f t="shared" si="11"/>
        <v>0</v>
      </c>
      <c r="G101" s="250">
        <v>50000</v>
      </c>
      <c r="H101" s="251"/>
      <c r="I101" s="108">
        <f t="shared" si="10"/>
        <v>0</v>
      </c>
      <c r="J101" s="252"/>
      <c r="K101" s="261"/>
      <c r="L101" s="108"/>
      <c r="M101" s="251"/>
      <c r="N101" s="251"/>
      <c r="O101" s="110"/>
      <c r="P101" s="250"/>
      <c r="Q101" s="251"/>
      <c r="R101" s="262"/>
    </row>
    <row r="102" spans="1:18" s="254" customFormat="1" ht="11.25" customHeight="1">
      <c r="A102" s="248"/>
      <c r="B102" s="260" t="s">
        <v>432</v>
      </c>
      <c r="C102" s="250">
        <v>1100000</v>
      </c>
      <c r="D102" s="251">
        <f t="shared" si="6"/>
        <v>1500000</v>
      </c>
      <c r="E102" s="251">
        <f t="shared" si="8"/>
        <v>1342</v>
      </c>
      <c r="F102" s="105">
        <f t="shared" si="11"/>
        <v>0.08946666666666667</v>
      </c>
      <c r="G102" s="250">
        <f>1100000+400000</f>
        <v>1500000</v>
      </c>
      <c r="H102" s="251">
        <v>1342</v>
      </c>
      <c r="I102" s="108">
        <f t="shared" si="10"/>
        <v>0.08946666666666667</v>
      </c>
      <c r="J102" s="252"/>
      <c r="K102" s="261"/>
      <c r="L102" s="108"/>
      <c r="M102" s="251"/>
      <c r="N102" s="251"/>
      <c r="O102" s="110"/>
      <c r="P102" s="250"/>
      <c r="Q102" s="251"/>
      <c r="R102" s="262"/>
    </row>
    <row r="103" spans="1:18" s="254" customFormat="1" ht="36">
      <c r="A103" s="248"/>
      <c r="B103" s="260" t="s">
        <v>433</v>
      </c>
      <c r="C103" s="250">
        <v>50000</v>
      </c>
      <c r="D103" s="251">
        <f t="shared" si="6"/>
        <v>50000</v>
      </c>
      <c r="E103" s="251">
        <f>SUM(H103+K103+N103+Q103)</f>
        <v>0</v>
      </c>
      <c r="F103" s="105">
        <f>E103/D103*100</f>
        <v>0</v>
      </c>
      <c r="G103" s="250">
        <v>50000</v>
      </c>
      <c r="H103" s="251"/>
      <c r="I103" s="110">
        <f t="shared" si="10"/>
        <v>0</v>
      </c>
      <c r="J103" s="252"/>
      <c r="K103" s="261"/>
      <c r="L103" s="108"/>
      <c r="M103" s="251"/>
      <c r="N103" s="251"/>
      <c r="O103" s="110"/>
      <c r="P103" s="250"/>
      <c r="Q103" s="251"/>
      <c r="R103" s="262"/>
    </row>
    <row r="104" spans="1:18" s="254" customFormat="1" ht="12.75">
      <c r="A104" s="248"/>
      <c r="B104" s="260" t="s">
        <v>434</v>
      </c>
      <c r="C104" s="250">
        <v>50000</v>
      </c>
      <c r="D104" s="251">
        <f t="shared" si="6"/>
        <v>50000</v>
      </c>
      <c r="E104" s="251">
        <f t="shared" si="8"/>
        <v>0</v>
      </c>
      <c r="F104" s="105">
        <f t="shared" si="11"/>
        <v>0</v>
      </c>
      <c r="G104" s="250">
        <v>50000</v>
      </c>
      <c r="H104" s="251"/>
      <c r="I104" s="110">
        <f t="shared" si="10"/>
        <v>0</v>
      </c>
      <c r="J104" s="252"/>
      <c r="K104" s="261"/>
      <c r="L104" s="108"/>
      <c r="M104" s="251"/>
      <c r="N104" s="251"/>
      <c r="O104" s="110"/>
      <c r="P104" s="250"/>
      <c r="Q104" s="251"/>
      <c r="R104" s="262"/>
    </row>
    <row r="105" spans="1:18" s="254" customFormat="1" ht="15" customHeight="1">
      <c r="A105" s="248"/>
      <c r="B105" s="260" t="s">
        <v>435</v>
      </c>
      <c r="C105" s="250">
        <v>1200000</v>
      </c>
      <c r="D105" s="251">
        <f t="shared" si="6"/>
        <v>999500</v>
      </c>
      <c r="E105" s="251">
        <f t="shared" si="8"/>
        <v>191036</v>
      </c>
      <c r="F105" s="105">
        <f>E105/D105*100</f>
        <v>19.113156578289146</v>
      </c>
      <c r="G105" s="250">
        <f>1200000-200500</f>
        <v>999500</v>
      </c>
      <c r="H105" s="251">
        <f>890+190145+1</f>
        <v>191036</v>
      </c>
      <c r="I105" s="110">
        <f t="shared" si="10"/>
        <v>19.113156578289146</v>
      </c>
      <c r="J105" s="252"/>
      <c r="K105" s="261"/>
      <c r="L105" s="108"/>
      <c r="M105" s="251"/>
      <c r="N105" s="251"/>
      <c r="O105" s="110"/>
      <c r="P105" s="250"/>
      <c r="Q105" s="251"/>
      <c r="R105" s="262"/>
    </row>
    <row r="106" spans="1:18" s="254" customFormat="1" ht="48">
      <c r="A106" s="248"/>
      <c r="B106" s="260" t="s">
        <v>436</v>
      </c>
      <c r="C106" s="250">
        <v>2000000</v>
      </c>
      <c r="D106" s="251">
        <f t="shared" si="6"/>
        <v>2000000</v>
      </c>
      <c r="E106" s="251">
        <f>SUM(H106+K106+N106+Q106)</f>
        <v>42776</v>
      </c>
      <c r="F106" s="105">
        <f>E106/D106*100</f>
        <v>2.1388000000000003</v>
      </c>
      <c r="G106" s="250">
        <v>2000000</v>
      </c>
      <c r="H106" s="251">
        <v>42776</v>
      </c>
      <c r="I106" s="110">
        <f t="shared" si="10"/>
        <v>2.1388000000000003</v>
      </c>
      <c r="J106" s="252"/>
      <c r="K106" s="261"/>
      <c r="L106" s="108"/>
      <c r="M106" s="251"/>
      <c r="N106" s="251"/>
      <c r="O106" s="110"/>
      <c r="P106" s="250"/>
      <c r="Q106" s="251"/>
      <c r="R106" s="262"/>
    </row>
    <row r="107" spans="1:18" s="254" customFormat="1" ht="12.75">
      <c r="A107" s="248"/>
      <c r="B107" s="260" t="s">
        <v>437</v>
      </c>
      <c r="C107" s="250">
        <v>1500000</v>
      </c>
      <c r="D107" s="251">
        <f t="shared" si="6"/>
        <v>1500000</v>
      </c>
      <c r="E107" s="251">
        <f t="shared" si="8"/>
        <v>37341</v>
      </c>
      <c r="F107" s="105">
        <f aca="true" t="shared" si="12" ref="F107:F168">E107/D107*100</f>
        <v>2.4894</v>
      </c>
      <c r="G107" s="250">
        <v>1500000</v>
      </c>
      <c r="H107" s="251">
        <v>37341</v>
      </c>
      <c r="I107" s="110">
        <f t="shared" si="10"/>
        <v>2.4894</v>
      </c>
      <c r="J107" s="252"/>
      <c r="K107" s="261"/>
      <c r="L107" s="108"/>
      <c r="M107" s="251"/>
      <c r="N107" s="251"/>
      <c r="O107" s="110"/>
      <c r="P107" s="250"/>
      <c r="Q107" s="251"/>
      <c r="R107" s="262"/>
    </row>
    <row r="108" spans="1:18" s="254" customFormat="1" ht="24">
      <c r="A108" s="248"/>
      <c r="B108" s="260" t="s">
        <v>438</v>
      </c>
      <c r="C108" s="250">
        <v>50000</v>
      </c>
      <c r="D108" s="251">
        <f t="shared" si="6"/>
        <v>50000</v>
      </c>
      <c r="E108" s="251">
        <f t="shared" si="8"/>
        <v>0</v>
      </c>
      <c r="F108" s="105">
        <f t="shared" si="12"/>
        <v>0</v>
      </c>
      <c r="G108" s="250">
        <v>50000</v>
      </c>
      <c r="H108" s="251"/>
      <c r="I108" s="110">
        <f t="shared" si="10"/>
        <v>0</v>
      </c>
      <c r="J108" s="252"/>
      <c r="K108" s="261"/>
      <c r="L108" s="108"/>
      <c r="M108" s="251"/>
      <c r="N108" s="251"/>
      <c r="O108" s="110"/>
      <c r="P108" s="250"/>
      <c r="Q108" s="251"/>
      <c r="R108" s="262"/>
    </row>
    <row r="109" spans="1:18" s="254" customFormat="1" ht="48">
      <c r="A109" s="248"/>
      <c r="B109" s="263" t="s">
        <v>439</v>
      </c>
      <c r="C109" s="250">
        <v>10000</v>
      </c>
      <c r="D109" s="251">
        <f t="shared" si="6"/>
        <v>10000</v>
      </c>
      <c r="E109" s="251">
        <f t="shared" si="8"/>
        <v>0</v>
      </c>
      <c r="F109" s="105">
        <f t="shared" si="12"/>
        <v>0</v>
      </c>
      <c r="G109" s="250">
        <v>10000</v>
      </c>
      <c r="H109" s="251"/>
      <c r="I109" s="110">
        <f t="shared" si="10"/>
        <v>0</v>
      </c>
      <c r="J109" s="252"/>
      <c r="K109" s="261"/>
      <c r="L109" s="108"/>
      <c r="M109" s="251"/>
      <c r="N109" s="251"/>
      <c r="O109" s="110"/>
      <c r="P109" s="250"/>
      <c r="Q109" s="251"/>
      <c r="R109" s="262"/>
    </row>
    <row r="110" spans="1:18" s="254" customFormat="1" ht="17.25" customHeight="1">
      <c r="A110" s="248"/>
      <c r="B110" s="263" t="s">
        <v>440</v>
      </c>
      <c r="C110" s="250">
        <v>100000</v>
      </c>
      <c r="D110" s="251">
        <f t="shared" si="6"/>
        <v>100000</v>
      </c>
      <c r="E110" s="251">
        <f t="shared" si="8"/>
        <v>800</v>
      </c>
      <c r="F110" s="105">
        <f t="shared" si="12"/>
        <v>0.8</v>
      </c>
      <c r="G110" s="250">
        <v>100000</v>
      </c>
      <c r="H110" s="251">
        <v>800</v>
      </c>
      <c r="I110" s="110">
        <f t="shared" si="10"/>
        <v>0.8</v>
      </c>
      <c r="J110" s="252"/>
      <c r="K110" s="261"/>
      <c r="L110" s="108"/>
      <c r="M110" s="251"/>
      <c r="N110" s="251"/>
      <c r="O110" s="110"/>
      <c r="P110" s="250"/>
      <c r="Q110" s="251"/>
      <c r="R110" s="262"/>
    </row>
    <row r="111" spans="1:18" s="254" customFormat="1" ht="48">
      <c r="A111" s="248"/>
      <c r="B111" s="263" t="s">
        <v>441</v>
      </c>
      <c r="C111" s="250">
        <v>7500000</v>
      </c>
      <c r="D111" s="251">
        <f aca="true" t="shared" si="13" ref="D111:D178">G111+J111+P111+M111</f>
        <v>7700000</v>
      </c>
      <c r="E111" s="251">
        <f t="shared" si="8"/>
        <v>1095793</v>
      </c>
      <c r="F111" s="105">
        <f t="shared" si="12"/>
        <v>14.231077922077922</v>
      </c>
      <c r="G111" s="250">
        <f>7500000+200000</f>
        <v>7700000</v>
      </c>
      <c r="H111" s="251">
        <f>200080+346814+1+548898</f>
        <v>1095793</v>
      </c>
      <c r="I111" s="110">
        <f t="shared" si="10"/>
        <v>14.231077922077922</v>
      </c>
      <c r="J111" s="252"/>
      <c r="K111" s="261"/>
      <c r="L111" s="108"/>
      <c r="M111" s="251"/>
      <c r="N111" s="251"/>
      <c r="O111" s="110"/>
      <c r="P111" s="250"/>
      <c r="Q111" s="251"/>
      <c r="R111" s="262"/>
    </row>
    <row r="112" spans="1:18" s="254" customFormat="1" ht="12.75">
      <c r="A112" s="248"/>
      <c r="B112" s="263" t="s">
        <v>442</v>
      </c>
      <c r="C112" s="250">
        <v>600000</v>
      </c>
      <c r="D112" s="251">
        <f t="shared" si="13"/>
        <v>505000</v>
      </c>
      <c r="E112" s="251">
        <f t="shared" si="8"/>
        <v>0</v>
      </c>
      <c r="F112" s="105">
        <f t="shared" si="12"/>
        <v>0</v>
      </c>
      <c r="G112" s="250">
        <f>600000-20000-75000</f>
        <v>505000</v>
      </c>
      <c r="H112" s="251"/>
      <c r="I112" s="110">
        <f t="shared" si="10"/>
        <v>0</v>
      </c>
      <c r="J112" s="252"/>
      <c r="K112" s="261"/>
      <c r="L112" s="108"/>
      <c r="M112" s="251"/>
      <c r="N112" s="251"/>
      <c r="O112" s="110"/>
      <c r="P112" s="250"/>
      <c r="Q112" s="251"/>
      <c r="R112" s="262"/>
    </row>
    <row r="113" spans="1:18" s="254" customFormat="1" ht="24">
      <c r="A113" s="248"/>
      <c r="B113" s="263" t="s">
        <v>443</v>
      </c>
      <c r="C113" s="250">
        <v>10000</v>
      </c>
      <c r="D113" s="251">
        <f t="shared" si="13"/>
        <v>10000</v>
      </c>
      <c r="E113" s="251">
        <f t="shared" si="8"/>
        <v>0</v>
      </c>
      <c r="F113" s="105">
        <f t="shared" si="12"/>
        <v>0</v>
      </c>
      <c r="G113" s="250">
        <v>10000</v>
      </c>
      <c r="H113" s="251"/>
      <c r="I113" s="110">
        <f t="shared" si="10"/>
        <v>0</v>
      </c>
      <c r="J113" s="252"/>
      <c r="K113" s="261"/>
      <c r="L113" s="108"/>
      <c r="M113" s="251"/>
      <c r="N113" s="251"/>
      <c r="O113" s="110"/>
      <c r="P113" s="250"/>
      <c r="Q113" s="251"/>
      <c r="R113" s="262"/>
    </row>
    <row r="114" spans="1:18" s="254" customFormat="1" ht="24">
      <c r="A114" s="248"/>
      <c r="B114" s="263" t="s">
        <v>444</v>
      </c>
      <c r="C114" s="250">
        <v>750000</v>
      </c>
      <c r="D114" s="251">
        <f t="shared" si="13"/>
        <v>750000</v>
      </c>
      <c r="E114" s="251">
        <f t="shared" si="8"/>
        <v>400285</v>
      </c>
      <c r="F114" s="105">
        <f t="shared" si="12"/>
        <v>53.37133333333334</v>
      </c>
      <c r="G114" s="250">
        <v>750000</v>
      </c>
      <c r="H114" s="251">
        <f>158600+241685</f>
        <v>400285</v>
      </c>
      <c r="I114" s="110">
        <f t="shared" si="10"/>
        <v>53.37133333333334</v>
      </c>
      <c r="J114" s="252"/>
      <c r="K114" s="261"/>
      <c r="L114" s="108"/>
      <c r="M114" s="251"/>
      <c r="N114" s="251"/>
      <c r="O114" s="110"/>
      <c r="P114" s="250"/>
      <c r="Q114" s="251"/>
      <c r="R114" s="262"/>
    </row>
    <row r="115" spans="1:18" s="254" customFormat="1" ht="12.75">
      <c r="A115" s="248"/>
      <c r="B115" s="249" t="s">
        <v>445</v>
      </c>
      <c r="C115" s="250"/>
      <c r="D115" s="251">
        <f>G115+J115+P115+M115</f>
        <v>1947</v>
      </c>
      <c r="E115" s="251">
        <f>SUM(H115+K115+N115+Q115)</f>
        <v>1946</v>
      </c>
      <c r="F115" s="105">
        <f>E115/D115*100</f>
        <v>99.94863893168979</v>
      </c>
      <c r="G115" s="250">
        <v>1947</v>
      </c>
      <c r="H115" s="251">
        <v>1946</v>
      </c>
      <c r="I115" s="110">
        <f t="shared" si="10"/>
        <v>99.94863893168979</v>
      </c>
      <c r="J115" s="252"/>
      <c r="K115" s="261"/>
      <c r="L115" s="108"/>
      <c r="M115" s="251"/>
      <c r="N115" s="251"/>
      <c r="O115" s="110"/>
      <c r="P115" s="250"/>
      <c r="Q115" s="251"/>
      <c r="R115" s="262"/>
    </row>
    <row r="116" spans="1:18" s="254" customFormat="1" ht="24">
      <c r="A116" s="248"/>
      <c r="B116" s="249" t="s">
        <v>446</v>
      </c>
      <c r="C116" s="250">
        <v>50000</v>
      </c>
      <c r="D116" s="251">
        <f>G116+J116+P116+M116</f>
        <v>50000</v>
      </c>
      <c r="E116" s="251">
        <f>SUM(H116+K116+N116+Q116)</f>
        <v>0</v>
      </c>
      <c r="F116" s="105">
        <f>E116/D116*100</f>
        <v>0</v>
      </c>
      <c r="G116" s="250">
        <v>50000</v>
      </c>
      <c r="H116" s="251"/>
      <c r="I116" s="110">
        <f t="shared" si="10"/>
        <v>0</v>
      </c>
      <c r="J116" s="252"/>
      <c r="K116" s="261"/>
      <c r="L116" s="108"/>
      <c r="M116" s="251"/>
      <c r="N116" s="251"/>
      <c r="O116" s="110"/>
      <c r="P116" s="250"/>
      <c r="Q116" s="251"/>
      <c r="R116" s="262"/>
    </row>
    <row r="117" spans="1:18" s="254" customFormat="1" ht="36">
      <c r="A117" s="248"/>
      <c r="B117" s="255" t="s">
        <v>421</v>
      </c>
      <c r="C117" s="250"/>
      <c r="D117" s="251">
        <f>G117+J117+P117+M117</f>
        <v>230000</v>
      </c>
      <c r="E117" s="251">
        <f>SUM(H117+K117+N117+Q117)</f>
        <v>0</v>
      </c>
      <c r="F117" s="105">
        <f>E117/D117*100</f>
        <v>0</v>
      </c>
      <c r="G117" s="250">
        <v>230000</v>
      </c>
      <c r="H117" s="251"/>
      <c r="I117" s="110">
        <f t="shared" si="10"/>
        <v>0</v>
      </c>
      <c r="J117" s="252"/>
      <c r="K117" s="261"/>
      <c r="L117" s="108"/>
      <c r="M117" s="251"/>
      <c r="N117" s="251"/>
      <c r="O117" s="110"/>
      <c r="P117" s="250"/>
      <c r="Q117" s="251"/>
      <c r="R117" s="262"/>
    </row>
    <row r="118" spans="1:18" s="254" customFormat="1" ht="12.75">
      <c r="A118" s="248"/>
      <c r="B118" s="263" t="s">
        <v>447</v>
      </c>
      <c r="C118" s="250">
        <v>200000</v>
      </c>
      <c r="D118" s="251">
        <f t="shared" si="13"/>
        <v>100000</v>
      </c>
      <c r="E118" s="251">
        <f>SUM(H118+K118+N118+Q118)</f>
        <v>25851</v>
      </c>
      <c r="F118" s="105">
        <f>E118/D118*100</f>
        <v>25.851000000000003</v>
      </c>
      <c r="G118" s="250">
        <f>200000-100000</f>
        <v>100000</v>
      </c>
      <c r="H118" s="251">
        <v>25851</v>
      </c>
      <c r="I118" s="110">
        <f t="shared" si="10"/>
        <v>25.851000000000003</v>
      </c>
      <c r="J118" s="252"/>
      <c r="K118" s="261"/>
      <c r="L118" s="108"/>
      <c r="M118" s="251"/>
      <c r="N118" s="251"/>
      <c r="O118" s="110"/>
      <c r="P118" s="250"/>
      <c r="Q118" s="251"/>
      <c r="R118" s="262"/>
    </row>
    <row r="119" spans="1:18" s="221" customFormat="1" ht="14.25" customHeight="1">
      <c r="A119" s="239">
        <v>60017</v>
      </c>
      <c r="B119" s="264" t="s">
        <v>448</v>
      </c>
      <c r="C119" s="136">
        <f>SUM(C120:C124)</f>
        <v>1850200</v>
      </c>
      <c r="D119" s="137">
        <f t="shared" si="13"/>
        <v>2013800</v>
      </c>
      <c r="E119" s="119">
        <f>H119+K119+Q119+N119</f>
        <v>142342</v>
      </c>
      <c r="F119" s="120">
        <f t="shared" si="12"/>
        <v>7.068328533121463</v>
      </c>
      <c r="G119" s="136">
        <f>SUM(G120:G124)</f>
        <v>2013800</v>
      </c>
      <c r="H119" s="137">
        <f>SUM(H120:H124)</f>
        <v>142342</v>
      </c>
      <c r="I119" s="127">
        <f t="shared" si="10"/>
        <v>7.068328533121463</v>
      </c>
      <c r="J119" s="140"/>
      <c r="K119" s="118"/>
      <c r="L119" s="243"/>
      <c r="M119" s="137"/>
      <c r="N119" s="137"/>
      <c r="O119" s="265"/>
      <c r="P119" s="136"/>
      <c r="Q119" s="137"/>
      <c r="R119" s="266"/>
    </row>
    <row r="120" spans="1:18" s="269" customFormat="1" ht="14.25" customHeight="1">
      <c r="A120" s="267">
        <v>4270</v>
      </c>
      <c r="B120" s="268" t="s">
        <v>362</v>
      </c>
      <c r="C120" s="160">
        <f>490000+328200</f>
        <v>818200</v>
      </c>
      <c r="D120" s="104">
        <f t="shared" si="13"/>
        <v>905100</v>
      </c>
      <c r="E120" s="129">
        <f aca="true" t="shared" si="14" ref="E120:E126">SUM(H120+K120+N120+Q120)</f>
        <v>30564</v>
      </c>
      <c r="F120" s="105">
        <f t="shared" si="12"/>
        <v>3.376864434869075</v>
      </c>
      <c r="G120" s="160">
        <f>490000+328200+32300+54600</f>
        <v>905100</v>
      </c>
      <c r="H120" s="104">
        <v>30564</v>
      </c>
      <c r="I120" s="108">
        <f t="shared" si="10"/>
        <v>3.376864434869075</v>
      </c>
      <c r="J120" s="109"/>
      <c r="K120" s="106"/>
      <c r="L120" s="108"/>
      <c r="M120" s="104"/>
      <c r="N120" s="104"/>
      <c r="O120" s="194"/>
      <c r="P120" s="160"/>
      <c r="Q120" s="104"/>
      <c r="R120" s="200"/>
    </row>
    <row r="121" spans="1:18" s="269" customFormat="1" ht="15.75" customHeight="1">
      <c r="A121" s="267">
        <v>4300</v>
      </c>
      <c r="B121" s="268" t="s">
        <v>364</v>
      </c>
      <c r="C121" s="160">
        <v>5000</v>
      </c>
      <c r="D121" s="104">
        <f t="shared" si="13"/>
        <v>5000</v>
      </c>
      <c r="E121" s="129">
        <f t="shared" si="14"/>
        <v>1700</v>
      </c>
      <c r="F121" s="105">
        <f t="shared" si="12"/>
        <v>34</v>
      </c>
      <c r="G121" s="160">
        <v>5000</v>
      </c>
      <c r="H121" s="104">
        <v>1700</v>
      </c>
      <c r="I121" s="108">
        <f t="shared" si="10"/>
        <v>34</v>
      </c>
      <c r="J121" s="109"/>
      <c r="K121" s="106"/>
      <c r="L121" s="108"/>
      <c r="M121" s="104"/>
      <c r="N121" s="104"/>
      <c r="O121" s="194"/>
      <c r="P121" s="160"/>
      <c r="Q121" s="104"/>
      <c r="R121" s="200"/>
    </row>
    <row r="122" spans="1:18" s="269" customFormat="1" ht="36">
      <c r="A122" s="191">
        <v>4390</v>
      </c>
      <c r="B122" s="198" t="s">
        <v>393</v>
      </c>
      <c r="C122" s="160">
        <v>5000</v>
      </c>
      <c r="D122" s="104">
        <f>G122+J122+P122+M122</f>
        <v>5000</v>
      </c>
      <c r="E122" s="129">
        <f>SUM(H122+K122+N122+Q122)</f>
        <v>0</v>
      </c>
      <c r="F122" s="105">
        <f>E122/D122*100</f>
        <v>0</v>
      </c>
      <c r="G122" s="160">
        <v>5000</v>
      </c>
      <c r="H122" s="104"/>
      <c r="I122" s="108">
        <f t="shared" si="10"/>
        <v>0</v>
      </c>
      <c r="J122" s="109"/>
      <c r="K122" s="106"/>
      <c r="L122" s="108"/>
      <c r="M122" s="104"/>
      <c r="N122" s="104"/>
      <c r="O122" s="194"/>
      <c r="P122" s="160"/>
      <c r="Q122" s="104"/>
      <c r="R122" s="200"/>
    </row>
    <row r="123" spans="1:18" s="269" customFormat="1" ht="14.25" customHeight="1">
      <c r="A123" s="267">
        <v>4430</v>
      </c>
      <c r="B123" s="268" t="s">
        <v>366</v>
      </c>
      <c r="C123" s="160">
        <v>2000</v>
      </c>
      <c r="D123" s="104">
        <f t="shared" si="13"/>
        <v>2000</v>
      </c>
      <c r="E123" s="129">
        <f t="shared" si="14"/>
        <v>0</v>
      </c>
      <c r="F123" s="105">
        <f t="shared" si="12"/>
        <v>0</v>
      </c>
      <c r="G123" s="160">
        <v>2000</v>
      </c>
      <c r="H123" s="104"/>
      <c r="I123" s="108">
        <f t="shared" si="10"/>
        <v>0</v>
      </c>
      <c r="J123" s="109"/>
      <c r="K123" s="106"/>
      <c r="L123" s="108"/>
      <c r="M123" s="104"/>
      <c r="N123" s="104"/>
      <c r="O123" s="194"/>
      <c r="P123" s="160"/>
      <c r="Q123" s="104"/>
      <c r="R123" s="200"/>
    </row>
    <row r="124" spans="1:18" s="269" customFormat="1" ht="24">
      <c r="A124" s="227">
        <v>6050</v>
      </c>
      <c r="B124" s="228" t="s">
        <v>449</v>
      </c>
      <c r="C124" s="270">
        <f>770000+250000</f>
        <v>1020000</v>
      </c>
      <c r="D124" s="230">
        <f t="shared" si="13"/>
        <v>1096700</v>
      </c>
      <c r="E124" s="236">
        <f t="shared" si="14"/>
        <v>110078</v>
      </c>
      <c r="F124" s="168">
        <f t="shared" si="12"/>
        <v>10.037202516640832</v>
      </c>
      <c r="G124" s="270">
        <f>770000+250000+140000-100000+100000-70000+6700</f>
        <v>1096700</v>
      </c>
      <c r="H124" s="230">
        <v>110078</v>
      </c>
      <c r="I124" s="170">
        <f t="shared" si="10"/>
        <v>10.037202516640832</v>
      </c>
      <c r="J124" s="231"/>
      <c r="K124" s="271"/>
      <c r="L124" s="170"/>
      <c r="M124" s="230"/>
      <c r="N124" s="230"/>
      <c r="O124" s="237"/>
      <c r="P124" s="270"/>
      <c r="Q124" s="230"/>
      <c r="R124" s="238"/>
    </row>
    <row r="125" spans="1:18" s="221" customFormat="1" ht="24">
      <c r="A125" s="272">
        <v>60053</v>
      </c>
      <c r="B125" s="273" t="s">
        <v>450</v>
      </c>
      <c r="C125" s="274">
        <f>C126</f>
        <v>400000</v>
      </c>
      <c r="D125" s="189">
        <f t="shared" si="13"/>
        <v>400000</v>
      </c>
      <c r="E125" s="189">
        <f t="shared" si="14"/>
        <v>0</v>
      </c>
      <c r="F125" s="275">
        <f t="shared" si="12"/>
        <v>0</v>
      </c>
      <c r="G125" s="274">
        <f>G126</f>
        <v>400000</v>
      </c>
      <c r="H125" s="189">
        <f>H126</f>
        <v>0</v>
      </c>
      <c r="I125" s="170">
        <f t="shared" si="10"/>
        <v>0</v>
      </c>
      <c r="J125" s="276"/>
      <c r="K125" s="277"/>
      <c r="L125" s="278"/>
      <c r="M125" s="189"/>
      <c r="N125" s="189"/>
      <c r="O125" s="279"/>
      <c r="P125" s="274"/>
      <c r="Q125" s="189"/>
      <c r="R125" s="280"/>
    </row>
    <row r="126" spans="1:18" s="269" customFormat="1" ht="24">
      <c r="A126" s="227">
        <v>6050</v>
      </c>
      <c r="B126" s="228" t="s">
        <v>449</v>
      </c>
      <c r="C126" s="270">
        <v>400000</v>
      </c>
      <c r="D126" s="230">
        <f t="shared" si="13"/>
        <v>400000</v>
      </c>
      <c r="E126" s="236">
        <f t="shared" si="14"/>
        <v>0</v>
      </c>
      <c r="F126" s="168">
        <f t="shared" si="12"/>
        <v>0</v>
      </c>
      <c r="G126" s="270">
        <v>400000</v>
      </c>
      <c r="H126" s="230"/>
      <c r="I126" s="170">
        <f t="shared" si="10"/>
        <v>0</v>
      </c>
      <c r="J126" s="231"/>
      <c r="K126" s="271"/>
      <c r="L126" s="170"/>
      <c r="M126" s="230"/>
      <c r="N126" s="230"/>
      <c r="O126" s="237"/>
      <c r="P126" s="270"/>
      <c r="Q126" s="230"/>
      <c r="R126" s="238"/>
    </row>
    <row r="127" spans="1:18" ht="12.75">
      <c r="A127" s="186">
        <v>60095</v>
      </c>
      <c r="B127" s="281" t="s">
        <v>378</v>
      </c>
      <c r="C127" s="188">
        <f>C129+C128</f>
        <v>2529280</v>
      </c>
      <c r="D127" s="137">
        <f t="shared" si="13"/>
        <v>2529280</v>
      </c>
      <c r="E127" s="119">
        <f>H127+K127+Q127+N127</f>
        <v>609517</v>
      </c>
      <c r="F127" s="120">
        <f t="shared" si="12"/>
        <v>24.098439081477732</v>
      </c>
      <c r="G127" s="282">
        <f>SUM(G128:G129)</f>
        <v>2529280</v>
      </c>
      <c r="H127" s="119">
        <f>SUM(H128:H129)</f>
        <v>609517</v>
      </c>
      <c r="I127" s="127">
        <f t="shared" si="10"/>
        <v>24.098439081477732</v>
      </c>
      <c r="J127" s="124"/>
      <c r="K127" s="119"/>
      <c r="L127" s="125"/>
      <c r="M127" s="119"/>
      <c r="N127" s="119"/>
      <c r="O127" s="190"/>
      <c r="P127" s="188"/>
      <c r="Q127" s="119"/>
      <c r="R127" s="283"/>
    </row>
    <row r="128" spans="1:18" s="269" customFormat="1" ht="72">
      <c r="A128" s="267">
        <v>4300</v>
      </c>
      <c r="B128" s="268" t="s">
        <v>451</v>
      </c>
      <c r="C128" s="160">
        <v>100000</v>
      </c>
      <c r="D128" s="104">
        <f t="shared" si="13"/>
        <v>100000</v>
      </c>
      <c r="E128" s="104">
        <f>H128+K128+Q128+N128</f>
        <v>0</v>
      </c>
      <c r="F128" s="105">
        <f t="shared" si="12"/>
        <v>0</v>
      </c>
      <c r="G128" s="148">
        <v>100000</v>
      </c>
      <c r="H128" s="149"/>
      <c r="I128" s="108">
        <f t="shared" si="10"/>
        <v>0</v>
      </c>
      <c r="J128" s="109"/>
      <c r="K128" s="104"/>
      <c r="L128" s="110"/>
      <c r="M128" s="104"/>
      <c r="N128" s="104"/>
      <c r="O128" s="194"/>
      <c r="P128" s="160"/>
      <c r="Q128" s="104"/>
      <c r="R128" s="200"/>
    </row>
    <row r="129" spans="1:18" s="185" customFormat="1" ht="12.75">
      <c r="A129" s="284"/>
      <c r="B129" s="285" t="s">
        <v>452</v>
      </c>
      <c r="C129" s="286">
        <f>SUM(C130:C158)</f>
        <v>2429280</v>
      </c>
      <c r="D129" s="213">
        <f t="shared" si="13"/>
        <v>2429280</v>
      </c>
      <c r="E129" s="287">
        <f>H129+K129+Q129+N129</f>
        <v>609517</v>
      </c>
      <c r="F129" s="105">
        <f t="shared" si="12"/>
        <v>25.09043831917276</v>
      </c>
      <c r="G129" s="286">
        <f>SUM(G130:G158)</f>
        <v>2429280</v>
      </c>
      <c r="H129" s="287">
        <f>SUM(H130:H158)</f>
        <v>609517</v>
      </c>
      <c r="I129" s="108">
        <f t="shared" si="10"/>
        <v>25.09043831917276</v>
      </c>
      <c r="J129" s="288"/>
      <c r="K129" s="287"/>
      <c r="L129" s="289"/>
      <c r="M129" s="287"/>
      <c r="N129" s="287"/>
      <c r="O129" s="194"/>
      <c r="P129" s="286"/>
      <c r="Q129" s="287"/>
      <c r="R129" s="200"/>
    </row>
    <row r="130" spans="1:18" ht="36">
      <c r="A130" s="191">
        <v>3020</v>
      </c>
      <c r="B130" s="198" t="s">
        <v>453</v>
      </c>
      <c r="C130" s="128">
        <v>4000</v>
      </c>
      <c r="D130" s="104">
        <f t="shared" si="13"/>
        <v>4000</v>
      </c>
      <c r="E130" s="129">
        <f>SUM(H130+K130+N130+Q130)</f>
        <v>913</v>
      </c>
      <c r="F130" s="105">
        <f t="shared" si="12"/>
        <v>22.825</v>
      </c>
      <c r="G130" s="128">
        <v>4000</v>
      </c>
      <c r="H130" s="129">
        <v>913</v>
      </c>
      <c r="I130" s="108">
        <f t="shared" si="10"/>
        <v>22.825</v>
      </c>
      <c r="J130" s="193"/>
      <c r="K130" s="129"/>
      <c r="L130" s="110"/>
      <c r="M130" s="129"/>
      <c r="N130" s="129"/>
      <c r="O130" s="194"/>
      <c r="P130" s="128"/>
      <c r="Q130" s="129"/>
      <c r="R130" s="200"/>
    </row>
    <row r="131" spans="1:18" ht="24">
      <c r="A131" s="191">
        <v>4010</v>
      </c>
      <c r="B131" s="198" t="s">
        <v>346</v>
      </c>
      <c r="C131" s="128">
        <v>1275700</v>
      </c>
      <c r="D131" s="104">
        <f t="shared" si="13"/>
        <v>1275700</v>
      </c>
      <c r="E131" s="129">
        <f>SUM(H131+K131+N131+Q131)</f>
        <v>283366</v>
      </c>
      <c r="F131" s="105">
        <f t="shared" si="12"/>
        <v>22.21258916673199</v>
      </c>
      <c r="G131" s="128">
        <v>1275700</v>
      </c>
      <c r="H131" s="129">
        <v>283366</v>
      </c>
      <c r="I131" s="108">
        <f t="shared" si="10"/>
        <v>22.21258916673199</v>
      </c>
      <c r="J131" s="193"/>
      <c r="K131" s="129"/>
      <c r="L131" s="110"/>
      <c r="M131" s="129"/>
      <c r="N131" s="129"/>
      <c r="O131" s="194"/>
      <c r="P131" s="128"/>
      <c r="Q131" s="129"/>
      <c r="R131" s="200"/>
    </row>
    <row r="132" spans="1:18" ht="24">
      <c r="A132" s="290">
        <v>4040</v>
      </c>
      <c r="B132" s="198" t="s">
        <v>454</v>
      </c>
      <c r="C132" s="128">
        <v>99000</v>
      </c>
      <c r="D132" s="104">
        <f t="shared" si="13"/>
        <v>99000</v>
      </c>
      <c r="E132" s="129">
        <f>SUM(H132+K132+N132+Q132)</f>
        <v>86192</v>
      </c>
      <c r="F132" s="105">
        <f t="shared" si="12"/>
        <v>87.06262626262627</v>
      </c>
      <c r="G132" s="128">
        <v>99000</v>
      </c>
      <c r="H132" s="129">
        <v>86192</v>
      </c>
      <c r="I132" s="108">
        <f t="shared" si="10"/>
        <v>87.06262626262627</v>
      </c>
      <c r="J132" s="193"/>
      <c r="K132" s="129"/>
      <c r="L132" s="110"/>
      <c r="M132" s="129"/>
      <c r="N132" s="129"/>
      <c r="O132" s="194"/>
      <c r="P132" s="128"/>
      <c r="Q132" s="129"/>
      <c r="R132" s="200"/>
    </row>
    <row r="133" spans="1:18" ht="24">
      <c r="A133" s="191">
        <v>4110</v>
      </c>
      <c r="B133" s="198" t="s">
        <v>455</v>
      </c>
      <c r="C133" s="128">
        <v>208600</v>
      </c>
      <c r="D133" s="104">
        <f t="shared" si="13"/>
        <v>208600</v>
      </c>
      <c r="E133" s="129">
        <f aca="true" t="shared" si="15" ref="E133:E158">SUM(H133+K133+N133+Q133)</f>
        <v>55115</v>
      </c>
      <c r="F133" s="105">
        <f t="shared" si="12"/>
        <v>26.421380632790033</v>
      </c>
      <c r="G133" s="128">
        <v>208600</v>
      </c>
      <c r="H133" s="129">
        <v>55115</v>
      </c>
      <c r="I133" s="108">
        <f t="shared" si="10"/>
        <v>26.421380632790033</v>
      </c>
      <c r="J133" s="193"/>
      <c r="K133" s="129"/>
      <c r="L133" s="110"/>
      <c r="M133" s="129"/>
      <c r="N133" s="129"/>
      <c r="O133" s="194"/>
      <c r="P133" s="128"/>
      <c r="Q133" s="129"/>
      <c r="R133" s="200"/>
    </row>
    <row r="134" spans="1:18" ht="12.75">
      <c r="A134" s="191">
        <v>4120</v>
      </c>
      <c r="B134" s="198" t="s">
        <v>456</v>
      </c>
      <c r="C134" s="128">
        <v>33000</v>
      </c>
      <c r="D134" s="104">
        <f t="shared" si="13"/>
        <v>33000</v>
      </c>
      <c r="E134" s="129">
        <f t="shared" si="15"/>
        <v>8943</v>
      </c>
      <c r="F134" s="105">
        <f t="shared" si="12"/>
        <v>27.1</v>
      </c>
      <c r="G134" s="128">
        <v>33000</v>
      </c>
      <c r="H134" s="129">
        <v>8943</v>
      </c>
      <c r="I134" s="108">
        <f t="shared" si="10"/>
        <v>27.1</v>
      </c>
      <c r="J134" s="193"/>
      <c r="K134" s="129"/>
      <c r="L134" s="110"/>
      <c r="M134" s="129"/>
      <c r="N134" s="129"/>
      <c r="O134" s="194"/>
      <c r="P134" s="128"/>
      <c r="Q134" s="129"/>
      <c r="R134" s="200"/>
    </row>
    <row r="135" spans="1:18" ht="12.75">
      <c r="A135" s="191">
        <v>4140</v>
      </c>
      <c r="B135" s="198" t="s">
        <v>457</v>
      </c>
      <c r="C135" s="128">
        <v>25300</v>
      </c>
      <c r="D135" s="104">
        <f t="shared" si="13"/>
        <v>25300</v>
      </c>
      <c r="E135" s="129">
        <f t="shared" si="15"/>
        <v>2962</v>
      </c>
      <c r="F135" s="105">
        <f t="shared" si="12"/>
        <v>11.707509881422926</v>
      </c>
      <c r="G135" s="128">
        <v>25300</v>
      </c>
      <c r="H135" s="129">
        <v>2962</v>
      </c>
      <c r="I135" s="108">
        <f t="shared" si="10"/>
        <v>11.707509881422926</v>
      </c>
      <c r="J135" s="193"/>
      <c r="K135" s="129"/>
      <c r="L135" s="110"/>
      <c r="M135" s="129"/>
      <c r="N135" s="129"/>
      <c r="O135" s="194"/>
      <c r="P135" s="128"/>
      <c r="Q135" s="129"/>
      <c r="R135" s="200"/>
    </row>
    <row r="136" spans="1:18" ht="24">
      <c r="A136" s="191">
        <v>4170</v>
      </c>
      <c r="B136" s="198" t="s">
        <v>392</v>
      </c>
      <c r="C136" s="128">
        <v>7000</v>
      </c>
      <c r="D136" s="104">
        <f t="shared" si="13"/>
        <v>7000</v>
      </c>
      <c r="E136" s="129">
        <f t="shared" si="15"/>
        <v>228</v>
      </c>
      <c r="F136" s="105">
        <f t="shared" si="12"/>
        <v>3.257142857142857</v>
      </c>
      <c r="G136" s="128">
        <v>7000</v>
      </c>
      <c r="H136" s="129">
        <v>228</v>
      </c>
      <c r="I136" s="108">
        <f t="shared" si="10"/>
        <v>3.257142857142857</v>
      </c>
      <c r="J136" s="193"/>
      <c r="K136" s="129"/>
      <c r="L136" s="110"/>
      <c r="M136" s="129"/>
      <c r="N136" s="129"/>
      <c r="O136" s="194"/>
      <c r="P136" s="128"/>
      <c r="Q136" s="129"/>
      <c r="R136" s="200"/>
    </row>
    <row r="137" spans="1:18" ht="24">
      <c r="A137" s="191">
        <v>4210</v>
      </c>
      <c r="B137" s="192" t="s">
        <v>356</v>
      </c>
      <c r="C137" s="128">
        <v>85680</v>
      </c>
      <c r="D137" s="104">
        <f t="shared" si="13"/>
        <v>82980</v>
      </c>
      <c r="E137" s="129">
        <f t="shared" si="15"/>
        <v>17954</v>
      </c>
      <c r="F137" s="105">
        <f t="shared" si="12"/>
        <v>21.636538925042178</v>
      </c>
      <c r="G137" s="128">
        <f>85680-2700</f>
        <v>82980</v>
      </c>
      <c r="H137" s="129">
        <v>17954</v>
      </c>
      <c r="I137" s="108">
        <f t="shared" si="10"/>
        <v>21.636538925042178</v>
      </c>
      <c r="J137" s="193"/>
      <c r="K137" s="129"/>
      <c r="L137" s="110"/>
      <c r="M137" s="129"/>
      <c r="N137" s="129"/>
      <c r="O137" s="194"/>
      <c r="P137" s="128"/>
      <c r="Q137" s="129"/>
      <c r="R137" s="200"/>
    </row>
    <row r="138" spans="1:18" ht="12.75">
      <c r="A138" s="191">
        <v>4260</v>
      </c>
      <c r="B138" s="192" t="s">
        <v>360</v>
      </c>
      <c r="C138" s="128">
        <v>40000</v>
      </c>
      <c r="D138" s="104">
        <f t="shared" si="13"/>
        <v>40000</v>
      </c>
      <c r="E138" s="129">
        <f t="shared" si="15"/>
        <v>11630</v>
      </c>
      <c r="F138" s="105">
        <f t="shared" si="12"/>
        <v>29.075</v>
      </c>
      <c r="G138" s="128">
        <v>40000</v>
      </c>
      <c r="H138" s="129">
        <v>11630</v>
      </c>
      <c r="I138" s="108">
        <f t="shared" si="10"/>
        <v>29.075</v>
      </c>
      <c r="J138" s="193"/>
      <c r="K138" s="129"/>
      <c r="L138" s="110"/>
      <c r="M138" s="129"/>
      <c r="N138" s="129"/>
      <c r="O138" s="194"/>
      <c r="P138" s="128"/>
      <c r="Q138" s="129"/>
      <c r="R138" s="200"/>
    </row>
    <row r="139" spans="1:18" ht="24">
      <c r="A139" s="191">
        <v>4270</v>
      </c>
      <c r="B139" s="198" t="s">
        <v>362</v>
      </c>
      <c r="C139" s="128">
        <v>38000</v>
      </c>
      <c r="D139" s="104">
        <f t="shared" si="13"/>
        <v>38000</v>
      </c>
      <c r="E139" s="129">
        <f t="shared" si="15"/>
        <v>3075</v>
      </c>
      <c r="F139" s="105">
        <f t="shared" si="12"/>
        <v>8.092105263157896</v>
      </c>
      <c r="G139" s="128">
        <v>38000</v>
      </c>
      <c r="H139" s="129">
        <v>3075</v>
      </c>
      <c r="I139" s="108">
        <f t="shared" si="10"/>
        <v>8.092105263157896</v>
      </c>
      <c r="J139" s="193"/>
      <c r="K139" s="129"/>
      <c r="L139" s="110"/>
      <c r="M139" s="129"/>
      <c r="N139" s="129"/>
      <c r="O139" s="194"/>
      <c r="P139" s="128"/>
      <c r="Q139" s="129"/>
      <c r="R139" s="200"/>
    </row>
    <row r="140" spans="1:18" ht="24">
      <c r="A140" s="191">
        <v>4280</v>
      </c>
      <c r="B140" s="198" t="s">
        <v>458</v>
      </c>
      <c r="C140" s="128">
        <v>1500</v>
      </c>
      <c r="D140" s="104">
        <f t="shared" si="13"/>
        <v>1500</v>
      </c>
      <c r="E140" s="129">
        <f t="shared" si="15"/>
        <v>252</v>
      </c>
      <c r="F140" s="105">
        <f t="shared" si="12"/>
        <v>16.8</v>
      </c>
      <c r="G140" s="128">
        <v>1500</v>
      </c>
      <c r="H140" s="129">
        <v>252</v>
      </c>
      <c r="I140" s="108">
        <f t="shared" si="10"/>
        <v>16.8</v>
      </c>
      <c r="J140" s="193"/>
      <c r="K140" s="129"/>
      <c r="L140" s="110"/>
      <c r="M140" s="129"/>
      <c r="N140" s="129"/>
      <c r="O140" s="194"/>
      <c r="P140" s="128"/>
      <c r="Q140" s="129"/>
      <c r="R140" s="200"/>
    </row>
    <row r="141" spans="1:18" ht="24">
      <c r="A141" s="191">
        <v>4300</v>
      </c>
      <c r="B141" s="198" t="s">
        <v>459</v>
      </c>
      <c r="C141" s="128">
        <v>340000</v>
      </c>
      <c r="D141" s="104">
        <f t="shared" si="13"/>
        <v>340000</v>
      </c>
      <c r="E141" s="129">
        <f t="shared" si="15"/>
        <v>83156</v>
      </c>
      <c r="F141" s="105">
        <f t="shared" si="12"/>
        <v>24.45764705882353</v>
      </c>
      <c r="G141" s="128">
        <v>340000</v>
      </c>
      <c r="H141" s="129">
        <v>83156</v>
      </c>
      <c r="I141" s="108">
        <f t="shared" si="10"/>
        <v>24.45764705882353</v>
      </c>
      <c r="J141" s="193"/>
      <c r="K141" s="129"/>
      <c r="L141" s="110"/>
      <c r="M141" s="129"/>
      <c r="N141" s="129"/>
      <c r="O141" s="194"/>
      <c r="P141" s="128"/>
      <c r="Q141" s="129"/>
      <c r="R141" s="200"/>
    </row>
    <row r="142" spans="1:18" ht="24">
      <c r="A142" s="191">
        <v>4350</v>
      </c>
      <c r="B142" s="198" t="s">
        <v>460</v>
      </c>
      <c r="C142" s="128">
        <v>5500</v>
      </c>
      <c r="D142" s="104">
        <f t="shared" si="13"/>
        <v>5500</v>
      </c>
      <c r="E142" s="129">
        <f t="shared" si="15"/>
        <v>1570</v>
      </c>
      <c r="F142" s="105">
        <f t="shared" si="12"/>
        <v>28.545454545454547</v>
      </c>
      <c r="G142" s="128">
        <v>5500</v>
      </c>
      <c r="H142" s="129">
        <v>1570</v>
      </c>
      <c r="I142" s="108">
        <f t="shared" si="10"/>
        <v>28.545454545454547</v>
      </c>
      <c r="J142" s="193"/>
      <c r="K142" s="129"/>
      <c r="L142" s="110"/>
      <c r="M142" s="129"/>
      <c r="N142" s="129"/>
      <c r="O142" s="194"/>
      <c r="P142" s="128"/>
      <c r="Q142" s="129"/>
      <c r="R142" s="200"/>
    </row>
    <row r="143" spans="1:18" ht="48">
      <c r="A143" s="267">
        <v>4360</v>
      </c>
      <c r="B143" s="291" t="s">
        <v>461</v>
      </c>
      <c r="C143" s="128">
        <v>18000</v>
      </c>
      <c r="D143" s="104">
        <f t="shared" si="13"/>
        <v>18000</v>
      </c>
      <c r="E143" s="129">
        <f>SUM(H143+K143+N143+Q143)</f>
        <v>4968</v>
      </c>
      <c r="F143" s="105">
        <f>E143/D143*100</f>
        <v>27.6</v>
      </c>
      <c r="G143" s="128">
        <v>18000</v>
      </c>
      <c r="H143" s="129">
        <v>4968</v>
      </c>
      <c r="I143" s="108">
        <f t="shared" si="10"/>
        <v>27.6</v>
      </c>
      <c r="J143" s="193"/>
      <c r="K143" s="129"/>
      <c r="L143" s="110"/>
      <c r="M143" s="129"/>
      <c r="N143" s="129"/>
      <c r="O143" s="194"/>
      <c r="P143" s="128"/>
      <c r="Q143" s="129"/>
      <c r="R143" s="200"/>
    </row>
    <row r="144" spans="1:18" ht="48">
      <c r="A144" s="267">
        <v>4370</v>
      </c>
      <c r="B144" s="291" t="s">
        <v>462</v>
      </c>
      <c r="C144" s="128">
        <v>16000</v>
      </c>
      <c r="D144" s="104">
        <f t="shared" si="13"/>
        <v>16000</v>
      </c>
      <c r="E144" s="129">
        <f>SUM(H144+K144+N144+Q144)</f>
        <v>3750</v>
      </c>
      <c r="F144" s="105">
        <f>E144/D144*100</f>
        <v>23.4375</v>
      </c>
      <c r="G144" s="128">
        <v>16000</v>
      </c>
      <c r="H144" s="129">
        <v>3750</v>
      </c>
      <c r="I144" s="108">
        <f t="shared" si="10"/>
        <v>23.4375</v>
      </c>
      <c r="J144" s="193"/>
      <c r="K144" s="129"/>
      <c r="L144" s="110"/>
      <c r="M144" s="129"/>
      <c r="N144" s="129"/>
      <c r="O144" s="194"/>
      <c r="P144" s="128"/>
      <c r="Q144" s="129"/>
      <c r="R144" s="200"/>
    </row>
    <row r="145" spans="1:18" ht="36">
      <c r="A145" s="191">
        <v>4390</v>
      </c>
      <c r="B145" s="198" t="s">
        <v>393</v>
      </c>
      <c r="C145" s="128">
        <v>1000</v>
      </c>
      <c r="D145" s="104">
        <f t="shared" si="13"/>
        <v>1000</v>
      </c>
      <c r="E145" s="129">
        <f>SUM(H145+K145+N145+Q145)</f>
        <v>37</v>
      </c>
      <c r="F145" s="105">
        <f>E145/D145*100</f>
        <v>3.6999999999999997</v>
      </c>
      <c r="G145" s="128">
        <v>1000</v>
      </c>
      <c r="H145" s="129">
        <v>37</v>
      </c>
      <c r="I145" s="108">
        <f t="shared" si="10"/>
        <v>3.6999999999999997</v>
      </c>
      <c r="J145" s="193"/>
      <c r="K145" s="129"/>
      <c r="L145" s="110"/>
      <c r="M145" s="129"/>
      <c r="N145" s="129"/>
      <c r="O145" s="194"/>
      <c r="P145" s="128"/>
      <c r="Q145" s="129"/>
      <c r="R145" s="200"/>
    </row>
    <row r="146" spans="1:18" ht="24">
      <c r="A146" s="267">
        <v>4400</v>
      </c>
      <c r="B146" s="291" t="s">
        <v>463</v>
      </c>
      <c r="C146" s="128">
        <v>52000</v>
      </c>
      <c r="D146" s="104">
        <f t="shared" si="13"/>
        <v>52000</v>
      </c>
      <c r="E146" s="129">
        <f>SUM(H146+K146+N146+Q146)</f>
        <v>12472</v>
      </c>
      <c r="F146" s="105">
        <f>E146/D146*100</f>
        <v>23.984615384615385</v>
      </c>
      <c r="G146" s="128">
        <v>52000</v>
      </c>
      <c r="H146" s="129">
        <v>12472</v>
      </c>
      <c r="I146" s="108">
        <f t="shared" si="10"/>
        <v>23.984615384615385</v>
      </c>
      <c r="J146" s="193"/>
      <c r="K146" s="129"/>
      <c r="L146" s="110"/>
      <c r="M146" s="129"/>
      <c r="N146" s="129"/>
      <c r="O146" s="194"/>
      <c r="P146" s="128"/>
      <c r="Q146" s="129"/>
      <c r="R146" s="200"/>
    </row>
    <row r="147" spans="1:18" ht="24">
      <c r="A147" s="191">
        <v>4410</v>
      </c>
      <c r="B147" s="198" t="s">
        <v>338</v>
      </c>
      <c r="C147" s="128">
        <v>16000</v>
      </c>
      <c r="D147" s="104">
        <f t="shared" si="13"/>
        <v>16000</v>
      </c>
      <c r="E147" s="129">
        <f t="shared" si="15"/>
        <v>2660</v>
      </c>
      <c r="F147" s="105">
        <f t="shared" si="12"/>
        <v>16.625</v>
      </c>
      <c r="G147" s="128">
        <v>16000</v>
      </c>
      <c r="H147" s="129">
        <v>2660</v>
      </c>
      <c r="I147" s="108">
        <f t="shared" si="10"/>
        <v>16.625</v>
      </c>
      <c r="J147" s="193"/>
      <c r="K147" s="129"/>
      <c r="L147" s="110"/>
      <c r="M147" s="129"/>
      <c r="N147" s="129"/>
      <c r="O147" s="194"/>
      <c r="P147" s="128"/>
      <c r="Q147" s="129"/>
      <c r="R147" s="200"/>
    </row>
    <row r="148" spans="1:18" ht="24">
      <c r="A148" s="191">
        <v>4420</v>
      </c>
      <c r="B148" s="198" t="s">
        <v>464</v>
      </c>
      <c r="C148" s="128">
        <v>1000</v>
      </c>
      <c r="D148" s="104">
        <f t="shared" si="13"/>
        <v>1000</v>
      </c>
      <c r="E148" s="129">
        <f>SUM(H148+K148+N148+Q148)</f>
        <v>0</v>
      </c>
      <c r="F148" s="105">
        <f>E148/D148*100</f>
        <v>0</v>
      </c>
      <c r="G148" s="128">
        <v>1000</v>
      </c>
      <c r="H148" s="129"/>
      <c r="I148" s="108">
        <f t="shared" si="10"/>
        <v>0</v>
      </c>
      <c r="J148" s="193"/>
      <c r="K148" s="129"/>
      <c r="L148" s="110"/>
      <c r="M148" s="129"/>
      <c r="N148" s="129"/>
      <c r="O148" s="194"/>
      <c r="P148" s="128"/>
      <c r="Q148" s="129"/>
      <c r="R148" s="200"/>
    </row>
    <row r="149" spans="1:18" ht="12.75">
      <c r="A149" s="191">
        <v>4430</v>
      </c>
      <c r="B149" s="198" t="s">
        <v>366</v>
      </c>
      <c r="C149" s="128">
        <v>18000</v>
      </c>
      <c r="D149" s="104">
        <f t="shared" si="13"/>
        <v>18000</v>
      </c>
      <c r="E149" s="129">
        <f t="shared" si="15"/>
        <v>4602</v>
      </c>
      <c r="F149" s="105">
        <f t="shared" si="12"/>
        <v>25.566666666666666</v>
      </c>
      <c r="G149" s="128">
        <v>18000</v>
      </c>
      <c r="H149" s="129">
        <v>4602</v>
      </c>
      <c r="I149" s="108">
        <f t="shared" si="10"/>
        <v>25.566666666666666</v>
      </c>
      <c r="J149" s="193"/>
      <c r="K149" s="129"/>
      <c r="L149" s="110"/>
      <c r="M149" s="129"/>
      <c r="N149" s="129"/>
      <c r="O149" s="194"/>
      <c r="P149" s="128"/>
      <c r="Q149" s="129"/>
      <c r="R149" s="200"/>
    </row>
    <row r="150" spans="1:18" ht="12.75">
      <c r="A150" s="191">
        <v>4440</v>
      </c>
      <c r="B150" s="198" t="s">
        <v>368</v>
      </c>
      <c r="C150" s="128">
        <v>29000</v>
      </c>
      <c r="D150" s="104">
        <f t="shared" si="13"/>
        <v>29000</v>
      </c>
      <c r="E150" s="129">
        <f t="shared" si="15"/>
        <v>16000</v>
      </c>
      <c r="F150" s="105">
        <f t="shared" si="12"/>
        <v>55.172413793103445</v>
      </c>
      <c r="G150" s="128">
        <v>29000</v>
      </c>
      <c r="H150" s="129">
        <v>16000</v>
      </c>
      <c r="I150" s="108">
        <f t="shared" si="10"/>
        <v>55.172413793103445</v>
      </c>
      <c r="J150" s="193"/>
      <c r="K150" s="129"/>
      <c r="L150" s="110"/>
      <c r="M150" s="129"/>
      <c r="N150" s="129"/>
      <c r="O150" s="194"/>
      <c r="P150" s="128"/>
      <c r="Q150" s="129"/>
      <c r="R150" s="200"/>
    </row>
    <row r="151" spans="1:18" ht="24">
      <c r="A151" s="191">
        <v>4480</v>
      </c>
      <c r="B151" s="198" t="s">
        <v>465</v>
      </c>
      <c r="C151" s="128">
        <v>5000</v>
      </c>
      <c r="D151" s="104">
        <f t="shared" si="13"/>
        <v>5000</v>
      </c>
      <c r="E151" s="129">
        <f t="shared" si="15"/>
        <v>2168</v>
      </c>
      <c r="F151" s="105">
        <f t="shared" si="12"/>
        <v>43.36</v>
      </c>
      <c r="G151" s="128">
        <v>5000</v>
      </c>
      <c r="H151" s="129">
        <v>2168</v>
      </c>
      <c r="I151" s="108">
        <f t="shared" si="10"/>
        <v>43.36</v>
      </c>
      <c r="J151" s="193"/>
      <c r="K151" s="129"/>
      <c r="L151" s="110"/>
      <c r="M151" s="129"/>
      <c r="N151" s="129"/>
      <c r="O151" s="194"/>
      <c r="P151" s="128"/>
      <c r="Q151" s="129"/>
      <c r="R151" s="200"/>
    </row>
    <row r="152" spans="1:18" ht="36">
      <c r="A152" s="267">
        <v>4700</v>
      </c>
      <c r="B152" s="291" t="s">
        <v>466</v>
      </c>
      <c r="C152" s="128">
        <v>22000</v>
      </c>
      <c r="D152" s="104">
        <f t="shared" si="13"/>
        <v>22000</v>
      </c>
      <c r="E152" s="129">
        <f t="shared" si="15"/>
        <v>2860</v>
      </c>
      <c r="F152" s="105">
        <f t="shared" si="12"/>
        <v>13</v>
      </c>
      <c r="G152" s="128">
        <v>22000</v>
      </c>
      <c r="H152" s="129">
        <v>2860</v>
      </c>
      <c r="I152" s="108">
        <f t="shared" si="10"/>
        <v>13</v>
      </c>
      <c r="J152" s="193"/>
      <c r="K152" s="129"/>
      <c r="L152" s="110"/>
      <c r="M152" s="129"/>
      <c r="N152" s="129"/>
      <c r="O152" s="194"/>
      <c r="P152" s="128"/>
      <c r="Q152" s="129"/>
      <c r="R152" s="200"/>
    </row>
    <row r="153" spans="1:18" ht="60">
      <c r="A153" s="267">
        <v>4740</v>
      </c>
      <c r="B153" s="291" t="s">
        <v>380</v>
      </c>
      <c r="C153" s="128">
        <v>6000</v>
      </c>
      <c r="D153" s="104">
        <f t="shared" si="13"/>
        <v>6000</v>
      </c>
      <c r="E153" s="129">
        <f t="shared" si="15"/>
        <v>294</v>
      </c>
      <c r="F153" s="105">
        <f t="shared" si="12"/>
        <v>4.9</v>
      </c>
      <c r="G153" s="128">
        <v>6000</v>
      </c>
      <c r="H153" s="129">
        <v>294</v>
      </c>
      <c r="I153" s="108">
        <f t="shared" si="10"/>
        <v>4.9</v>
      </c>
      <c r="J153" s="193"/>
      <c r="K153" s="129"/>
      <c r="L153" s="110"/>
      <c r="M153" s="129"/>
      <c r="N153" s="129"/>
      <c r="O153" s="194"/>
      <c r="P153" s="128"/>
      <c r="Q153" s="129"/>
      <c r="R153" s="200"/>
    </row>
    <row r="154" spans="1:18" ht="36">
      <c r="A154" s="267">
        <v>4750</v>
      </c>
      <c r="B154" s="291" t="s">
        <v>467</v>
      </c>
      <c r="C154" s="128">
        <v>13000</v>
      </c>
      <c r="D154" s="104">
        <f t="shared" si="13"/>
        <v>13000</v>
      </c>
      <c r="E154" s="129">
        <f t="shared" si="15"/>
        <v>4350</v>
      </c>
      <c r="F154" s="105">
        <f t="shared" si="12"/>
        <v>33.46153846153846</v>
      </c>
      <c r="G154" s="128">
        <v>13000</v>
      </c>
      <c r="H154" s="129">
        <v>4350</v>
      </c>
      <c r="I154" s="108">
        <f t="shared" si="10"/>
        <v>33.46153846153846</v>
      </c>
      <c r="J154" s="193"/>
      <c r="K154" s="129"/>
      <c r="L154" s="110"/>
      <c r="M154" s="129"/>
      <c r="N154" s="129"/>
      <c r="O154" s="194"/>
      <c r="P154" s="128"/>
      <c r="Q154" s="129"/>
      <c r="R154" s="200"/>
    </row>
    <row r="155" spans="1:18" ht="35.25" customHeight="1" hidden="1">
      <c r="A155" s="191"/>
      <c r="B155" s="259"/>
      <c r="C155" s="128"/>
      <c r="D155" s="104">
        <f t="shared" si="13"/>
        <v>0</v>
      </c>
      <c r="E155" s="129">
        <f t="shared" si="15"/>
        <v>0</v>
      </c>
      <c r="F155" s="105" t="e">
        <f t="shared" si="12"/>
        <v>#DIV/0!</v>
      </c>
      <c r="G155" s="128"/>
      <c r="H155" s="129"/>
      <c r="I155" s="108" t="e">
        <f aca="true" t="shared" si="16" ref="I155:I218">H155/G155*100</f>
        <v>#DIV/0!</v>
      </c>
      <c r="J155" s="193"/>
      <c r="K155" s="129"/>
      <c r="L155" s="110"/>
      <c r="M155" s="129"/>
      <c r="N155" s="129"/>
      <c r="O155" s="194"/>
      <c r="P155" s="128"/>
      <c r="Q155" s="129"/>
      <c r="R155" s="200"/>
    </row>
    <row r="156" spans="1:18" ht="24">
      <c r="A156" s="191">
        <v>6050</v>
      </c>
      <c r="B156" s="259" t="s">
        <v>449</v>
      </c>
      <c r="C156" s="128">
        <v>34000</v>
      </c>
      <c r="D156" s="104">
        <f t="shared" si="13"/>
        <v>36000</v>
      </c>
      <c r="E156" s="129">
        <f t="shared" si="15"/>
        <v>0</v>
      </c>
      <c r="F156" s="105">
        <f t="shared" si="12"/>
        <v>0</v>
      </c>
      <c r="G156" s="128">
        <f>34000+2000</f>
        <v>36000</v>
      </c>
      <c r="H156" s="129"/>
      <c r="I156" s="108">
        <f t="shared" si="16"/>
        <v>0</v>
      </c>
      <c r="J156" s="193"/>
      <c r="K156" s="129"/>
      <c r="L156" s="110"/>
      <c r="M156" s="129"/>
      <c r="N156" s="129"/>
      <c r="O156" s="194"/>
      <c r="P156" s="128"/>
      <c r="Q156" s="129"/>
      <c r="R156" s="200"/>
    </row>
    <row r="157" spans="1:18" ht="36.75" thickBot="1">
      <c r="A157" s="191">
        <v>6060</v>
      </c>
      <c r="B157" s="198" t="s">
        <v>468</v>
      </c>
      <c r="C157" s="128">
        <v>35000</v>
      </c>
      <c r="D157" s="104">
        <f t="shared" si="13"/>
        <v>35700</v>
      </c>
      <c r="E157" s="129">
        <f t="shared" si="15"/>
        <v>0</v>
      </c>
      <c r="F157" s="105">
        <f t="shared" si="12"/>
        <v>0</v>
      </c>
      <c r="G157" s="128">
        <f>35000+700</f>
        <v>35700</v>
      </c>
      <c r="H157" s="129"/>
      <c r="I157" s="162">
        <f t="shared" si="16"/>
        <v>0</v>
      </c>
      <c r="J157" s="193"/>
      <c r="K157" s="129"/>
      <c r="L157" s="110"/>
      <c r="M157" s="129"/>
      <c r="N157" s="129"/>
      <c r="O157" s="194"/>
      <c r="P157" s="128"/>
      <c r="Q157" s="129"/>
      <c r="R157" s="200"/>
    </row>
    <row r="158" spans="1:18" ht="9.75" customHeight="1" hidden="1">
      <c r="A158" s="191">
        <v>6050</v>
      </c>
      <c r="B158" s="198" t="s">
        <v>469</v>
      </c>
      <c r="C158" s="128">
        <v>0</v>
      </c>
      <c r="D158" s="104">
        <f t="shared" si="13"/>
        <v>0</v>
      </c>
      <c r="E158" s="129">
        <f t="shared" si="15"/>
        <v>0</v>
      </c>
      <c r="F158" s="105">
        <v>0</v>
      </c>
      <c r="G158" s="128">
        <v>0</v>
      </c>
      <c r="H158" s="129">
        <v>0</v>
      </c>
      <c r="I158" s="162">
        <v>0</v>
      </c>
      <c r="J158" s="193"/>
      <c r="K158" s="129"/>
      <c r="L158" s="110"/>
      <c r="M158" s="129"/>
      <c r="N158" s="129"/>
      <c r="O158" s="194"/>
      <c r="P158" s="128"/>
      <c r="Q158" s="129"/>
      <c r="R158" s="200"/>
    </row>
    <row r="159" spans="1:18" s="185" customFormat="1" ht="19.5" customHeight="1" thickBot="1" thickTop="1">
      <c r="A159" s="181">
        <v>630</v>
      </c>
      <c r="B159" s="182" t="s">
        <v>470</v>
      </c>
      <c r="C159" s="183">
        <f>C160++C165</f>
        <v>163000</v>
      </c>
      <c r="D159" s="78">
        <f t="shared" si="13"/>
        <v>163000</v>
      </c>
      <c r="E159" s="83">
        <f>H159+K159+Q159+N159</f>
        <v>26769</v>
      </c>
      <c r="F159" s="79">
        <f t="shared" si="12"/>
        <v>16.422699386503066</v>
      </c>
      <c r="G159" s="183">
        <f>SUM(G160)+G165</f>
        <v>163000</v>
      </c>
      <c r="H159" s="83">
        <f>SUM(H160)+H165</f>
        <v>26769</v>
      </c>
      <c r="I159" s="292">
        <f t="shared" si="16"/>
        <v>16.422699386503066</v>
      </c>
      <c r="J159" s="82"/>
      <c r="K159" s="83"/>
      <c r="L159" s="84"/>
      <c r="M159" s="83"/>
      <c r="N159" s="83"/>
      <c r="O159" s="184"/>
      <c r="P159" s="183"/>
      <c r="Q159" s="83"/>
      <c r="R159" s="293"/>
    </row>
    <row r="160" spans="1:18" ht="34.5" customHeight="1" thickTop="1">
      <c r="A160" s="186">
        <v>63003</v>
      </c>
      <c r="B160" s="294" t="s">
        <v>471</v>
      </c>
      <c r="C160" s="188">
        <f>SUM(C161:C164)</f>
        <v>63000</v>
      </c>
      <c r="D160" s="189">
        <f t="shared" si="13"/>
        <v>63000</v>
      </c>
      <c r="E160" s="97">
        <f>H160+K160+Q160+N160</f>
        <v>26769</v>
      </c>
      <c r="F160" s="168">
        <f t="shared" si="12"/>
        <v>42.49047619047619</v>
      </c>
      <c r="G160" s="188">
        <f>SUM(G161:G164)</f>
        <v>63000</v>
      </c>
      <c r="H160" s="119">
        <f>SUM(H161:H164)</f>
        <v>26769</v>
      </c>
      <c r="I160" s="295">
        <f t="shared" si="16"/>
        <v>42.49047619047619</v>
      </c>
      <c r="J160" s="124"/>
      <c r="K160" s="119"/>
      <c r="L160" s="125"/>
      <c r="M160" s="119"/>
      <c r="N160" s="119"/>
      <c r="O160" s="190"/>
      <c r="P160" s="188"/>
      <c r="Q160" s="119"/>
      <c r="R160" s="283"/>
    </row>
    <row r="161" spans="1:18" ht="72">
      <c r="A161" s="191">
        <v>2820</v>
      </c>
      <c r="B161" s="198" t="s">
        <v>472</v>
      </c>
      <c r="C161" s="128">
        <v>7000</v>
      </c>
      <c r="D161" s="104">
        <f t="shared" si="13"/>
        <v>4000</v>
      </c>
      <c r="E161" s="129">
        <f aca="true" t="shared" si="17" ref="E161:E184">SUM(H161+K161+N161+Q161)</f>
        <v>2000</v>
      </c>
      <c r="F161" s="105">
        <f t="shared" si="12"/>
        <v>50</v>
      </c>
      <c r="G161" s="128">
        <f>7000-3000</f>
        <v>4000</v>
      </c>
      <c r="H161" s="129">
        <v>2000</v>
      </c>
      <c r="I161" s="162">
        <f t="shared" si="16"/>
        <v>50</v>
      </c>
      <c r="J161" s="129"/>
      <c r="K161" s="129"/>
      <c r="L161" s="110"/>
      <c r="M161" s="129"/>
      <c r="N161" s="129"/>
      <c r="O161" s="194"/>
      <c r="P161" s="128"/>
      <c r="Q161" s="129"/>
      <c r="R161" s="200"/>
    </row>
    <row r="162" spans="1:18" ht="60">
      <c r="A162" s="191">
        <v>2810</v>
      </c>
      <c r="B162" s="198" t="s">
        <v>473</v>
      </c>
      <c r="C162" s="128"/>
      <c r="D162" s="104">
        <f>G162+J162+P162+M162</f>
        <v>3000</v>
      </c>
      <c r="E162" s="129">
        <f>SUM(H162+K162+N162+Q162)</f>
        <v>0</v>
      </c>
      <c r="F162" s="105">
        <f>E162/D162*100</f>
        <v>0</v>
      </c>
      <c r="G162" s="128">
        <v>3000</v>
      </c>
      <c r="H162" s="129"/>
      <c r="I162" s="162">
        <f t="shared" si="16"/>
        <v>0</v>
      </c>
      <c r="J162" s="193"/>
      <c r="K162" s="129"/>
      <c r="L162" s="110"/>
      <c r="M162" s="129"/>
      <c r="N162" s="129"/>
      <c r="O162" s="194"/>
      <c r="P162" s="128"/>
      <c r="Q162" s="129"/>
      <c r="R162" s="200"/>
    </row>
    <row r="163" spans="1:18" ht="25.5" customHeight="1">
      <c r="A163" s="191">
        <v>4210</v>
      </c>
      <c r="B163" s="192" t="s">
        <v>474</v>
      </c>
      <c r="C163" s="128">
        <v>4000</v>
      </c>
      <c r="D163" s="104">
        <f>G163+J163+P163+M163</f>
        <v>4000</v>
      </c>
      <c r="E163" s="129">
        <f>SUM(H163+K163+N163+Q163)</f>
        <v>0</v>
      </c>
      <c r="F163" s="105">
        <f>E163/D163*100</f>
        <v>0</v>
      </c>
      <c r="G163" s="128">
        <v>4000</v>
      </c>
      <c r="H163" s="129"/>
      <c r="I163" s="162">
        <f t="shared" si="16"/>
        <v>0</v>
      </c>
      <c r="J163" s="193"/>
      <c r="K163" s="129"/>
      <c r="L163" s="110"/>
      <c r="M163" s="129"/>
      <c r="N163" s="129"/>
      <c r="O163" s="194"/>
      <c r="P163" s="128"/>
      <c r="Q163" s="129"/>
      <c r="R163" s="200"/>
    </row>
    <row r="164" spans="1:18" ht="24">
      <c r="A164" s="191">
        <v>4300</v>
      </c>
      <c r="B164" s="198" t="s">
        <v>475</v>
      </c>
      <c r="C164" s="128">
        <v>52000</v>
      </c>
      <c r="D164" s="104">
        <f t="shared" si="13"/>
        <v>52000</v>
      </c>
      <c r="E164" s="129">
        <f t="shared" si="17"/>
        <v>24769</v>
      </c>
      <c r="F164" s="105">
        <f t="shared" si="12"/>
        <v>47.63269230769231</v>
      </c>
      <c r="G164" s="128">
        <v>52000</v>
      </c>
      <c r="H164" s="129">
        <v>24769</v>
      </c>
      <c r="I164" s="162">
        <f t="shared" si="16"/>
        <v>47.63269230769231</v>
      </c>
      <c r="J164" s="193"/>
      <c r="K164" s="129"/>
      <c r="L164" s="110"/>
      <c r="M164" s="129"/>
      <c r="N164" s="129"/>
      <c r="O164" s="194"/>
      <c r="P164" s="128"/>
      <c r="Q164" s="129"/>
      <c r="R164" s="200"/>
    </row>
    <row r="165" spans="1:18" s="221" customFormat="1" ht="16.5" customHeight="1">
      <c r="A165" s="239">
        <v>63095</v>
      </c>
      <c r="B165" s="296" t="s">
        <v>378</v>
      </c>
      <c r="C165" s="136">
        <f>C166+C173+C185</f>
        <v>100000</v>
      </c>
      <c r="D165" s="137">
        <f t="shared" si="13"/>
        <v>100000</v>
      </c>
      <c r="E165" s="137">
        <f t="shared" si="17"/>
        <v>0</v>
      </c>
      <c r="F165" s="138">
        <f t="shared" si="12"/>
        <v>0</v>
      </c>
      <c r="G165" s="136">
        <f>G166+G173+G185</f>
        <v>100000</v>
      </c>
      <c r="H165" s="137">
        <f>H166+H173+H185</f>
        <v>0</v>
      </c>
      <c r="I165" s="297">
        <f t="shared" si="16"/>
        <v>0</v>
      </c>
      <c r="J165" s="140"/>
      <c r="K165" s="137"/>
      <c r="L165" s="125"/>
      <c r="M165" s="137"/>
      <c r="N165" s="137"/>
      <c r="O165" s="265"/>
      <c r="P165" s="136"/>
      <c r="Q165" s="137"/>
      <c r="R165" s="266"/>
    </row>
    <row r="166" spans="1:18" s="304" customFormat="1" ht="24" hidden="1">
      <c r="A166" s="298"/>
      <c r="B166" s="299" t="s">
        <v>476</v>
      </c>
      <c r="C166" s="300">
        <f>SUM(C167:C172)</f>
        <v>0</v>
      </c>
      <c r="D166" s="301">
        <f t="shared" si="13"/>
        <v>0</v>
      </c>
      <c r="E166" s="301">
        <f t="shared" si="17"/>
        <v>0</v>
      </c>
      <c r="F166" s="163" t="e">
        <f t="shared" si="12"/>
        <v>#DIV/0!</v>
      </c>
      <c r="G166" s="300">
        <f>SUM(G167:G172)</f>
        <v>0</v>
      </c>
      <c r="H166" s="301">
        <f>SUM(H167:H172)</f>
        <v>0</v>
      </c>
      <c r="I166" s="162" t="e">
        <f t="shared" si="16"/>
        <v>#DIV/0!</v>
      </c>
      <c r="J166" s="302"/>
      <c r="K166" s="301"/>
      <c r="L166" s="289"/>
      <c r="M166" s="301"/>
      <c r="N166" s="301"/>
      <c r="O166" s="289"/>
      <c r="P166" s="300"/>
      <c r="Q166" s="301"/>
      <c r="R166" s="303"/>
    </row>
    <row r="167" spans="1:18" s="269" customFormat="1" ht="16.5" customHeight="1" hidden="1">
      <c r="A167" s="267">
        <v>4308</v>
      </c>
      <c r="B167" s="305" t="s">
        <v>385</v>
      </c>
      <c r="C167" s="160"/>
      <c r="D167" s="104">
        <f t="shared" si="13"/>
        <v>0</v>
      </c>
      <c r="E167" s="104">
        <f t="shared" si="17"/>
        <v>0</v>
      </c>
      <c r="F167" s="306" t="e">
        <f t="shared" si="12"/>
        <v>#DIV/0!</v>
      </c>
      <c r="G167" s="160"/>
      <c r="H167" s="104"/>
      <c r="I167" s="197" t="e">
        <f t="shared" si="16"/>
        <v>#DIV/0!</v>
      </c>
      <c r="J167" s="109"/>
      <c r="K167" s="104"/>
      <c r="L167" s="110"/>
      <c r="M167" s="104"/>
      <c r="N167" s="104"/>
      <c r="O167" s="194"/>
      <c r="P167" s="160"/>
      <c r="Q167" s="104"/>
      <c r="R167" s="200"/>
    </row>
    <row r="168" spans="1:18" s="269" customFormat="1" ht="16.5" customHeight="1" hidden="1">
      <c r="A168" s="267">
        <v>4309</v>
      </c>
      <c r="B168" s="305" t="s">
        <v>385</v>
      </c>
      <c r="C168" s="160"/>
      <c r="D168" s="104">
        <f t="shared" si="13"/>
        <v>0</v>
      </c>
      <c r="E168" s="104">
        <f t="shared" si="17"/>
        <v>0</v>
      </c>
      <c r="F168" s="306" t="e">
        <f t="shared" si="12"/>
        <v>#DIV/0!</v>
      </c>
      <c r="G168" s="160"/>
      <c r="H168" s="104"/>
      <c r="I168" s="197" t="e">
        <f t="shared" si="16"/>
        <v>#DIV/0!</v>
      </c>
      <c r="J168" s="109"/>
      <c r="K168" s="104"/>
      <c r="L168" s="110"/>
      <c r="M168" s="104"/>
      <c r="N168" s="104"/>
      <c r="O168" s="194"/>
      <c r="P168" s="160"/>
      <c r="Q168" s="104"/>
      <c r="R168" s="200"/>
    </row>
    <row r="169" spans="1:18" s="269" customFormat="1" ht="16.5" customHeight="1" hidden="1">
      <c r="A169" s="267">
        <v>4418</v>
      </c>
      <c r="B169" s="305" t="s">
        <v>338</v>
      </c>
      <c r="C169" s="160"/>
      <c r="D169" s="104">
        <f t="shared" si="13"/>
        <v>0</v>
      </c>
      <c r="E169" s="104">
        <f t="shared" si="17"/>
        <v>0</v>
      </c>
      <c r="F169" s="306" t="e">
        <f>E169/D169*100</f>
        <v>#DIV/0!</v>
      </c>
      <c r="G169" s="160"/>
      <c r="H169" s="104"/>
      <c r="I169" s="197" t="e">
        <f t="shared" si="16"/>
        <v>#DIV/0!</v>
      </c>
      <c r="J169" s="109"/>
      <c r="K169" s="104"/>
      <c r="L169" s="110"/>
      <c r="M169" s="104"/>
      <c r="N169" s="104"/>
      <c r="O169" s="194"/>
      <c r="P169" s="160"/>
      <c r="Q169" s="104"/>
      <c r="R169" s="200"/>
    </row>
    <row r="170" spans="1:18" s="269" customFormat="1" ht="16.5" customHeight="1" hidden="1">
      <c r="A170" s="267">
        <v>4419</v>
      </c>
      <c r="B170" s="305" t="s">
        <v>338</v>
      </c>
      <c r="C170" s="160"/>
      <c r="D170" s="104">
        <f t="shared" si="13"/>
        <v>0</v>
      </c>
      <c r="E170" s="104">
        <f t="shared" si="17"/>
        <v>0</v>
      </c>
      <c r="F170" s="306" t="e">
        <f>E170/D170*100</f>
        <v>#DIV/0!</v>
      </c>
      <c r="G170" s="160"/>
      <c r="H170" s="104"/>
      <c r="I170" s="197" t="e">
        <f t="shared" si="16"/>
        <v>#DIV/0!</v>
      </c>
      <c r="J170" s="109"/>
      <c r="K170" s="104"/>
      <c r="L170" s="110"/>
      <c r="M170" s="104"/>
      <c r="N170" s="104"/>
      <c r="O170" s="194"/>
      <c r="P170" s="160"/>
      <c r="Q170" s="104"/>
      <c r="R170" s="200"/>
    </row>
    <row r="171" spans="1:18" s="269" customFormat="1" ht="24" hidden="1">
      <c r="A171" s="267">
        <v>4428</v>
      </c>
      <c r="B171" s="305" t="s">
        <v>477</v>
      </c>
      <c r="C171" s="160"/>
      <c r="D171" s="104">
        <f t="shared" si="13"/>
        <v>0</v>
      </c>
      <c r="E171" s="104">
        <f t="shared" si="17"/>
        <v>0</v>
      </c>
      <c r="F171" s="306" t="e">
        <f>E171/D171*100</f>
        <v>#DIV/0!</v>
      </c>
      <c r="G171" s="160"/>
      <c r="H171" s="104"/>
      <c r="I171" s="197" t="e">
        <f t="shared" si="16"/>
        <v>#DIV/0!</v>
      </c>
      <c r="J171" s="109"/>
      <c r="K171" s="104"/>
      <c r="L171" s="110"/>
      <c r="M171" s="104"/>
      <c r="N171" s="104"/>
      <c r="O171" s="194"/>
      <c r="P171" s="160"/>
      <c r="Q171" s="104"/>
      <c r="R171" s="200"/>
    </row>
    <row r="172" spans="1:18" s="269" customFormat="1" ht="24" hidden="1">
      <c r="A172" s="267">
        <v>4429</v>
      </c>
      <c r="B172" s="305" t="s">
        <v>477</v>
      </c>
      <c r="C172" s="160"/>
      <c r="D172" s="104">
        <f t="shared" si="13"/>
        <v>0</v>
      </c>
      <c r="E172" s="104">
        <f t="shared" si="17"/>
        <v>0</v>
      </c>
      <c r="F172" s="306" t="e">
        <f aca="true" t="shared" si="18" ref="F172:F205">E172/D172*100</f>
        <v>#DIV/0!</v>
      </c>
      <c r="G172" s="160"/>
      <c r="H172" s="104"/>
      <c r="I172" s="197" t="e">
        <f t="shared" si="16"/>
        <v>#DIV/0!</v>
      </c>
      <c r="J172" s="109"/>
      <c r="K172" s="104"/>
      <c r="L172" s="110"/>
      <c r="M172" s="104"/>
      <c r="N172" s="104"/>
      <c r="O172" s="194"/>
      <c r="P172" s="160"/>
      <c r="Q172" s="104"/>
      <c r="R172" s="200"/>
    </row>
    <row r="173" spans="1:18" s="304" customFormat="1" ht="48" hidden="1">
      <c r="A173" s="298"/>
      <c r="B173" s="299" t="s">
        <v>478</v>
      </c>
      <c r="C173" s="300">
        <f>SUM(C174:C184)</f>
        <v>0</v>
      </c>
      <c r="D173" s="301">
        <f t="shared" si="13"/>
        <v>0</v>
      </c>
      <c r="E173" s="301">
        <f t="shared" si="17"/>
        <v>0</v>
      </c>
      <c r="F173" s="105" t="e">
        <f t="shared" si="18"/>
        <v>#DIV/0!</v>
      </c>
      <c r="G173" s="300">
        <f>SUM(G174:G184)</f>
        <v>0</v>
      </c>
      <c r="H173" s="301">
        <f>SUM(H174:H184)</f>
        <v>0</v>
      </c>
      <c r="I173" s="162" t="e">
        <f t="shared" si="16"/>
        <v>#DIV/0!</v>
      </c>
      <c r="J173" s="302"/>
      <c r="K173" s="301"/>
      <c r="L173" s="289"/>
      <c r="M173" s="301"/>
      <c r="N173" s="301"/>
      <c r="O173" s="289"/>
      <c r="P173" s="300"/>
      <c r="Q173" s="301"/>
      <c r="R173" s="303"/>
    </row>
    <row r="174" spans="1:18" s="269" customFormat="1" ht="24" hidden="1">
      <c r="A174" s="267">
        <v>4110</v>
      </c>
      <c r="B174" s="198" t="s">
        <v>455</v>
      </c>
      <c r="C174" s="160"/>
      <c r="D174" s="104">
        <f t="shared" si="13"/>
        <v>0</v>
      </c>
      <c r="E174" s="104">
        <f t="shared" si="17"/>
        <v>0</v>
      </c>
      <c r="F174" s="306" t="e">
        <f t="shared" si="18"/>
        <v>#DIV/0!</v>
      </c>
      <c r="G174" s="160"/>
      <c r="H174" s="104"/>
      <c r="I174" s="197" t="e">
        <f t="shared" si="16"/>
        <v>#DIV/0!</v>
      </c>
      <c r="J174" s="109"/>
      <c r="K174" s="104"/>
      <c r="L174" s="110"/>
      <c r="M174" s="104"/>
      <c r="N174" s="104"/>
      <c r="O174" s="194"/>
      <c r="P174" s="160"/>
      <c r="Q174" s="104"/>
      <c r="R174" s="200"/>
    </row>
    <row r="175" spans="1:18" s="269" customFormat="1" ht="16.5" customHeight="1" hidden="1">
      <c r="A175" s="267">
        <v>4120</v>
      </c>
      <c r="B175" s="198" t="s">
        <v>456</v>
      </c>
      <c r="C175" s="160"/>
      <c r="D175" s="104">
        <f t="shared" si="13"/>
        <v>0</v>
      </c>
      <c r="E175" s="104">
        <f t="shared" si="17"/>
        <v>0</v>
      </c>
      <c r="F175" s="306" t="e">
        <f t="shared" si="18"/>
        <v>#DIV/0!</v>
      </c>
      <c r="G175" s="160"/>
      <c r="H175" s="104"/>
      <c r="I175" s="197" t="e">
        <f t="shared" si="16"/>
        <v>#DIV/0!</v>
      </c>
      <c r="J175" s="109"/>
      <c r="K175" s="104"/>
      <c r="L175" s="110"/>
      <c r="M175" s="104"/>
      <c r="N175" s="104"/>
      <c r="O175" s="194"/>
      <c r="P175" s="160"/>
      <c r="Q175" s="104"/>
      <c r="R175" s="200"/>
    </row>
    <row r="176" spans="1:18" s="269" customFormat="1" ht="24" hidden="1">
      <c r="A176" s="267">
        <v>4178</v>
      </c>
      <c r="B176" s="198" t="s">
        <v>392</v>
      </c>
      <c r="C176" s="160"/>
      <c r="D176" s="104">
        <f t="shared" si="13"/>
        <v>0</v>
      </c>
      <c r="E176" s="104">
        <f t="shared" si="17"/>
        <v>0</v>
      </c>
      <c r="F176" s="306" t="e">
        <f t="shared" si="18"/>
        <v>#DIV/0!</v>
      </c>
      <c r="G176" s="160"/>
      <c r="H176" s="104"/>
      <c r="I176" s="197" t="e">
        <f t="shared" si="16"/>
        <v>#DIV/0!</v>
      </c>
      <c r="J176" s="109"/>
      <c r="K176" s="104"/>
      <c r="L176" s="110"/>
      <c r="M176" s="104"/>
      <c r="N176" s="104"/>
      <c r="O176" s="194"/>
      <c r="P176" s="160"/>
      <c r="Q176" s="104"/>
      <c r="R176" s="200"/>
    </row>
    <row r="177" spans="1:18" s="269" customFormat="1" ht="24" hidden="1">
      <c r="A177" s="267">
        <v>4179</v>
      </c>
      <c r="B177" s="198" t="s">
        <v>392</v>
      </c>
      <c r="C177" s="160"/>
      <c r="D177" s="104">
        <f t="shared" si="13"/>
        <v>0</v>
      </c>
      <c r="E177" s="104">
        <f t="shared" si="17"/>
        <v>0</v>
      </c>
      <c r="F177" s="306" t="e">
        <f t="shared" si="18"/>
        <v>#DIV/0!</v>
      </c>
      <c r="G177" s="160"/>
      <c r="H177" s="104"/>
      <c r="I177" s="197" t="e">
        <f t="shared" si="16"/>
        <v>#DIV/0!</v>
      </c>
      <c r="J177" s="109"/>
      <c r="K177" s="104"/>
      <c r="L177" s="110"/>
      <c r="M177" s="104"/>
      <c r="N177" s="104"/>
      <c r="O177" s="194"/>
      <c r="P177" s="160"/>
      <c r="Q177" s="104"/>
      <c r="R177" s="200"/>
    </row>
    <row r="178" spans="1:18" s="269" customFormat="1" ht="24" hidden="1">
      <c r="A178" s="267">
        <v>4218</v>
      </c>
      <c r="B178" s="192" t="s">
        <v>356</v>
      </c>
      <c r="C178" s="160"/>
      <c r="D178" s="104">
        <f t="shared" si="13"/>
        <v>0</v>
      </c>
      <c r="E178" s="104">
        <f t="shared" si="17"/>
        <v>0</v>
      </c>
      <c r="F178" s="306" t="e">
        <f t="shared" si="18"/>
        <v>#DIV/0!</v>
      </c>
      <c r="G178" s="160"/>
      <c r="H178" s="104"/>
      <c r="I178" s="197" t="e">
        <f t="shared" si="16"/>
        <v>#DIV/0!</v>
      </c>
      <c r="J178" s="109"/>
      <c r="K178" s="104"/>
      <c r="L178" s="110"/>
      <c r="M178" s="104"/>
      <c r="N178" s="104"/>
      <c r="O178" s="194"/>
      <c r="P178" s="160"/>
      <c r="Q178" s="104"/>
      <c r="R178" s="200"/>
    </row>
    <row r="179" spans="1:18" s="269" customFormat="1" ht="24" hidden="1">
      <c r="A179" s="267">
        <v>4219</v>
      </c>
      <c r="B179" s="192" t="s">
        <v>356</v>
      </c>
      <c r="C179" s="160"/>
      <c r="D179" s="104">
        <f aca="true" t="shared" si="19" ref="D179:E244">G179+J179+P179+M179</f>
        <v>0</v>
      </c>
      <c r="E179" s="104">
        <f t="shared" si="17"/>
        <v>0</v>
      </c>
      <c r="F179" s="306" t="e">
        <f t="shared" si="18"/>
        <v>#DIV/0!</v>
      </c>
      <c r="G179" s="160"/>
      <c r="H179" s="104"/>
      <c r="I179" s="197" t="e">
        <f t="shared" si="16"/>
        <v>#DIV/0!</v>
      </c>
      <c r="J179" s="109"/>
      <c r="K179" s="104"/>
      <c r="L179" s="110"/>
      <c r="M179" s="104"/>
      <c r="N179" s="104"/>
      <c r="O179" s="194"/>
      <c r="P179" s="160"/>
      <c r="Q179" s="104"/>
      <c r="R179" s="200"/>
    </row>
    <row r="180" spans="1:18" s="269" customFormat="1" ht="16.5" customHeight="1" hidden="1">
      <c r="A180" s="267">
        <v>4300</v>
      </c>
      <c r="B180" s="305" t="s">
        <v>385</v>
      </c>
      <c r="C180" s="160"/>
      <c r="D180" s="104">
        <f t="shared" si="19"/>
        <v>0</v>
      </c>
      <c r="E180" s="104">
        <f t="shared" si="17"/>
        <v>0</v>
      </c>
      <c r="F180" s="306" t="e">
        <f t="shared" si="18"/>
        <v>#DIV/0!</v>
      </c>
      <c r="G180" s="160"/>
      <c r="H180" s="104"/>
      <c r="I180" s="197" t="e">
        <f t="shared" si="16"/>
        <v>#DIV/0!</v>
      </c>
      <c r="J180" s="109"/>
      <c r="K180" s="104"/>
      <c r="L180" s="110"/>
      <c r="M180" s="104"/>
      <c r="N180" s="104"/>
      <c r="O180" s="194"/>
      <c r="P180" s="160"/>
      <c r="Q180" s="104"/>
      <c r="R180" s="200"/>
    </row>
    <row r="181" spans="1:18" s="269" customFormat="1" ht="16.5" customHeight="1" hidden="1">
      <c r="A181" s="267">
        <v>4308</v>
      </c>
      <c r="B181" s="305" t="s">
        <v>385</v>
      </c>
      <c r="C181" s="160"/>
      <c r="D181" s="104">
        <f t="shared" si="19"/>
        <v>0</v>
      </c>
      <c r="E181" s="104">
        <f>SUM(H181+K181+N181+Q181)</f>
        <v>0</v>
      </c>
      <c r="F181" s="306" t="e">
        <f>E181/D181*100</f>
        <v>#DIV/0!</v>
      </c>
      <c r="G181" s="160"/>
      <c r="H181" s="104"/>
      <c r="I181" s="197" t="e">
        <f t="shared" si="16"/>
        <v>#DIV/0!</v>
      </c>
      <c r="J181" s="109"/>
      <c r="K181" s="104"/>
      <c r="L181" s="110"/>
      <c r="M181" s="104"/>
      <c r="N181" s="104"/>
      <c r="O181" s="194"/>
      <c r="P181" s="160"/>
      <c r="Q181" s="104"/>
      <c r="R181" s="200"/>
    </row>
    <row r="182" spans="1:18" s="269" customFormat="1" ht="16.5" customHeight="1" hidden="1">
      <c r="A182" s="267">
        <v>4309</v>
      </c>
      <c r="B182" s="305" t="s">
        <v>385</v>
      </c>
      <c r="C182" s="160"/>
      <c r="D182" s="104">
        <f t="shared" si="19"/>
        <v>0</v>
      </c>
      <c r="E182" s="104">
        <f>SUM(H182+K182+N182+Q182)</f>
        <v>0</v>
      </c>
      <c r="F182" s="306" t="e">
        <f>E182/D182*100</f>
        <v>#DIV/0!</v>
      </c>
      <c r="G182" s="160"/>
      <c r="H182" s="104"/>
      <c r="I182" s="197" t="e">
        <f t="shared" si="16"/>
        <v>#DIV/0!</v>
      </c>
      <c r="J182" s="109"/>
      <c r="K182" s="104"/>
      <c r="L182" s="110"/>
      <c r="M182" s="104"/>
      <c r="N182" s="104"/>
      <c r="O182" s="194"/>
      <c r="P182" s="160"/>
      <c r="Q182" s="104"/>
      <c r="R182" s="200"/>
    </row>
    <row r="183" spans="1:18" s="269" customFormat="1" ht="36" hidden="1">
      <c r="A183" s="267">
        <v>4388</v>
      </c>
      <c r="B183" s="305" t="s">
        <v>479</v>
      </c>
      <c r="C183" s="160"/>
      <c r="D183" s="104">
        <f t="shared" si="19"/>
        <v>0</v>
      </c>
      <c r="E183" s="104">
        <f t="shared" si="17"/>
        <v>0</v>
      </c>
      <c r="F183" s="306" t="e">
        <f t="shared" si="18"/>
        <v>#DIV/0!</v>
      </c>
      <c r="G183" s="160"/>
      <c r="H183" s="104"/>
      <c r="I183" s="197" t="e">
        <f t="shared" si="16"/>
        <v>#DIV/0!</v>
      </c>
      <c r="J183" s="109"/>
      <c r="K183" s="104"/>
      <c r="L183" s="110"/>
      <c r="M183" s="104"/>
      <c r="N183" s="104"/>
      <c r="O183" s="194"/>
      <c r="P183" s="160"/>
      <c r="Q183" s="104"/>
      <c r="R183" s="200"/>
    </row>
    <row r="184" spans="1:18" s="269" customFormat="1" ht="36" hidden="1">
      <c r="A184" s="267">
        <v>4389</v>
      </c>
      <c r="B184" s="305" t="s">
        <v>479</v>
      </c>
      <c r="C184" s="160"/>
      <c r="D184" s="104">
        <f t="shared" si="19"/>
        <v>0</v>
      </c>
      <c r="E184" s="104">
        <f t="shared" si="17"/>
        <v>0</v>
      </c>
      <c r="F184" s="306" t="e">
        <f t="shared" si="18"/>
        <v>#DIV/0!</v>
      </c>
      <c r="G184" s="160"/>
      <c r="H184" s="104"/>
      <c r="I184" s="197" t="e">
        <f t="shared" si="16"/>
        <v>#DIV/0!</v>
      </c>
      <c r="J184" s="109"/>
      <c r="K184" s="104"/>
      <c r="L184" s="110"/>
      <c r="M184" s="104"/>
      <c r="N184" s="104"/>
      <c r="O184" s="194"/>
      <c r="P184" s="160"/>
      <c r="Q184" s="104"/>
      <c r="R184" s="200"/>
    </row>
    <row r="185" spans="1:18" s="304" customFormat="1" ht="36">
      <c r="A185" s="298"/>
      <c r="B185" s="299" t="s">
        <v>480</v>
      </c>
      <c r="C185" s="300">
        <f>SUM(C186)</f>
        <v>100000</v>
      </c>
      <c r="D185" s="301">
        <f t="shared" si="19"/>
        <v>100000</v>
      </c>
      <c r="E185" s="301">
        <f>SUM(H185+K185+N185+Q185)</f>
        <v>0</v>
      </c>
      <c r="F185" s="163">
        <f>E185/D185*100</f>
        <v>0</v>
      </c>
      <c r="G185" s="300">
        <f>SUM(G186)</f>
        <v>100000</v>
      </c>
      <c r="H185" s="301">
        <f>SUM(H186)</f>
        <v>0</v>
      </c>
      <c r="I185" s="197">
        <f t="shared" si="16"/>
        <v>0</v>
      </c>
      <c r="J185" s="302"/>
      <c r="K185" s="301"/>
      <c r="L185" s="289"/>
      <c r="M185" s="301"/>
      <c r="N185" s="301"/>
      <c r="O185" s="289"/>
      <c r="P185" s="300"/>
      <c r="Q185" s="301"/>
      <c r="R185" s="303"/>
    </row>
    <row r="186" spans="1:18" s="269" customFormat="1" ht="72.75" thickBot="1">
      <c r="A186" s="267">
        <v>2710</v>
      </c>
      <c r="B186" s="305" t="s">
        <v>481</v>
      </c>
      <c r="C186" s="160">
        <v>100000</v>
      </c>
      <c r="D186" s="104">
        <f t="shared" si="19"/>
        <v>100000</v>
      </c>
      <c r="E186" s="104">
        <f>SUM(H186+K186+N186+Q186)</f>
        <v>0</v>
      </c>
      <c r="F186" s="306">
        <f>E186/D186*100</f>
        <v>0</v>
      </c>
      <c r="G186" s="160">
        <v>100000</v>
      </c>
      <c r="H186" s="104"/>
      <c r="I186" s="197">
        <f t="shared" si="16"/>
        <v>0</v>
      </c>
      <c r="J186" s="109"/>
      <c r="K186" s="104"/>
      <c r="L186" s="110"/>
      <c r="M186" s="104"/>
      <c r="N186" s="104"/>
      <c r="O186" s="194"/>
      <c r="P186" s="160"/>
      <c r="Q186" s="104"/>
      <c r="R186" s="200"/>
    </row>
    <row r="187" spans="1:18" ht="24.75" customHeight="1" thickBot="1" thickTop="1">
      <c r="A187" s="181">
        <v>700</v>
      </c>
      <c r="B187" s="182" t="s">
        <v>482</v>
      </c>
      <c r="C187" s="183">
        <f>C188+C191+C211+C209</f>
        <v>19736040</v>
      </c>
      <c r="D187" s="78">
        <f t="shared" si="19"/>
        <v>20466040</v>
      </c>
      <c r="E187" s="83">
        <f>H187+K187+Q187+N187</f>
        <v>2742612</v>
      </c>
      <c r="F187" s="79">
        <f t="shared" si="18"/>
        <v>13.400794682312748</v>
      </c>
      <c r="G187" s="183">
        <f>G188+G191+G211+G209</f>
        <v>20428040</v>
      </c>
      <c r="H187" s="83">
        <f>H188+H191+H211+H209</f>
        <v>2737682</v>
      </c>
      <c r="I187" s="81">
        <f t="shared" si="16"/>
        <v>13.401589188194265</v>
      </c>
      <c r="J187" s="83"/>
      <c r="K187" s="83"/>
      <c r="L187" s="84"/>
      <c r="M187" s="83"/>
      <c r="N187" s="83"/>
      <c r="O187" s="184"/>
      <c r="P187" s="183">
        <f>P188+P191+P211</f>
        <v>38000</v>
      </c>
      <c r="Q187" s="83">
        <f>Q188+Q191+Q211</f>
        <v>4930</v>
      </c>
      <c r="R187" s="81">
        <f>Q187/P187*100</f>
        <v>12.973684210526315</v>
      </c>
    </row>
    <row r="188" spans="1:18" s="185" customFormat="1" ht="24.75" thickTop="1">
      <c r="A188" s="307">
        <v>70001</v>
      </c>
      <c r="B188" s="308" t="s">
        <v>483</v>
      </c>
      <c r="C188" s="309">
        <f>SUM(C189:C190)</f>
        <v>8000000</v>
      </c>
      <c r="D188" s="189">
        <f t="shared" si="19"/>
        <v>8000000</v>
      </c>
      <c r="E188" s="91">
        <f aca="true" t="shared" si="20" ref="E188:E222">SUM(H188+K188+N188+Q188)</f>
        <v>1000000</v>
      </c>
      <c r="F188" s="168">
        <f t="shared" si="18"/>
        <v>12.5</v>
      </c>
      <c r="G188" s="310">
        <f>SUM(G189:G190)</f>
        <v>8000000</v>
      </c>
      <c r="H188" s="97">
        <f>SUM(H189:H190)</f>
        <v>1000000</v>
      </c>
      <c r="I188" s="170">
        <f t="shared" si="16"/>
        <v>12.5</v>
      </c>
      <c r="J188" s="311"/>
      <c r="K188" s="312"/>
      <c r="L188" s="313"/>
      <c r="M188" s="311"/>
      <c r="N188" s="311"/>
      <c r="O188" s="237"/>
      <c r="P188" s="309"/>
      <c r="Q188" s="311"/>
      <c r="R188" s="238"/>
    </row>
    <row r="189" spans="1:18" s="269" customFormat="1" ht="36">
      <c r="A189" s="314">
        <v>2650</v>
      </c>
      <c r="B189" s="315" t="s">
        <v>484</v>
      </c>
      <c r="C189" s="148">
        <v>6000000</v>
      </c>
      <c r="D189" s="149">
        <f t="shared" si="19"/>
        <v>6000000</v>
      </c>
      <c r="E189" s="150">
        <f t="shared" si="20"/>
        <v>1000000</v>
      </c>
      <c r="F189" s="130">
        <f t="shared" si="18"/>
        <v>16.666666666666664</v>
      </c>
      <c r="G189" s="148">
        <v>6000000</v>
      </c>
      <c r="H189" s="149">
        <v>1000000</v>
      </c>
      <c r="I189" s="113">
        <f t="shared" si="16"/>
        <v>16.666666666666664</v>
      </c>
      <c r="J189" s="153"/>
      <c r="K189" s="153"/>
      <c r="L189" s="154"/>
      <c r="M189" s="149"/>
      <c r="N189" s="149"/>
      <c r="O189" s="225"/>
      <c r="P189" s="148"/>
      <c r="Q189" s="149"/>
      <c r="R189" s="226"/>
    </row>
    <row r="190" spans="1:18" ht="84">
      <c r="A190" s="316">
        <v>6210</v>
      </c>
      <c r="B190" s="317" t="s">
        <v>485</v>
      </c>
      <c r="C190" s="128">
        <v>2000000</v>
      </c>
      <c r="D190" s="104">
        <f t="shared" si="19"/>
        <v>2000000</v>
      </c>
      <c r="E190" s="129">
        <f t="shared" si="20"/>
        <v>0</v>
      </c>
      <c r="F190" s="105">
        <f t="shared" si="18"/>
        <v>0</v>
      </c>
      <c r="G190" s="128">
        <v>2000000</v>
      </c>
      <c r="H190" s="129"/>
      <c r="I190" s="108">
        <f t="shared" si="16"/>
        <v>0</v>
      </c>
      <c r="J190" s="193"/>
      <c r="K190" s="129"/>
      <c r="L190" s="110"/>
      <c r="M190" s="129"/>
      <c r="N190" s="129"/>
      <c r="O190" s="194"/>
      <c r="P190" s="128"/>
      <c r="Q190" s="129"/>
      <c r="R190" s="200"/>
    </row>
    <row r="191" spans="1:18" s="185" customFormat="1" ht="24.75" customHeight="1">
      <c r="A191" s="186">
        <v>70005</v>
      </c>
      <c r="B191" s="294" t="s">
        <v>486</v>
      </c>
      <c r="C191" s="188">
        <f>SUM(C192:C208)</f>
        <v>2846000</v>
      </c>
      <c r="D191" s="137">
        <f t="shared" si="19"/>
        <v>2825800</v>
      </c>
      <c r="E191" s="119">
        <f>H191+K191+Q191+N191</f>
        <v>324427</v>
      </c>
      <c r="F191" s="120">
        <f t="shared" si="18"/>
        <v>11.480890367329605</v>
      </c>
      <c r="G191" s="188">
        <f>SUM(G192:G208)</f>
        <v>2787800</v>
      </c>
      <c r="H191" s="119">
        <f>SUM(H192:H208)</f>
        <v>319497</v>
      </c>
      <c r="I191" s="127">
        <f t="shared" si="16"/>
        <v>11.460542363153742</v>
      </c>
      <c r="J191" s="124"/>
      <c r="K191" s="119"/>
      <c r="L191" s="125"/>
      <c r="M191" s="119"/>
      <c r="N191" s="119"/>
      <c r="O191" s="190"/>
      <c r="P191" s="188">
        <f>SUM(P192:P208)</f>
        <v>38000</v>
      </c>
      <c r="Q191" s="119">
        <f>SUM(Q192:Q208)</f>
        <v>4930</v>
      </c>
      <c r="R191" s="127">
        <f>Q191/P191*100</f>
        <v>12.973684210526315</v>
      </c>
    </row>
    <row r="192" spans="1:18" ht="24">
      <c r="A192" s="191">
        <v>4300</v>
      </c>
      <c r="B192" s="198" t="s">
        <v>487</v>
      </c>
      <c r="C192" s="132">
        <v>5000</v>
      </c>
      <c r="D192" s="149">
        <f t="shared" si="19"/>
        <v>5000</v>
      </c>
      <c r="E192" s="150">
        <f t="shared" si="20"/>
        <v>0</v>
      </c>
      <c r="F192" s="130">
        <f t="shared" si="18"/>
        <v>0</v>
      </c>
      <c r="G192" s="132">
        <v>5000</v>
      </c>
      <c r="H192" s="150"/>
      <c r="I192" s="113">
        <f t="shared" si="16"/>
        <v>0</v>
      </c>
      <c r="J192" s="223"/>
      <c r="K192" s="150"/>
      <c r="L192" s="154"/>
      <c r="M192" s="150"/>
      <c r="N192" s="150"/>
      <c r="O192" s="225"/>
      <c r="P192" s="132"/>
      <c r="Q192" s="150"/>
      <c r="R192" s="226"/>
    </row>
    <row r="193" spans="1:18" ht="29.25" customHeight="1" hidden="1">
      <c r="A193" s="191">
        <v>4300</v>
      </c>
      <c r="B193" s="198" t="s">
        <v>488</v>
      </c>
      <c r="C193" s="128"/>
      <c r="D193" s="104">
        <f t="shared" si="19"/>
        <v>0</v>
      </c>
      <c r="E193" s="129">
        <f t="shared" si="20"/>
        <v>0</v>
      </c>
      <c r="F193" s="256" t="e">
        <f t="shared" si="18"/>
        <v>#DIV/0!</v>
      </c>
      <c r="G193" s="128"/>
      <c r="H193" s="129"/>
      <c r="I193" s="108"/>
      <c r="J193" s="193"/>
      <c r="K193" s="129"/>
      <c r="L193" s="110"/>
      <c r="M193" s="129"/>
      <c r="N193" s="129"/>
      <c r="O193" s="194"/>
      <c r="P193" s="128"/>
      <c r="Q193" s="129"/>
      <c r="R193" s="200"/>
    </row>
    <row r="194" spans="1:18" ht="24.75" customHeight="1" hidden="1">
      <c r="A194" s="191">
        <v>4210</v>
      </c>
      <c r="B194" s="192" t="s">
        <v>356</v>
      </c>
      <c r="C194" s="128"/>
      <c r="D194" s="104">
        <f t="shared" si="19"/>
        <v>0</v>
      </c>
      <c r="E194" s="129">
        <f t="shared" si="20"/>
        <v>0</v>
      </c>
      <c r="F194" s="256" t="e">
        <f t="shared" si="18"/>
        <v>#DIV/0!</v>
      </c>
      <c r="G194" s="128"/>
      <c r="H194" s="129"/>
      <c r="I194" s="108"/>
      <c r="J194" s="193"/>
      <c r="K194" s="129"/>
      <c r="L194" s="110"/>
      <c r="M194" s="129"/>
      <c r="N194" s="129"/>
      <c r="O194" s="194"/>
      <c r="P194" s="128"/>
      <c r="Q194" s="129"/>
      <c r="R194" s="108"/>
    </row>
    <row r="195" spans="1:18" ht="24.75" customHeight="1" hidden="1">
      <c r="A195" s="191">
        <v>4170</v>
      </c>
      <c r="B195" s="192" t="s">
        <v>392</v>
      </c>
      <c r="C195" s="128"/>
      <c r="D195" s="104">
        <f t="shared" si="19"/>
        <v>0</v>
      </c>
      <c r="E195" s="129">
        <f t="shared" si="20"/>
        <v>0</v>
      </c>
      <c r="F195" s="256" t="e">
        <f t="shared" si="18"/>
        <v>#DIV/0!</v>
      </c>
      <c r="G195" s="128"/>
      <c r="H195" s="129"/>
      <c r="I195" s="108"/>
      <c r="J195" s="193"/>
      <c r="K195" s="129"/>
      <c r="L195" s="110"/>
      <c r="M195" s="129"/>
      <c r="N195" s="129"/>
      <c r="O195" s="194"/>
      <c r="P195" s="128"/>
      <c r="Q195" s="129"/>
      <c r="R195" s="108"/>
    </row>
    <row r="196" spans="1:18" ht="37.5" customHeight="1" hidden="1">
      <c r="A196" s="191">
        <v>4240</v>
      </c>
      <c r="B196" s="198" t="s">
        <v>489</v>
      </c>
      <c r="C196" s="128"/>
      <c r="D196" s="104">
        <f t="shared" si="19"/>
        <v>0</v>
      </c>
      <c r="E196" s="129">
        <f t="shared" si="20"/>
        <v>0</v>
      </c>
      <c r="F196" s="256" t="e">
        <f t="shared" si="18"/>
        <v>#DIV/0!</v>
      </c>
      <c r="G196" s="128"/>
      <c r="H196" s="129"/>
      <c r="I196" s="108"/>
      <c r="J196" s="193"/>
      <c r="K196" s="129"/>
      <c r="L196" s="110"/>
      <c r="M196" s="129"/>
      <c r="N196" s="129"/>
      <c r="O196" s="194"/>
      <c r="P196" s="128"/>
      <c r="Q196" s="129"/>
      <c r="R196" s="108"/>
    </row>
    <row r="197" spans="1:18" ht="48">
      <c r="A197" s="191">
        <v>4300</v>
      </c>
      <c r="B197" s="198" t="s">
        <v>490</v>
      </c>
      <c r="C197" s="128">
        <v>858000</v>
      </c>
      <c r="D197" s="104">
        <f t="shared" si="19"/>
        <v>837800</v>
      </c>
      <c r="E197" s="129">
        <f t="shared" si="20"/>
        <v>54566</v>
      </c>
      <c r="F197" s="105">
        <f t="shared" si="18"/>
        <v>6.513010264979709</v>
      </c>
      <c r="G197" s="128">
        <f>850000-20200</f>
        <v>829800</v>
      </c>
      <c r="H197" s="129">
        <v>54446</v>
      </c>
      <c r="I197" s="108">
        <f t="shared" si="16"/>
        <v>6.561340081947457</v>
      </c>
      <c r="J197" s="193">
        <f>2730-2730</f>
        <v>0</v>
      </c>
      <c r="K197" s="129"/>
      <c r="L197" s="110"/>
      <c r="M197" s="129"/>
      <c r="N197" s="129"/>
      <c r="O197" s="194"/>
      <c r="P197" s="128">
        <v>8000</v>
      </c>
      <c r="Q197" s="129">
        <v>120</v>
      </c>
      <c r="R197" s="108">
        <f>Q197/P197*100</f>
        <v>1.5</v>
      </c>
    </row>
    <row r="198" spans="1:18" ht="36">
      <c r="A198" s="191">
        <v>4390</v>
      </c>
      <c r="B198" s="305" t="s">
        <v>491</v>
      </c>
      <c r="C198" s="128">
        <v>337300</v>
      </c>
      <c r="D198" s="104">
        <f t="shared" si="19"/>
        <v>333300</v>
      </c>
      <c r="E198" s="129">
        <f t="shared" si="20"/>
        <v>29004</v>
      </c>
      <c r="F198" s="105">
        <f t="shared" si="18"/>
        <v>8.702070207020702</v>
      </c>
      <c r="G198" s="128">
        <v>320000</v>
      </c>
      <c r="H198" s="104">
        <v>29004</v>
      </c>
      <c r="I198" s="108">
        <f t="shared" si="16"/>
        <v>9.063749999999999</v>
      </c>
      <c r="J198" s="193"/>
      <c r="K198" s="129"/>
      <c r="L198" s="110"/>
      <c r="M198" s="129"/>
      <c r="N198" s="129"/>
      <c r="O198" s="194"/>
      <c r="P198" s="128">
        <f>17300-4000</f>
        <v>13300</v>
      </c>
      <c r="Q198" s="129"/>
      <c r="R198" s="108">
        <f>Q198/P198*100</f>
        <v>0</v>
      </c>
    </row>
    <row r="199" spans="1:18" ht="14.25" customHeight="1">
      <c r="A199" s="191">
        <v>4430</v>
      </c>
      <c r="B199" s="198" t="s">
        <v>366</v>
      </c>
      <c r="C199" s="128">
        <v>50000</v>
      </c>
      <c r="D199" s="104">
        <f t="shared" si="19"/>
        <v>54000</v>
      </c>
      <c r="E199" s="129">
        <f t="shared" si="20"/>
        <v>15766</v>
      </c>
      <c r="F199" s="105">
        <f t="shared" si="18"/>
        <v>29.196296296296296</v>
      </c>
      <c r="G199" s="128">
        <v>50000</v>
      </c>
      <c r="H199" s="129">
        <v>12624</v>
      </c>
      <c r="I199" s="108">
        <f t="shared" si="16"/>
        <v>25.247999999999998</v>
      </c>
      <c r="J199" s="193">
        <f>-3000+3000</f>
        <v>0</v>
      </c>
      <c r="K199" s="129"/>
      <c r="L199" s="110"/>
      <c r="M199" s="129"/>
      <c r="N199" s="129"/>
      <c r="O199" s="194"/>
      <c r="P199" s="128">
        <v>4000</v>
      </c>
      <c r="Q199" s="129">
        <v>3142</v>
      </c>
      <c r="R199" s="108">
        <f>Q199/P199*100</f>
        <v>78.55</v>
      </c>
    </row>
    <row r="200" spans="1:18" ht="14.25" customHeight="1">
      <c r="A200" s="191">
        <v>4480</v>
      </c>
      <c r="B200" s="198" t="s">
        <v>370</v>
      </c>
      <c r="C200" s="128">
        <v>17500</v>
      </c>
      <c r="D200" s="104">
        <f t="shared" si="19"/>
        <v>16500</v>
      </c>
      <c r="E200" s="129">
        <f>SUM(H200+K200+N200+Q200)</f>
        <v>4912</v>
      </c>
      <c r="F200" s="105">
        <f>E200/D200*100</f>
        <v>29.76969696969697</v>
      </c>
      <c r="G200" s="128">
        <f>13000-1000</f>
        <v>12000</v>
      </c>
      <c r="H200" s="129">
        <v>3292</v>
      </c>
      <c r="I200" s="108">
        <f t="shared" si="16"/>
        <v>27.43333333333333</v>
      </c>
      <c r="J200" s="193">
        <f>270-270</f>
        <v>0</v>
      </c>
      <c r="K200" s="129"/>
      <c r="L200" s="110"/>
      <c r="M200" s="129"/>
      <c r="N200" s="129"/>
      <c r="O200" s="194"/>
      <c r="P200" s="128">
        <v>4500</v>
      </c>
      <c r="Q200" s="129">
        <v>1620</v>
      </c>
      <c r="R200" s="108">
        <f>Q200/P200*100</f>
        <v>36</v>
      </c>
    </row>
    <row r="201" spans="1:18" ht="48">
      <c r="A201" s="191">
        <v>4500</v>
      </c>
      <c r="B201" s="198" t="s">
        <v>492</v>
      </c>
      <c r="C201" s="128">
        <v>200</v>
      </c>
      <c r="D201" s="104">
        <f t="shared" si="19"/>
        <v>200</v>
      </c>
      <c r="E201" s="129">
        <f>SUM(H201+K201+N201+Q201)</f>
        <v>48</v>
      </c>
      <c r="F201" s="105">
        <f>E201/D201*100</f>
        <v>24</v>
      </c>
      <c r="G201" s="128"/>
      <c r="H201" s="129"/>
      <c r="I201" s="108"/>
      <c r="J201" s="193"/>
      <c r="K201" s="129"/>
      <c r="L201" s="110"/>
      <c r="M201" s="129"/>
      <c r="N201" s="129"/>
      <c r="O201" s="194"/>
      <c r="P201" s="128">
        <v>200</v>
      </c>
      <c r="Q201" s="129">
        <v>48</v>
      </c>
      <c r="R201" s="108">
        <f>Q201/P201*100</f>
        <v>24</v>
      </c>
    </row>
    <row r="202" spans="1:18" ht="24" hidden="1">
      <c r="A202" s="191">
        <v>4520</v>
      </c>
      <c r="B202" s="198" t="s">
        <v>493</v>
      </c>
      <c r="C202" s="128"/>
      <c r="D202" s="104">
        <f t="shared" si="19"/>
        <v>0</v>
      </c>
      <c r="E202" s="129">
        <f>SUM(H202+K202+N202+Q202)</f>
        <v>0</v>
      </c>
      <c r="F202" s="105" t="e">
        <f>E202/D202*100</f>
        <v>#DIV/0!</v>
      </c>
      <c r="G202" s="128"/>
      <c r="H202" s="129"/>
      <c r="I202" s="108"/>
      <c r="J202" s="193"/>
      <c r="K202" s="129"/>
      <c r="L202" s="110"/>
      <c r="M202" s="129"/>
      <c r="N202" s="129"/>
      <c r="O202" s="194"/>
      <c r="P202" s="128"/>
      <c r="Q202" s="129"/>
      <c r="R202" s="108"/>
    </row>
    <row r="203" spans="1:18" ht="24" hidden="1">
      <c r="A203" s="191">
        <v>4530</v>
      </c>
      <c r="B203" s="198" t="s">
        <v>494</v>
      </c>
      <c r="C203" s="128"/>
      <c r="D203" s="104">
        <f>G203+J203+P203+M203</f>
        <v>0</v>
      </c>
      <c r="E203" s="129">
        <f>SUM(H203+K203+N203+Q203)</f>
        <v>0</v>
      </c>
      <c r="F203" s="105" t="e">
        <f>E203/D203*100</f>
        <v>#DIV/0!</v>
      </c>
      <c r="G203" s="128"/>
      <c r="H203" s="129"/>
      <c r="I203" s="108" t="e">
        <f t="shared" si="16"/>
        <v>#DIV/0!</v>
      </c>
      <c r="J203" s="193"/>
      <c r="K203" s="129"/>
      <c r="L203" s="110"/>
      <c r="M203" s="129"/>
      <c r="N203" s="129"/>
      <c r="O203" s="194"/>
      <c r="P203" s="128"/>
      <c r="Q203" s="129"/>
      <c r="R203" s="108"/>
    </row>
    <row r="204" spans="1:18" ht="36">
      <c r="A204" s="191">
        <v>4590</v>
      </c>
      <c r="B204" s="198" t="s">
        <v>495</v>
      </c>
      <c r="C204" s="128">
        <v>170000</v>
      </c>
      <c r="D204" s="104">
        <f t="shared" si="19"/>
        <v>170000</v>
      </c>
      <c r="E204" s="129">
        <f>SUM(H204+K204+N204+Q204)</f>
        <v>0</v>
      </c>
      <c r="F204" s="105">
        <f>E204/D204*100</f>
        <v>0</v>
      </c>
      <c r="G204" s="128">
        <v>170000</v>
      </c>
      <c r="H204" s="129"/>
      <c r="I204" s="108">
        <f t="shared" si="16"/>
        <v>0</v>
      </c>
      <c r="J204" s="193"/>
      <c r="K204" s="129"/>
      <c r="L204" s="110"/>
      <c r="M204" s="129"/>
      <c r="N204" s="129"/>
      <c r="O204" s="194"/>
      <c r="P204" s="128"/>
      <c r="Q204" s="129"/>
      <c r="R204" s="108"/>
    </row>
    <row r="205" spans="1:18" ht="35.25" customHeight="1">
      <c r="A205" s="191">
        <v>4600</v>
      </c>
      <c r="B205" s="198" t="s">
        <v>496</v>
      </c>
      <c r="C205" s="128">
        <v>600000</v>
      </c>
      <c r="D205" s="104">
        <f t="shared" si="19"/>
        <v>600000</v>
      </c>
      <c r="E205" s="129">
        <f t="shared" si="20"/>
        <v>0</v>
      </c>
      <c r="F205" s="105">
        <f t="shared" si="18"/>
        <v>0</v>
      </c>
      <c r="G205" s="128">
        <v>600000</v>
      </c>
      <c r="H205" s="129"/>
      <c r="I205" s="108">
        <f t="shared" si="16"/>
        <v>0</v>
      </c>
      <c r="J205" s="193"/>
      <c r="K205" s="129"/>
      <c r="L205" s="110"/>
      <c r="M205" s="129"/>
      <c r="N205" s="129"/>
      <c r="O205" s="194"/>
      <c r="P205" s="128"/>
      <c r="Q205" s="129"/>
      <c r="R205" s="108"/>
    </row>
    <row r="206" spans="1:18" ht="36">
      <c r="A206" s="191">
        <v>4610</v>
      </c>
      <c r="B206" s="198" t="s">
        <v>497</v>
      </c>
      <c r="C206" s="128">
        <v>8000</v>
      </c>
      <c r="D206" s="104">
        <f t="shared" si="19"/>
        <v>9000</v>
      </c>
      <c r="E206" s="129">
        <f>SUM(H206+K206+N206+Q206)</f>
        <v>0</v>
      </c>
      <c r="F206" s="105">
        <f>E206/D206*100</f>
        <v>0</v>
      </c>
      <c r="G206" s="128">
        <v>1000</v>
      </c>
      <c r="H206" s="129"/>
      <c r="I206" s="108">
        <f t="shared" si="16"/>
        <v>0</v>
      </c>
      <c r="J206" s="193"/>
      <c r="K206" s="129"/>
      <c r="L206" s="110"/>
      <c r="M206" s="129"/>
      <c r="N206" s="129"/>
      <c r="O206" s="194"/>
      <c r="P206" s="128">
        <v>8000</v>
      </c>
      <c r="Q206" s="129"/>
      <c r="R206" s="108">
        <f>Q206/P206*100</f>
        <v>0</v>
      </c>
    </row>
    <row r="207" spans="1:18" ht="48" hidden="1">
      <c r="A207" s="191">
        <v>4680</v>
      </c>
      <c r="B207" s="198" t="s">
        <v>498</v>
      </c>
      <c r="C207" s="128"/>
      <c r="D207" s="104">
        <f>G207+J207+P207+M207</f>
        <v>0</v>
      </c>
      <c r="E207" s="129">
        <f>SUM(H207+K207+N207+Q207)</f>
        <v>0</v>
      </c>
      <c r="F207" s="105" t="e">
        <f>E207/D207*100</f>
        <v>#DIV/0!</v>
      </c>
      <c r="G207" s="128"/>
      <c r="H207" s="129"/>
      <c r="I207" s="108" t="e">
        <f t="shared" si="16"/>
        <v>#DIV/0!</v>
      </c>
      <c r="J207" s="193"/>
      <c r="K207" s="129"/>
      <c r="L207" s="110"/>
      <c r="M207" s="129"/>
      <c r="N207" s="129"/>
      <c r="O207" s="194"/>
      <c r="P207" s="128"/>
      <c r="Q207" s="129"/>
      <c r="R207" s="108"/>
    </row>
    <row r="208" spans="1:18" ht="84">
      <c r="A208" s="227">
        <v>6060</v>
      </c>
      <c r="B208" s="318" t="s">
        <v>499</v>
      </c>
      <c r="C208" s="229">
        <v>800000</v>
      </c>
      <c r="D208" s="230">
        <f t="shared" si="19"/>
        <v>800000</v>
      </c>
      <c r="E208" s="230">
        <f>H208+K208+Q208+N208</f>
        <v>220131</v>
      </c>
      <c r="F208" s="232">
        <f aca="true" t="shared" si="21" ref="F208:F271">E208/D208*100</f>
        <v>27.516375</v>
      </c>
      <c r="G208" s="229">
        <v>800000</v>
      </c>
      <c r="H208" s="236">
        <v>220131</v>
      </c>
      <c r="I208" s="170">
        <f t="shared" si="16"/>
        <v>27.516375</v>
      </c>
      <c r="J208" s="233"/>
      <c r="K208" s="236"/>
      <c r="L208" s="319"/>
      <c r="M208" s="236"/>
      <c r="N208" s="236"/>
      <c r="O208" s="237"/>
      <c r="P208" s="229"/>
      <c r="Q208" s="236"/>
      <c r="R208" s="170"/>
    </row>
    <row r="209" spans="1:18" s="221" customFormat="1" ht="30" customHeight="1">
      <c r="A209" s="272">
        <v>70021</v>
      </c>
      <c r="B209" s="273" t="s">
        <v>500</v>
      </c>
      <c r="C209" s="274">
        <f>C210</f>
        <v>3200000</v>
      </c>
      <c r="D209" s="189">
        <f t="shared" si="19"/>
        <v>3230000</v>
      </c>
      <c r="E209" s="189">
        <f t="shared" si="20"/>
        <v>100000</v>
      </c>
      <c r="F209" s="168">
        <f t="shared" si="21"/>
        <v>3.0959752321981426</v>
      </c>
      <c r="G209" s="274">
        <f>G210</f>
        <v>3230000</v>
      </c>
      <c r="H209" s="189">
        <f>H210</f>
        <v>100000</v>
      </c>
      <c r="I209" s="170">
        <f t="shared" si="16"/>
        <v>3.0959752321981426</v>
      </c>
      <c r="J209" s="276"/>
      <c r="K209" s="189"/>
      <c r="L209" s="313"/>
      <c r="M209" s="189"/>
      <c r="N209" s="189"/>
      <c r="O209" s="279"/>
      <c r="P209" s="274"/>
      <c r="Q209" s="189"/>
      <c r="R209" s="280"/>
    </row>
    <row r="210" spans="1:18" ht="60">
      <c r="A210" s="227">
        <v>6010</v>
      </c>
      <c r="B210" s="198" t="s">
        <v>501</v>
      </c>
      <c r="C210" s="229">
        <v>3200000</v>
      </c>
      <c r="D210" s="230">
        <f t="shared" si="19"/>
        <v>3230000</v>
      </c>
      <c r="E210" s="236">
        <f t="shared" si="20"/>
        <v>100000</v>
      </c>
      <c r="F210" s="168">
        <f t="shared" si="21"/>
        <v>3.0959752321981426</v>
      </c>
      <c r="G210" s="229">
        <f>3200000+30000</f>
        <v>3230000</v>
      </c>
      <c r="H210" s="236">
        <v>100000</v>
      </c>
      <c r="I210" s="170">
        <f t="shared" si="16"/>
        <v>3.0959752321981426</v>
      </c>
      <c r="J210" s="233"/>
      <c r="K210" s="236"/>
      <c r="L210" s="319"/>
      <c r="M210" s="236"/>
      <c r="N210" s="236"/>
      <c r="O210" s="237"/>
      <c r="P210" s="229"/>
      <c r="Q210" s="236"/>
      <c r="R210" s="238"/>
    </row>
    <row r="211" spans="1:18" s="185" customFormat="1" ht="15" customHeight="1">
      <c r="A211" s="186">
        <v>70095</v>
      </c>
      <c r="B211" s="294" t="s">
        <v>378</v>
      </c>
      <c r="C211" s="188">
        <f>SUM(C212:C222)</f>
        <v>5690040</v>
      </c>
      <c r="D211" s="137">
        <f t="shared" si="19"/>
        <v>6410240</v>
      </c>
      <c r="E211" s="119">
        <f>H211+K211+Q211+N211</f>
        <v>1318185</v>
      </c>
      <c r="F211" s="120">
        <f t="shared" si="21"/>
        <v>20.563738643170925</v>
      </c>
      <c r="G211" s="188">
        <f>SUM(G212:G222)</f>
        <v>6410240</v>
      </c>
      <c r="H211" s="137">
        <f>SUM(H212:H222)</f>
        <v>1318185</v>
      </c>
      <c r="I211" s="127">
        <f t="shared" si="16"/>
        <v>20.563738643170925</v>
      </c>
      <c r="J211" s="188"/>
      <c r="K211" s="119"/>
      <c r="L211" s="125"/>
      <c r="M211" s="119"/>
      <c r="N211" s="119"/>
      <c r="O211" s="190"/>
      <c r="P211" s="188"/>
      <c r="Q211" s="119"/>
      <c r="R211" s="283"/>
    </row>
    <row r="212" spans="1:18" ht="23.25" customHeight="1">
      <c r="A212" s="172">
        <v>4210</v>
      </c>
      <c r="B212" s="320" t="s">
        <v>502</v>
      </c>
      <c r="C212" s="132">
        <v>14100</v>
      </c>
      <c r="D212" s="149">
        <f t="shared" si="19"/>
        <v>14100</v>
      </c>
      <c r="E212" s="150">
        <f t="shared" si="20"/>
        <v>1300</v>
      </c>
      <c r="F212" s="222">
        <f t="shared" si="21"/>
        <v>9.219858156028367</v>
      </c>
      <c r="G212" s="132">
        <v>14100</v>
      </c>
      <c r="H212" s="150">
        <v>1300</v>
      </c>
      <c r="I212" s="113">
        <f t="shared" si="16"/>
        <v>9.219858156028367</v>
      </c>
      <c r="J212" s="223"/>
      <c r="K212" s="150"/>
      <c r="L212" s="154"/>
      <c r="M212" s="150"/>
      <c r="N212" s="150"/>
      <c r="O212" s="225"/>
      <c r="P212" s="132"/>
      <c r="Q212" s="150"/>
      <c r="R212" s="226"/>
    </row>
    <row r="213" spans="1:18" ht="24">
      <c r="A213" s="191">
        <v>4300</v>
      </c>
      <c r="B213" s="198" t="s">
        <v>503</v>
      </c>
      <c r="C213" s="128">
        <v>1340</v>
      </c>
      <c r="D213" s="104">
        <f t="shared" si="19"/>
        <v>1340</v>
      </c>
      <c r="E213" s="129">
        <f t="shared" si="20"/>
        <v>0</v>
      </c>
      <c r="F213" s="256">
        <f t="shared" si="21"/>
        <v>0</v>
      </c>
      <c r="G213" s="128">
        <v>1340</v>
      </c>
      <c r="H213" s="129"/>
      <c r="I213" s="108">
        <f t="shared" si="16"/>
        <v>0</v>
      </c>
      <c r="J213" s="193"/>
      <c r="K213" s="129"/>
      <c r="L213" s="110"/>
      <c r="M213" s="129"/>
      <c r="N213" s="129"/>
      <c r="O213" s="194"/>
      <c r="P213" s="128"/>
      <c r="Q213" s="129"/>
      <c r="R213" s="200"/>
    </row>
    <row r="214" spans="1:18" ht="23.25" customHeight="1">
      <c r="A214" s="191">
        <v>4110</v>
      </c>
      <c r="B214" s="321" t="s">
        <v>352</v>
      </c>
      <c r="C214" s="128">
        <v>450</v>
      </c>
      <c r="D214" s="104">
        <f t="shared" si="19"/>
        <v>450</v>
      </c>
      <c r="E214" s="129">
        <f t="shared" si="20"/>
        <v>0</v>
      </c>
      <c r="F214" s="256">
        <f t="shared" si="21"/>
        <v>0</v>
      </c>
      <c r="G214" s="128">
        <v>450</v>
      </c>
      <c r="H214" s="129"/>
      <c r="I214" s="108">
        <f t="shared" si="16"/>
        <v>0</v>
      </c>
      <c r="J214" s="193"/>
      <c r="K214" s="129"/>
      <c r="L214" s="110"/>
      <c r="M214" s="129"/>
      <c r="N214" s="129"/>
      <c r="O214" s="194"/>
      <c r="P214" s="128"/>
      <c r="Q214" s="129"/>
      <c r="R214" s="200"/>
    </row>
    <row r="215" spans="1:18" ht="12.75">
      <c r="A215" s="191">
        <v>4120</v>
      </c>
      <c r="B215" s="321" t="s">
        <v>504</v>
      </c>
      <c r="C215" s="128">
        <v>50</v>
      </c>
      <c r="D215" s="104">
        <f t="shared" si="19"/>
        <v>50</v>
      </c>
      <c r="E215" s="129">
        <f t="shared" si="20"/>
        <v>0</v>
      </c>
      <c r="F215" s="256">
        <f t="shared" si="21"/>
        <v>0</v>
      </c>
      <c r="G215" s="128">
        <v>50</v>
      </c>
      <c r="H215" s="129"/>
      <c r="I215" s="108">
        <f t="shared" si="16"/>
        <v>0</v>
      </c>
      <c r="J215" s="193"/>
      <c r="K215" s="129"/>
      <c r="L215" s="110"/>
      <c r="M215" s="129"/>
      <c r="N215" s="129"/>
      <c r="O215" s="194"/>
      <c r="P215" s="128"/>
      <c r="Q215" s="129"/>
      <c r="R215" s="200"/>
    </row>
    <row r="216" spans="1:18" ht="24">
      <c r="A216" s="267">
        <v>4170</v>
      </c>
      <c r="B216" s="305" t="s">
        <v>392</v>
      </c>
      <c r="C216" s="128">
        <v>5000</v>
      </c>
      <c r="D216" s="104">
        <f t="shared" si="19"/>
        <v>5000</v>
      </c>
      <c r="E216" s="129">
        <f t="shared" si="20"/>
        <v>3473</v>
      </c>
      <c r="F216" s="256">
        <f t="shared" si="21"/>
        <v>69.46</v>
      </c>
      <c r="G216" s="128">
        <v>5000</v>
      </c>
      <c r="H216" s="129">
        <v>3473</v>
      </c>
      <c r="I216" s="108">
        <f t="shared" si="16"/>
        <v>69.46</v>
      </c>
      <c r="J216" s="193"/>
      <c r="K216" s="129"/>
      <c r="L216" s="110"/>
      <c r="M216" s="129"/>
      <c r="N216" s="129"/>
      <c r="O216" s="194"/>
      <c r="P216" s="128"/>
      <c r="Q216" s="129"/>
      <c r="R216" s="200"/>
    </row>
    <row r="217" spans="1:18" ht="24">
      <c r="A217" s="267">
        <v>4270</v>
      </c>
      <c r="B217" s="305" t="s">
        <v>362</v>
      </c>
      <c r="C217" s="128"/>
      <c r="D217" s="104">
        <f>G217+J217+P217+M217</f>
        <v>20200</v>
      </c>
      <c r="E217" s="129">
        <f>SUM(H217+K217+N217+Q217)</f>
        <v>20143</v>
      </c>
      <c r="F217" s="256">
        <f>E217/D217*100</f>
        <v>99.71782178217822</v>
      </c>
      <c r="G217" s="128">
        <v>20200</v>
      </c>
      <c r="H217" s="129">
        <v>20143</v>
      </c>
      <c r="I217" s="108">
        <f t="shared" si="16"/>
        <v>99.71782178217822</v>
      </c>
      <c r="J217" s="193"/>
      <c r="K217" s="129"/>
      <c r="L217" s="110"/>
      <c r="M217" s="129"/>
      <c r="N217" s="129"/>
      <c r="O217" s="194"/>
      <c r="P217" s="128"/>
      <c r="Q217" s="129"/>
      <c r="R217" s="200"/>
    </row>
    <row r="218" spans="1:18" ht="14.25" customHeight="1">
      <c r="A218" s="191">
        <v>4300</v>
      </c>
      <c r="B218" s="198" t="s">
        <v>459</v>
      </c>
      <c r="C218" s="128">
        <v>69100</v>
      </c>
      <c r="D218" s="104">
        <f t="shared" si="19"/>
        <v>69100</v>
      </c>
      <c r="E218" s="129">
        <f t="shared" si="20"/>
        <v>0</v>
      </c>
      <c r="F218" s="256">
        <f t="shared" si="21"/>
        <v>0</v>
      </c>
      <c r="G218" s="128">
        <v>69100</v>
      </c>
      <c r="H218" s="129"/>
      <c r="I218" s="108">
        <f t="shared" si="16"/>
        <v>0</v>
      </c>
      <c r="J218" s="193"/>
      <c r="K218" s="129"/>
      <c r="L218" s="110"/>
      <c r="M218" s="129"/>
      <c r="N218" s="129"/>
      <c r="O218" s="194"/>
      <c r="P218" s="128"/>
      <c r="Q218" s="129"/>
      <c r="R218" s="200"/>
    </row>
    <row r="219" spans="1:18" ht="60" hidden="1">
      <c r="A219" s="191">
        <v>4600</v>
      </c>
      <c r="B219" s="198" t="s">
        <v>505</v>
      </c>
      <c r="C219" s="128"/>
      <c r="D219" s="104">
        <f t="shared" si="19"/>
        <v>0</v>
      </c>
      <c r="E219" s="129">
        <f t="shared" si="20"/>
        <v>0</v>
      </c>
      <c r="F219" s="256" t="e">
        <f t="shared" si="21"/>
        <v>#DIV/0!</v>
      </c>
      <c r="G219" s="128"/>
      <c r="H219" s="129"/>
      <c r="I219" s="108" t="e">
        <f aca="true" t="shared" si="22" ref="I219:I229">H219/G219*100</f>
        <v>#DIV/0!</v>
      </c>
      <c r="J219" s="193"/>
      <c r="K219" s="129"/>
      <c r="L219" s="110"/>
      <c r="M219" s="129"/>
      <c r="N219" s="129"/>
      <c r="O219" s="194"/>
      <c r="P219" s="128"/>
      <c r="Q219" s="129"/>
      <c r="R219" s="200"/>
    </row>
    <row r="220" spans="1:18" ht="36" hidden="1">
      <c r="A220" s="191">
        <v>4610</v>
      </c>
      <c r="B220" s="198" t="s">
        <v>395</v>
      </c>
      <c r="C220" s="128"/>
      <c r="D220" s="104">
        <f t="shared" si="19"/>
        <v>0</v>
      </c>
      <c r="E220" s="129">
        <f t="shared" si="20"/>
        <v>0</v>
      </c>
      <c r="F220" s="256" t="e">
        <f t="shared" si="21"/>
        <v>#DIV/0!</v>
      </c>
      <c r="G220" s="128"/>
      <c r="H220" s="129"/>
      <c r="I220" s="108" t="e">
        <f t="shared" si="22"/>
        <v>#DIV/0!</v>
      </c>
      <c r="J220" s="193"/>
      <c r="K220" s="129"/>
      <c r="L220" s="110"/>
      <c r="M220" s="129"/>
      <c r="N220" s="129"/>
      <c r="O220" s="194"/>
      <c r="P220" s="128"/>
      <c r="Q220" s="129"/>
      <c r="R220" s="200"/>
    </row>
    <row r="221" spans="1:18" ht="60" hidden="1">
      <c r="A221" s="191">
        <v>6010</v>
      </c>
      <c r="B221" s="198" t="s">
        <v>501</v>
      </c>
      <c r="C221" s="128"/>
      <c r="D221" s="104">
        <f t="shared" si="19"/>
        <v>0</v>
      </c>
      <c r="E221" s="129">
        <f t="shared" si="20"/>
        <v>0</v>
      </c>
      <c r="F221" s="105" t="e">
        <f t="shared" si="21"/>
        <v>#DIV/0!</v>
      </c>
      <c r="G221" s="128"/>
      <c r="H221" s="129"/>
      <c r="I221" s="108" t="e">
        <f t="shared" si="22"/>
        <v>#DIV/0!</v>
      </c>
      <c r="J221" s="193"/>
      <c r="K221" s="129"/>
      <c r="L221" s="110"/>
      <c r="M221" s="129"/>
      <c r="N221" s="129"/>
      <c r="O221" s="194"/>
      <c r="P221" s="128"/>
      <c r="Q221" s="129"/>
      <c r="R221" s="200"/>
    </row>
    <row r="222" spans="1:18" ht="24.75" thickBot="1">
      <c r="A222" s="191">
        <v>6050</v>
      </c>
      <c r="B222" s="198" t="s">
        <v>396</v>
      </c>
      <c r="C222" s="128">
        <v>5600000</v>
      </c>
      <c r="D222" s="104">
        <f t="shared" si="19"/>
        <v>6300000</v>
      </c>
      <c r="E222" s="129">
        <f t="shared" si="20"/>
        <v>1293269</v>
      </c>
      <c r="F222" s="105">
        <f t="shared" si="21"/>
        <v>20.528079365079364</v>
      </c>
      <c r="G222" s="128">
        <f>5600000+700000</f>
        <v>6300000</v>
      </c>
      <c r="H222" s="129">
        <v>1293269</v>
      </c>
      <c r="I222" s="108">
        <f t="shared" si="22"/>
        <v>20.528079365079364</v>
      </c>
      <c r="J222" s="193"/>
      <c r="K222" s="129"/>
      <c r="L222" s="110"/>
      <c r="M222" s="129"/>
      <c r="N222" s="129"/>
      <c r="O222" s="194"/>
      <c r="P222" s="128"/>
      <c r="Q222" s="129"/>
      <c r="R222" s="200"/>
    </row>
    <row r="223" spans="1:18" s="327" customFormat="1" ht="24" customHeight="1" hidden="1">
      <c r="A223" s="322"/>
      <c r="B223" s="323" t="s">
        <v>506</v>
      </c>
      <c r="C223" s="324"/>
      <c r="D223" s="251">
        <f t="shared" si="19"/>
        <v>0</v>
      </c>
      <c r="E223" s="325">
        <f>SUM(H223+K223+N223+Q223)</f>
        <v>0</v>
      </c>
      <c r="F223" s="105" t="e">
        <f t="shared" si="21"/>
        <v>#DIV/0!</v>
      </c>
      <c r="G223" s="324"/>
      <c r="H223" s="251"/>
      <c r="I223" s="108" t="e">
        <f t="shared" si="22"/>
        <v>#DIV/0!</v>
      </c>
      <c r="J223" s="326"/>
      <c r="K223" s="325"/>
      <c r="L223" s="110"/>
      <c r="M223" s="325"/>
      <c r="N223" s="325"/>
      <c r="O223" s="110"/>
      <c r="P223" s="324"/>
      <c r="Q223" s="325"/>
      <c r="R223" s="262"/>
    </row>
    <row r="224" spans="1:18" s="221" customFormat="1" ht="25.5" thickBot="1" thickTop="1">
      <c r="A224" s="201">
        <v>710</v>
      </c>
      <c r="B224" s="202" t="s">
        <v>507</v>
      </c>
      <c r="C224" s="203">
        <f>C230+C232+C234+C251+C225</f>
        <v>3339300</v>
      </c>
      <c r="D224" s="78">
        <f t="shared" si="19"/>
        <v>3639300</v>
      </c>
      <c r="E224" s="78">
        <f t="shared" si="19"/>
        <v>709109</v>
      </c>
      <c r="F224" s="79">
        <f t="shared" si="21"/>
        <v>19.484763553430604</v>
      </c>
      <c r="G224" s="203">
        <f>G251+G225+G256</f>
        <v>3004300</v>
      </c>
      <c r="H224" s="78">
        <f>H251+H225+H256</f>
        <v>518905</v>
      </c>
      <c r="I224" s="81">
        <f t="shared" si="22"/>
        <v>17.272076690077558</v>
      </c>
      <c r="J224" s="78"/>
      <c r="K224" s="78"/>
      <c r="L224" s="328"/>
      <c r="M224" s="206">
        <f>M230+M232+M234</f>
        <v>200000</v>
      </c>
      <c r="N224" s="78">
        <f>N230+N232+N234</f>
        <v>47804</v>
      </c>
      <c r="O224" s="81">
        <f>N224/M224*100</f>
        <v>23.902</v>
      </c>
      <c r="P224" s="203">
        <f>P225+P230+P232+P234</f>
        <v>435000</v>
      </c>
      <c r="Q224" s="78">
        <f>Q230+Q232+Q234+Q225</f>
        <v>142400</v>
      </c>
      <c r="R224" s="81">
        <f aca="true" t="shared" si="23" ref="R224:R250">Q224/P224*100</f>
        <v>32.735632183908045</v>
      </c>
    </row>
    <row r="225" spans="1:18" s="221" customFormat="1" ht="36.75" thickTop="1">
      <c r="A225" s="329">
        <v>71004</v>
      </c>
      <c r="B225" s="330" t="s">
        <v>508</v>
      </c>
      <c r="C225" s="331">
        <f>SUM(C226:C229)</f>
        <v>1354700</v>
      </c>
      <c r="D225" s="91">
        <f t="shared" si="19"/>
        <v>1354700</v>
      </c>
      <c r="E225" s="91">
        <f t="shared" si="19"/>
        <v>242517</v>
      </c>
      <c r="F225" s="92">
        <f t="shared" si="21"/>
        <v>17.901897098988705</v>
      </c>
      <c r="G225" s="332">
        <f>SUM(G226:G229)</f>
        <v>1354700</v>
      </c>
      <c r="H225" s="91">
        <f>SUM(H226:H229)</f>
        <v>242517</v>
      </c>
      <c r="I225" s="95">
        <f t="shared" si="22"/>
        <v>17.901897098988705</v>
      </c>
      <c r="J225" s="333"/>
      <c r="K225" s="91"/>
      <c r="L225" s="98"/>
      <c r="M225" s="91"/>
      <c r="N225" s="91"/>
      <c r="O225" s="334"/>
      <c r="P225" s="331"/>
      <c r="Q225" s="91"/>
      <c r="R225" s="95"/>
    </row>
    <row r="226" spans="1:18" s="269" customFormat="1" ht="24">
      <c r="A226" s="191">
        <v>4110</v>
      </c>
      <c r="B226" s="321" t="s">
        <v>352</v>
      </c>
      <c r="C226" s="335">
        <v>600</v>
      </c>
      <c r="D226" s="104">
        <f t="shared" si="19"/>
        <v>600</v>
      </c>
      <c r="E226" s="104">
        <f t="shared" si="19"/>
        <v>0</v>
      </c>
      <c r="F226" s="105">
        <f t="shared" si="21"/>
        <v>0</v>
      </c>
      <c r="G226" s="335">
        <v>600</v>
      </c>
      <c r="H226" s="104"/>
      <c r="I226" s="108">
        <f t="shared" si="22"/>
        <v>0</v>
      </c>
      <c r="J226" s="109"/>
      <c r="K226" s="104"/>
      <c r="L226" s="110"/>
      <c r="M226" s="104"/>
      <c r="N226" s="104"/>
      <c r="O226" s="108"/>
      <c r="P226" s="160"/>
      <c r="Q226" s="104"/>
      <c r="R226" s="108"/>
    </row>
    <row r="227" spans="1:18" s="269" customFormat="1" ht="24">
      <c r="A227" s="267">
        <v>4120</v>
      </c>
      <c r="B227" s="305" t="s">
        <v>509</v>
      </c>
      <c r="C227" s="335">
        <v>100</v>
      </c>
      <c r="D227" s="104">
        <f t="shared" si="19"/>
        <v>100</v>
      </c>
      <c r="E227" s="104">
        <f t="shared" si="19"/>
        <v>0</v>
      </c>
      <c r="F227" s="105">
        <f>E227/D227*100</f>
        <v>0</v>
      </c>
      <c r="G227" s="335">
        <v>100</v>
      </c>
      <c r="H227" s="104"/>
      <c r="I227" s="108">
        <f t="shared" si="22"/>
        <v>0</v>
      </c>
      <c r="J227" s="109"/>
      <c r="K227" s="104"/>
      <c r="L227" s="110"/>
      <c r="M227" s="104"/>
      <c r="N227" s="104"/>
      <c r="O227" s="108"/>
      <c r="P227" s="160"/>
      <c r="Q227" s="104"/>
      <c r="R227" s="108"/>
    </row>
    <row r="228" spans="1:18" s="269" customFormat="1" ht="24">
      <c r="A228" s="267">
        <v>4170</v>
      </c>
      <c r="B228" s="305" t="s">
        <v>392</v>
      </c>
      <c r="C228" s="335">
        <v>24000</v>
      </c>
      <c r="D228" s="104">
        <f t="shared" si="19"/>
        <v>24000</v>
      </c>
      <c r="E228" s="104">
        <f t="shared" si="19"/>
        <v>0</v>
      </c>
      <c r="F228" s="105">
        <f t="shared" si="21"/>
        <v>0</v>
      </c>
      <c r="G228" s="335">
        <v>24000</v>
      </c>
      <c r="H228" s="104"/>
      <c r="I228" s="108">
        <f t="shared" si="22"/>
        <v>0</v>
      </c>
      <c r="J228" s="109"/>
      <c r="K228" s="104"/>
      <c r="L228" s="110"/>
      <c r="M228" s="104"/>
      <c r="N228" s="104"/>
      <c r="O228" s="108"/>
      <c r="P228" s="160"/>
      <c r="Q228" s="104"/>
      <c r="R228" s="108"/>
    </row>
    <row r="229" spans="1:18" s="269" customFormat="1" ht="60">
      <c r="A229" s="267">
        <v>4300</v>
      </c>
      <c r="B229" s="305" t="s">
        <v>510</v>
      </c>
      <c r="C229" s="160">
        <v>1330000</v>
      </c>
      <c r="D229" s="104">
        <f t="shared" si="19"/>
        <v>1330000</v>
      </c>
      <c r="E229" s="104">
        <f t="shared" si="19"/>
        <v>242517</v>
      </c>
      <c r="F229" s="105">
        <f t="shared" si="21"/>
        <v>18.234360902255638</v>
      </c>
      <c r="G229" s="160">
        <v>1330000</v>
      </c>
      <c r="H229" s="104">
        <v>242517</v>
      </c>
      <c r="I229" s="108">
        <f t="shared" si="22"/>
        <v>18.234360902255638</v>
      </c>
      <c r="J229" s="109"/>
      <c r="K229" s="104"/>
      <c r="L229" s="110"/>
      <c r="M229" s="104"/>
      <c r="N229" s="104"/>
      <c r="O229" s="108"/>
      <c r="P229" s="160"/>
      <c r="Q229" s="104"/>
      <c r="R229" s="108"/>
    </row>
    <row r="230" spans="1:18" s="185" customFormat="1" ht="34.5" customHeight="1">
      <c r="A230" s="186">
        <v>71013</v>
      </c>
      <c r="B230" s="294" t="s">
        <v>511</v>
      </c>
      <c r="C230" s="188">
        <f>C231</f>
        <v>75000</v>
      </c>
      <c r="D230" s="137">
        <f t="shared" si="19"/>
        <v>75000</v>
      </c>
      <c r="E230" s="119">
        <f>E231</f>
        <v>12500</v>
      </c>
      <c r="F230" s="120">
        <f t="shared" si="21"/>
        <v>16.666666666666664</v>
      </c>
      <c r="G230" s="188"/>
      <c r="H230" s="119"/>
      <c r="I230" s="190"/>
      <c r="J230" s="124"/>
      <c r="K230" s="119"/>
      <c r="L230" s="125"/>
      <c r="M230" s="119"/>
      <c r="N230" s="119"/>
      <c r="O230" s="190"/>
      <c r="P230" s="188">
        <f>P231</f>
        <v>75000</v>
      </c>
      <c r="Q230" s="119">
        <f>Q231</f>
        <v>12500</v>
      </c>
      <c r="R230" s="214">
        <f t="shared" si="23"/>
        <v>16.666666666666664</v>
      </c>
    </row>
    <row r="231" spans="1:18" s="336" customFormat="1" ht="24">
      <c r="A231" s="227">
        <v>4300</v>
      </c>
      <c r="B231" s="228" t="s">
        <v>364</v>
      </c>
      <c r="C231" s="229">
        <v>75000</v>
      </c>
      <c r="D231" s="230">
        <f t="shared" si="19"/>
        <v>75000</v>
      </c>
      <c r="E231" s="236">
        <f>SUM(H231+K231+N231+Q231)</f>
        <v>12500</v>
      </c>
      <c r="F231" s="120">
        <f t="shared" si="21"/>
        <v>16.666666666666664</v>
      </c>
      <c r="G231" s="229"/>
      <c r="H231" s="236"/>
      <c r="I231" s="237"/>
      <c r="J231" s="233"/>
      <c r="K231" s="236"/>
      <c r="L231" s="319"/>
      <c r="M231" s="236"/>
      <c r="N231" s="236"/>
      <c r="O231" s="237"/>
      <c r="P231" s="229">
        <v>75000</v>
      </c>
      <c r="Q231" s="236">
        <v>12500</v>
      </c>
      <c r="R231" s="232">
        <f t="shared" si="23"/>
        <v>16.666666666666664</v>
      </c>
    </row>
    <row r="232" spans="1:18" s="185" customFormat="1" ht="22.5" customHeight="1">
      <c r="A232" s="307">
        <v>71014</v>
      </c>
      <c r="B232" s="308" t="s">
        <v>512</v>
      </c>
      <c r="C232" s="309">
        <f>C233</f>
        <v>20000</v>
      </c>
      <c r="D232" s="189">
        <f t="shared" si="19"/>
        <v>20000</v>
      </c>
      <c r="E232" s="311">
        <f>E233</f>
        <v>3332</v>
      </c>
      <c r="F232" s="168">
        <f t="shared" si="21"/>
        <v>16.66</v>
      </c>
      <c r="G232" s="309"/>
      <c r="H232" s="311"/>
      <c r="I232" s="237"/>
      <c r="J232" s="312"/>
      <c r="K232" s="311"/>
      <c r="L232" s="313"/>
      <c r="M232" s="311"/>
      <c r="N232" s="311"/>
      <c r="O232" s="237"/>
      <c r="P232" s="309">
        <f>P233</f>
        <v>20000</v>
      </c>
      <c r="Q232" s="311">
        <f>Q233</f>
        <v>3332</v>
      </c>
      <c r="R232" s="232">
        <f t="shared" si="23"/>
        <v>16.66</v>
      </c>
    </row>
    <row r="233" spans="1:18" ht="24">
      <c r="A233" s="227">
        <v>4300</v>
      </c>
      <c r="B233" s="228" t="s">
        <v>364</v>
      </c>
      <c r="C233" s="128">
        <v>20000</v>
      </c>
      <c r="D233" s="230">
        <f t="shared" si="19"/>
        <v>20000</v>
      </c>
      <c r="E233" s="129">
        <f>SUM(H233+K233+N233+Q233)</f>
        <v>3332</v>
      </c>
      <c r="F233" s="120">
        <f t="shared" si="21"/>
        <v>16.66</v>
      </c>
      <c r="G233" s="229"/>
      <c r="H233" s="236"/>
      <c r="I233" s="237"/>
      <c r="J233" s="233"/>
      <c r="K233" s="236"/>
      <c r="L233" s="319"/>
      <c r="M233" s="236"/>
      <c r="N233" s="236"/>
      <c r="O233" s="237"/>
      <c r="P233" s="229">
        <v>20000</v>
      </c>
      <c r="Q233" s="236">
        <v>3332</v>
      </c>
      <c r="R233" s="232">
        <f t="shared" si="23"/>
        <v>16.66</v>
      </c>
    </row>
    <row r="234" spans="1:18" ht="12.75">
      <c r="A234" s="186">
        <v>71015</v>
      </c>
      <c r="B234" s="294" t="s">
        <v>513</v>
      </c>
      <c r="C234" s="188">
        <f>SUM(C235:C250)</f>
        <v>540000</v>
      </c>
      <c r="D234" s="189">
        <f t="shared" si="19"/>
        <v>540000</v>
      </c>
      <c r="E234" s="137">
        <f>H234+K234+Q234+N234</f>
        <v>174372</v>
      </c>
      <c r="F234" s="120">
        <f t="shared" si="21"/>
        <v>32.29111111111111</v>
      </c>
      <c r="G234" s="188"/>
      <c r="H234" s="119"/>
      <c r="I234" s="190"/>
      <c r="J234" s="124"/>
      <c r="K234" s="119"/>
      <c r="L234" s="125"/>
      <c r="M234" s="119">
        <f>SUM(M235:M250)</f>
        <v>200000</v>
      </c>
      <c r="N234" s="119">
        <f>SUM(N235:N250)</f>
        <v>47804</v>
      </c>
      <c r="O234" s="170">
        <f>N234/M234*100</f>
        <v>23.902</v>
      </c>
      <c r="P234" s="188">
        <f>SUM(P235:P250)</f>
        <v>340000</v>
      </c>
      <c r="Q234" s="119">
        <f>SUM(Q235:Q250)</f>
        <v>126568</v>
      </c>
      <c r="R234" s="232">
        <f t="shared" si="23"/>
        <v>37.22588235294118</v>
      </c>
    </row>
    <row r="235" spans="1:18" ht="22.5" customHeight="1">
      <c r="A235" s="191">
        <v>4010</v>
      </c>
      <c r="B235" s="198" t="s">
        <v>346</v>
      </c>
      <c r="C235" s="128">
        <v>316440</v>
      </c>
      <c r="D235" s="104">
        <f t="shared" si="19"/>
        <v>316440</v>
      </c>
      <c r="E235" s="129">
        <f aca="true" t="shared" si="24" ref="E235:E251">SUM(H235+K235+N235+Q235)</f>
        <v>78136</v>
      </c>
      <c r="F235" s="105">
        <f t="shared" si="21"/>
        <v>24.692200733156362</v>
      </c>
      <c r="G235" s="128"/>
      <c r="H235" s="129"/>
      <c r="I235" s="194"/>
      <c r="J235" s="193"/>
      <c r="K235" s="129"/>
      <c r="L235" s="110"/>
      <c r="M235" s="129">
        <v>121000</v>
      </c>
      <c r="N235" s="129">
        <v>28925</v>
      </c>
      <c r="O235" s="108">
        <f>N235/M235*100</f>
        <v>23.90495867768595</v>
      </c>
      <c r="P235" s="128">
        <v>195440</v>
      </c>
      <c r="Q235" s="129">
        <v>49211</v>
      </c>
      <c r="R235" s="256">
        <f t="shared" si="23"/>
        <v>25.17959476054032</v>
      </c>
    </row>
    <row r="236" spans="1:18" ht="24">
      <c r="A236" s="191">
        <v>4040</v>
      </c>
      <c r="B236" s="198" t="s">
        <v>454</v>
      </c>
      <c r="C236" s="128">
        <v>18300</v>
      </c>
      <c r="D236" s="104">
        <f t="shared" si="19"/>
        <v>18300</v>
      </c>
      <c r="E236" s="129">
        <f t="shared" si="24"/>
        <v>18165</v>
      </c>
      <c r="F236" s="105">
        <f t="shared" si="21"/>
        <v>99.26229508196721</v>
      </c>
      <c r="G236" s="128"/>
      <c r="H236" s="129"/>
      <c r="I236" s="194"/>
      <c r="J236" s="193"/>
      <c r="K236" s="129"/>
      <c r="L236" s="110"/>
      <c r="M236" s="129">
        <v>6700</v>
      </c>
      <c r="N236" s="129">
        <v>6565</v>
      </c>
      <c r="O236" s="256">
        <f>N236/M236*100</f>
        <v>97.98507462686568</v>
      </c>
      <c r="P236" s="128">
        <v>11600</v>
      </c>
      <c r="Q236" s="129">
        <v>11600</v>
      </c>
      <c r="R236" s="256">
        <f t="shared" si="23"/>
        <v>100</v>
      </c>
    </row>
    <row r="237" spans="1:18" ht="24">
      <c r="A237" s="191">
        <v>4110</v>
      </c>
      <c r="B237" s="321" t="s">
        <v>352</v>
      </c>
      <c r="C237" s="128">
        <v>53750</v>
      </c>
      <c r="D237" s="104">
        <f t="shared" si="19"/>
        <v>53750</v>
      </c>
      <c r="E237" s="129">
        <f t="shared" si="24"/>
        <v>15388</v>
      </c>
      <c r="F237" s="105">
        <f t="shared" si="21"/>
        <v>28.628837209302326</v>
      </c>
      <c r="G237" s="128"/>
      <c r="H237" s="129"/>
      <c r="I237" s="194"/>
      <c r="J237" s="193"/>
      <c r="K237" s="129"/>
      <c r="L237" s="110"/>
      <c r="M237" s="129">
        <v>20500</v>
      </c>
      <c r="N237" s="129">
        <v>5622</v>
      </c>
      <c r="O237" s="108">
        <f aca="true" t="shared" si="25" ref="O237:O250">N237/M237*100</f>
        <v>27.42439024390244</v>
      </c>
      <c r="P237" s="128">
        <v>33250</v>
      </c>
      <c r="Q237" s="129">
        <v>9766</v>
      </c>
      <c r="R237" s="256">
        <f t="shared" si="23"/>
        <v>29.37142857142857</v>
      </c>
    </row>
    <row r="238" spans="1:18" ht="13.5" customHeight="1">
      <c r="A238" s="191">
        <v>4120</v>
      </c>
      <c r="B238" s="198" t="s">
        <v>509</v>
      </c>
      <c r="C238" s="128">
        <v>8200</v>
      </c>
      <c r="D238" s="104">
        <f t="shared" si="19"/>
        <v>8200</v>
      </c>
      <c r="E238" s="129">
        <f t="shared" si="24"/>
        <v>2348</v>
      </c>
      <c r="F238" s="105">
        <f t="shared" si="21"/>
        <v>28.634146341463413</v>
      </c>
      <c r="G238" s="128"/>
      <c r="H238" s="129"/>
      <c r="I238" s="194"/>
      <c r="J238" s="193"/>
      <c r="K238" s="129"/>
      <c r="L238" s="110"/>
      <c r="M238" s="129">
        <v>3100</v>
      </c>
      <c r="N238" s="129">
        <v>858</v>
      </c>
      <c r="O238" s="108">
        <f t="shared" si="25"/>
        <v>27.67741935483871</v>
      </c>
      <c r="P238" s="128">
        <v>5100</v>
      </c>
      <c r="Q238" s="129">
        <v>1490</v>
      </c>
      <c r="R238" s="256">
        <f t="shared" si="23"/>
        <v>29.215686274509807</v>
      </c>
    </row>
    <row r="239" spans="1:18" ht="22.5" customHeight="1">
      <c r="A239" s="191">
        <v>4210</v>
      </c>
      <c r="B239" s="198" t="s">
        <v>356</v>
      </c>
      <c r="C239" s="128">
        <v>38100</v>
      </c>
      <c r="D239" s="104">
        <f t="shared" si="19"/>
        <v>38100</v>
      </c>
      <c r="E239" s="129">
        <f t="shared" si="24"/>
        <v>3276</v>
      </c>
      <c r="F239" s="105">
        <f t="shared" si="21"/>
        <v>8.598425196850394</v>
      </c>
      <c r="G239" s="128"/>
      <c r="H239" s="129"/>
      <c r="I239" s="194"/>
      <c r="J239" s="193"/>
      <c r="K239" s="129"/>
      <c r="L239" s="110"/>
      <c r="M239" s="193">
        <v>18100</v>
      </c>
      <c r="N239" s="193"/>
      <c r="O239" s="256">
        <f t="shared" si="25"/>
        <v>0</v>
      </c>
      <c r="P239" s="128">
        <v>20000</v>
      </c>
      <c r="Q239" s="129">
        <v>3276</v>
      </c>
      <c r="R239" s="256">
        <f t="shared" si="23"/>
        <v>16.38</v>
      </c>
    </row>
    <row r="240" spans="1:18" ht="24">
      <c r="A240" s="191">
        <v>4300</v>
      </c>
      <c r="B240" s="259" t="s">
        <v>364</v>
      </c>
      <c r="C240" s="128">
        <v>37100</v>
      </c>
      <c r="D240" s="104">
        <f t="shared" si="19"/>
        <v>37100</v>
      </c>
      <c r="E240" s="129">
        <f t="shared" si="24"/>
        <v>4478</v>
      </c>
      <c r="F240" s="105">
        <f t="shared" si="21"/>
        <v>12.070080862533693</v>
      </c>
      <c r="G240" s="128"/>
      <c r="H240" s="129"/>
      <c r="I240" s="194"/>
      <c r="J240" s="193"/>
      <c r="K240" s="129"/>
      <c r="L240" s="110"/>
      <c r="M240" s="193">
        <v>17100</v>
      </c>
      <c r="N240" s="193">
        <v>1509</v>
      </c>
      <c r="O240" s="108">
        <f t="shared" si="25"/>
        <v>8.824561403508772</v>
      </c>
      <c r="P240" s="128">
        <v>20000</v>
      </c>
      <c r="Q240" s="129">
        <v>2969</v>
      </c>
      <c r="R240" s="256">
        <f t="shared" si="23"/>
        <v>14.845</v>
      </c>
    </row>
    <row r="241" spans="1:18" ht="24">
      <c r="A241" s="267">
        <v>4350</v>
      </c>
      <c r="B241" s="291" t="s">
        <v>460</v>
      </c>
      <c r="C241" s="128">
        <v>800</v>
      </c>
      <c r="D241" s="104">
        <f t="shared" si="19"/>
        <v>800</v>
      </c>
      <c r="E241" s="129">
        <f t="shared" si="24"/>
        <v>168</v>
      </c>
      <c r="F241" s="105">
        <f t="shared" si="21"/>
        <v>21</v>
      </c>
      <c r="G241" s="128"/>
      <c r="H241" s="129"/>
      <c r="I241" s="194"/>
      <c r="J241" s="193"/>
      <c r="K241" s="129"/>
      <c r="L241" s="110"/>
      <c r="M241" s="193">
        <v>400</v>
      </c>
      <c r="N241" s="193"/>
      <c r="O241" s="108">
        <f t="shared" si="25"/>
        <v>0</v>
      </c>
      <c r="P241" s="128">
        <v>400</v>
      </c>
      <c r="Q241" s="129">
        <v>168</v>
      </c>
      <c r="R241" s="256">
        <f t="shared" si="23"/>
        <v>42</v>
      </c>
    </row>
    <row r="242" spans="1:18" ht="48">
      <c r="A242" s="267">
        <v>4360</v>
      </c>
      <c r="B242" s="291" t="s">
        <v>461</v>
      </c>
      <c r="C242" s="128">
        <v>1200</v>
      </c>
      <c r="D242" s="104">
        <f t="shared" si="19"/>
        <v>1200</v>
      </c>
      <c r="E242" s="129">
        <f t="shared" si="24"/>
        <v>208</v>
      </c>
      <c r="F242" s="105">
        <f t="shared" si="21"/>
        <v>17.333333333333336</v>
      </c>
      <c r="G242" s="128"/>
      <c r="H242" s="129"/>
      <c r="I242" s="194"/>
      <c r="J242" s="193"/>
      <c r="K242" s="129"/>
      <c r="L242" s="110"/>
      <c r="M242" s="193">
        <v>1200</v>
      </c>
      <c r="N242" s="193">
        <v>208</v>
      </c>
      <c r="O242" s="108">
        <f t="shared" si="25"/>
        <v>17.333333333333336</v>
      </c>
      <c r="P242" s="128"/>
      <c r="Q242" s="129"/>
      <c r="R242" s="256"/>
    </row>
    <row r="243" spans="1:18" ht="48">
      <c r="A243" s="267">
        <v>4370</v>
      </c>
      <c r="B243" s="291" t="s">
        <v>462</v>
      </c>
      <c r="C243" s="128">
        <v>3000</v>
      </c>
      <c r="D243" s="104">
        <f t="shared" si="19"/>
        <v>3000</v>
      </c>
      <c r="E243" s="129">
        <f t="shared" si="24"/>
        <v>489</v>
      </c>
      <c r="F243" s="105">
        <f t="shared" si="21"/>
        <v>16.3</v>
      </c>
      <c r="G243" s="128"/>
      <c r="H243" s="129"/>
      <c r="I243" s="194"/>
      <c r="J243" s="193"/>
      <c r="K243" s="129"/>
      <c r="L243" s="110"/>
      <c r="M243" s="193">
        <v>1500</v>
      </c>
      <c r="N243" s="193"/>
      <c r="O243" s="108">
        <f t="shared" si="25"/>
        <v>0</v>
      </c>
      <c r="P243" s="128">
        <v>1500</v>
      </c>
      <c r="Q243" s="129">
        <v>489</v>
      </c>
      <c r="R243" s="256">
        <f t="shared" si="23"/>
        <v>32.6</v>
      </c>
    </row>
    <row r="244" spans="1:18" ht="24">
      <c r="A244" s="267">
        <v>4400</v>
      </c>
      <c r="B244" s="291" t="s">
        <v>463</v>
      </c>
      <c r="C244" s="128">
        <v>1200</v>
      </c>
      <c r="D244" s="104">
        <f t="shared" si="19"/>
        <v>1200</v>
      </c>
      <c r="E244" s="129">
        <f t="shared" si="24"/>
        <v>400</v>
      </c>
      <c r="F244" s="105">
        <f t="shared" si="21"/>
        <v>33.33333333333333</v>
      </c>
      <c r="G244" s="128"/>
      <c r="H244" s="129"/>
      <c r="I244" s="194"/>
      <c r="J244" s="193"/>
      <c r="K244" s="129"/>
      <c r="L244" s="110"/>
      <c r="M244" s="193">
        <v>600</v>
      </c>
      <c r="N244" s="193"/>
      <c r="O244" s="108">
        <f t="shared" si="25"/>
        <v>0</v>
      </c>
      <c r="P244" s="128">
        <v>600</v>
      </c>
      <c r="Q244" s="129">
        <v>400</v>
      </c>
      <c r="R244" s="256">
        <f t="shared" si="23"/>
        <v>66.66666666666666</v>
      </c>
    </row>
    <row r="245" spans="1:18" ht="14.25" customHeight="1">
      <c r="A245" s="191">
        <v>4410</v>
      </c>
      <c r="B245" s="259" t="s">
        <v>514</v>
      </c>
      <c r="C245" s="128">
        <v>5910</v>
      </c>
      <c r="D245" s="104">
        <f aca="true" t="shared" si="26" ref="D245:E278">G245+J245+P245+M245</f>
        <v>5910</v>
      </c>
      <c r="E245" s="129">
        <f t="shared" si="24"/>
        <v>3017</v>
      </c>
      <c r="F245" s="105">
        <f t="shared" si="21"/>
        <v>51.049069373942466</v>
      </c>
      <c r="G245" s="128"/>
      <c r="H245" s="129"/>
      <c r="I245" s="194"/>
      <c r="J245" s="193"/>
      <c r="K245" s="129"/>
      <c r="L245" s="110"/>
      <c r="M245" s="193">
        <v>2500</v>
      </c>
      <c r="N245" s="193">
        <v>717</v>
      </c>
      <c r="O245" s="108">
        <f t="shared" si="25"/>
        <v>28.68</v>
      </c>
      <c r="P245" s="128">
        <v>3410</v>
      </c>
      <c r="Q245" s="129">
        <v>2300</v>
      </c>
      <c r="R245" s="256">
        <f t="shared" si="23"/>
        <v>67.44868035190615</v>
      </c>
    </row>
    <row r="246" spans="1:18" ht="14.25" customHeight="1">
      <c r="A246" s="191">
        <v>4440</v>
      </c>
      <c r="B246" s="259" t="s">
        <v>368</v>
      </c>
      <c r="C246" s="128">
        <v>8100</v>
      </c>
      <c r="D246" s="104">
        <f t="shared" si="26"/>
        <v>8100</v>
      </c>
      <c r="E246" s="129">
        <f t="shared" si="24"/>
        <v>8100</v>
      </c>
      <c r="F246" s="105">
        <f t="shared" si="21"/>
        <v>100</v>
      </c>
      <c r="G246" s="128"/>
      <c r="H246" s="129"/>
      <c r="I246" s="194"/>
      <c r="J246" s="193"/>
      <c r="K246" s="129"/>
      <c r="L246" s="110"/>
      <c r="M246" s="193">
        <v>3400</v>
      </c>
      <c r="N246" s="193">
        <v>3400</v>
      </c>
      <c r="O246" s="256">
        <f t="shared" si="25"/>
        <v>100</v>
      </c>
      <c r="P246" s="128">
        <v>4700</v>
      </c>
      <c r="Q246" s="129">
        <v>4700</v>
      </c>
      <c r="R246" s="256">
        <f t="shared" si="23"/>
        <v>100</v>
      </c>
    </row>
    <row r="247" spans="1:18" ht="36">
      <c r="A247" s="267">
        <v>4700</v>
      </c>
      <c r="B247" s="291" t="s">
        <v>466</v>
      </c>
      <c r="C247" s="128">
        <v>1500</v>
      </c>
      <c r="D247" s="104">
        <f t="shared" si="26"/>
        <v>1500</v>
      </c>
      <c r="E247" s="129">
        <f t="shared" si="24"/>
        <v>0</v>
      </c>
      <c r="F247" s="105">
        <f t="shared" si="21"/>
        <v>0</v>
      </c>
      <c r="G247" s="128"/>
      <c r="H247" s="129"/>
      <c r="I247" s="194"/>
      <c r="J247" s="193"/>
      <c r="K247" s="129"/>
      <c r="L247" s="110"/>
      <c r="M247" s="193"/>
      <c r="N247" s="193"/>
      <c r="O247" s="108"/>
      <c r="P247" s="128">
        <v>1500</v>
      </c>
      <c r="Q247" s="129"/>
      <c r="R247" s="256">
        <f t="shared" si="23"/>
        <v>0</v>
      </c>
    </row>
    <row r="248" spans="1:18" ht="60">
      <c r="A248" s="267">
        <v>4740</v>
      </c>
      <c r="B248" s="291" t="s">
        <v>380</v>
      </c>
      <c r="C248" s="128">
        <v>1000</v>
      </c>
      <c r="D248" s="104">
        <f>G248+J248+P248+M248</f>
        <v>1000</v>
      </c>
      <c r="E248" s="129">
        <f>SUM(H248+K248+N248+Q248)</f>
        <v>0</v>
      </c>
      <c r="F248" s="105">
        <f>E248/D248*100</f>
        <v>0</v>
      </c>
      <c r="G248" s="128"/>
      <c r="H248" s="129"/>
      <c r="I248" s="194"/>
      <c r="J248" s="193"/>
      <c r="K248" s="129"/>
      <c r="L248" s="110"/>
      <c r="M248" s="193">
        <v>500</v>
      </c>
      <c r="N248" s="193"/>
      <c r="O248" s="108">
        <f t="shared" si="25"/>
        <v>0</v>
      </c>
      <c r="P248" s="128">
        <v>500</v>
      </c>
      <c r="Q248" s="129"/>
      <c r="R248" s="256">
        <f t="shared" si="23"/>
        <v>0</v>
      </c>
    </row>
    <row r="249" spans="1:18" ht="36">
      <c r="A249" s="267">
        <v>6060</v>
      </c>
      <c r="B249" s="198" t="s">
        <v>515</v>
      </c>
      <c r="C249" s="128">
        <v>40000</v>
      </c>
      <c r="D249" s="104">
        <f>G249+J249+P249+M249</f>
        <v>40000</v>
      </c>
      <c r="E249" s="129">
        <f>SUM(H249+K249+N249+Q249)</f>
        <v>40000</v>
      </c>
      <c r="F249" s="105">
        <f>E249/D249*100</f>
        <v>100</v>
      </c>
      <c r="G249" s="128"/>
      <c r="H249" s="129"/>
      <c r="I249" s="194"/>
      <c r="J249" s="193"/>
      <c r="K249" s="129"/>
      <c r="L249" s="110"/>
      <c r="M249" s="193"/>
      <c r="N249" s="193"/>
      <c r="O249" s="256"/>
      <c r="P249" s="128">
        <v>40000</v>
      </c>
      <c r="Q249" s="129">
        <v>40000</v>
      </c>
      <c r="R249" s="256">
        <f t="shared" si="23"/>
        <v>100</v>
      </c>
    </row>
    <row r="250" spans="1:18" ht="36">
      <c r="A250" s="316">
        <v>4750</v>
      </c>
      <c r="B250" s="317" t="s">
        <v>467</v>
      </c>
      <c r="C250" s="229">
        <v>5400</v>
      </c>
      <c r="D250" s="230">
        <f t="shared" si="26"/>
        <v>5400</v>
      </c>
      <c r="E250" s="236">
        <f t="shared" si="24"/>
        <v>199</v>
      </c>
      <c r="F250" s="168">
        <f t="shared" si="21"/>
        <v>3.685185185185185</v>
      </c>
      <c r="G250" s="229"/>
      <c r="H250" s="236"/>
      <c r="I250" s="237"/>
      <c r="J250" s="233"/>
      <c r="K250" s="236"/>
      <c r="L250" s="319"/>
      <c r="M250" s="233">
        <v>3400</v>
      </c>
      <c r="N250" s="233"/>
      <c r="O250" s="108">
        <f t="shared" si="25"/>
        <v>0</v>
      </c>
      <c r="P250" s="229">
        <v>2000</v>
      </c>
      <c r="Q250" s="236">
        <v>199</v>
      </c>
      <c r="R250" s="232">
        <f t="shared" si="23"/>
        <v>9.950000000000001</v>
      </c>
    </row>
    <row r="251" spans="1:18" s="221" customFormat="1" ht="13.5" customHeight="1">
      <c r="A251" s="239">
        <v>71035</v>
      </c>
      <c r="B251" s="296" t="s">
        <v>516</v>
      </c>
      <c r="C251" s="136">
        <f>SUM(C252:C255)</f>
        <v>1349600</v>
      </c>
      <c r="D251" s="137">
        <f t="shared" si="26"/>
        <v>1649600</v>
      </c>
      <c r="E251" s="137">
        <f t="shared" si="24"/>
        <v>276388</v>
      </c>
      <c r="F251" s="138">
        <f t="shared" si="21"/>
        <v>16.754849660523764</v>
      </c>
      <c r="G251" s="136">
        <f>SUM(G252:G255)</f>
        <v>1649600</v>
      </c>
      <c r="H251" s="137">
        <f>SUM(H252:H255)</f>
        <v>276388</v>
      </c>
      <c r="I251" s="127">
        <f aca="true" t="shared" si="27" ref="I251:I263">H251/G251*100</f>
        <v>16.754849660523764</v>
      </c>
      <c r="J251" s="140"/>
      <c r="K251" s="137"/>
      <c r="L251" s="125"/>
      <c r="M251" s="140"/>
      <c r="N251" s="140"/>
      <c r="O251" s="265"/>
      <c r="P251" s="136"/>
      <c r="Q251" s="137"/>
      <c r="R251" s="243"/>
    </row>
    <row r="252" spans="1:18" s="269" customFormat="1" ht="16.5" customHeight="1" hidden="1">
      <c r="A252" s="267">
        <v>4270</v>
      </c>
      <c r="B252" s="305" t="s">
        <v>362</v>
      </c>
      <c r="C252" s="160"/>
      <c r="D252" s="104">
        <f t="shared" si="26"/>
        <v>0</v>
      </c>
      <c r="E252" s="104">
        <f t="shared" si="26"/>
        <v>0</v>
      </c>
      <c r="F252" s="105"/>
      <c r="G252" s="160"/>
      <c r="H252" s="104"/>
      <c r="I252" s="108"/>
      <c r="J252" s="109"/>
      <c r="K252" s="104"/>
      <c r="L252" s="110"/>
      <c r="M252" s="109"/>
      <c r="N252" s="109"/>
      <c r="O252" s="194"/>
      <c r="P252" s="160"/>
      <c r="Q252" s="104"/>
      <c r="R252" s="108"/>
    </row>
    <row r="253" spans="1:18" ht="24.75" customHeight="1">
      <c r="A253" s="191">
        <v>4300</v>
      </c>
      <c r="B253" s="198" t="s">
        <v>517</v>
      </c>
      <c r="C253" s="128">
        <v>16600</v>
      </c>
      <c r="D253" s="104">
        <f t="shared" si="26"/>
        <v>16600</v>
      </c>
      <c r="E253" s="104">
        <f t="shared" si="26"/>
        <v>0</v>
      </c>
      <c r="F253" s="105">
        <f t="shared" si="21"/>
        <v>0</v>
      </c>
      <c r="G253" s="128">
        <v>16600</v>
      </c>
      <c r="H253" s="129"/>
      <c r="I253" s="108">
        <f t="shared" si="27"/>
        <v>0</v>
      </c>
      <c r="J253" s="193"/>
      <c r="K253" s="129"/>
      <c r="L253" s="110"/>
      <c r="M253" s="193"/>
      <c r="N253" s="193"/>
      <c r="O253" s="194"/>
      <c r="P253" s="128"/>
      <c r="Q253" s="129"/>
      <c r="R253" s="108"/>
    </row>
    <row r="254" spans="1:18" ht="29.25" customHeight="1">
      <c r="A254" s="191">
        <v>4300</v>
      </c>
      <c r="B254" s="198" t="s">
        <v>518</v>
      </c>
      <c r="C254" s="128">
        <v>1233000</v>
      </c>
      <c r="D254" s="104">
        <f t="shared" si="26"/>
        <v>1233000</v>
      </c>
      <c r="E254" s="104">
        <f t="shared" si="26"/>
        <v>200738</v>
      </c>
      <c r="F254" s="105">
        <f t="shared" si="21"/>
        <v>16.280454176804543</v>
      </c>
      <c r="G254" s="160">
        <v>1233000</v>
      </c>
      <c r="H254" s="104">
        <v>200738</v>
      </c>
      <c r="I254" s="108">
        <f t="shared" si="27"/>
        <v>16.280454176804543</v>
      </c>
      <c r="J254" s="193"/>
      <c r="K254" s="129"/>
      <c r="L254" s="110"/>
      <c r="M254" s="193"/>
      <c r="N254" s="193"/>
      <c r="O254" s="194"/>
      <c r="P254" s="128"/>
      <c r="Q254" s="129"/>
      <c r="R254" s="108"/>
    </row>
    <row r="255" spans="1:18" ht="24.75" thickBot="1">
      <c r="A255" s="191">
        <v>6050</v>
      </c>
      <c r="B255" s="198" t="s">
        <v>396</v>
      </c>
      <c r="C255" s="128">
        <v>100000</v>
      </c>
      <c r="D255" s="104">
        <f>G255+J255+P255+M255</f>
        <v>400000</v>
      </c>
      <c r="E255" s="104">
        <f>H255+K255+Q255+N255</f>
        <v>75650</v>
      </c>
      <c r="F255" s="105">
        <f>E255/D255*100</f>
        <v>18.912499999999998</v>
      </c>
      <c r="G255" s="160">
        <f>100000+300000</f>
        <v>400000</v>
      </c>
      <c r="H255" s="104">
        <v>75650</v>
      </c>
      <c r="I255" s="108">
        <f t="shared" si="27"/>
        <v>18.912499999999998</v>
      </c>
      <c r="J255" s="193"/>
      <c r="K255" s="129"/>
      <c r="L255" s="110"/>
      <c r="M255" s="337"/>
      <c r="N255" s="236"/>
      <c r="O255" s="194"/>
      <c r="P255" s="128"/>
      <c r="Q255" s="129"/>
      <c r="R255" s="108"/>
    </row>
    <row r="256" spans="1:18" ht="15.75" customHeight="1" hidden="1">
      <c r="A256" s="239">
        <v>71095</v>
      </c>
      <c r="B256" s="296" t="s">
        <v>378</v>
      </c>
      <c r="C256" s="136"/>
      <c r="D256" s="137">
        <f t="shared" si="26"/>
        <v>0</v>
      </c>
      <c r="E256" s="137">
        <f t="shared" si="26"/>
        <v>0</v>
      </c>
      <c r="F256" s="120" t="e">
        <f t="shared" si="21"/>
        <v>#DIV/0!</v>
      </c>
      <c r="G256" s="136">
        <f>G257</f>
        <v>0</v>
      </c>
      <c r="H256" s="137">
        <f>H257</f>
        <v>0</v>
      </c>
      <c r="I256" s="170" t="e">
        <f t="shared" si="27"/>
        <v>#DIV/0!</v>
      </c>
      <c r="J256" s="140"/>
      <c r="K256" s="137"/>
      <c r="L256" s="125"/>
      <c r="M256" s="338"/>
      <c r="N256" s="137"/>
      <c r="O256" s="265"/>
      <c r="P256" s="136"/>
      <c r="Q256" s="137"/>
      <c r="R256" s="243"/>
    </row>
    <row r="257" spans="1:18" ht="17.25" customHeight="1" hidden="1">
      <c r="A257" s="191">
        <v>4300</v>
      </c>
      <c r="B257" s="198" t="s">
        <v>364</v>
      </c>
      <c r="C257" s="128"/>
      <c r="D257" s="104">
        <f t="shared" si="26"/>
        <v>0</v>
      </c>
      <c r="E257" s="104">
        <f t="shared" si="26"/>
        <v>0</v>
      </c>
      <c r="F257" s="105" t="e">
        <f t="shared" si="21"/>
        <v>#DIV/0!</v>
      </c>
      <c r="G257" s="160"/>
      <c r="H257" s="104"/>
      <c r="I257" s="108" t="e">
        <f t="shared" si="27"/>
        <v>#DIV/0!</v>
      </c>
      <c r="J257" s="193"/>
      <c r="K257" s="129"/>
      <c r="L257" s="110"/>
      <c r="M257" s="337"/>
      <c r="N257" s="339"/>
      <c r="O257" s="194"/>
      <c r="P257" s="128"/>
      <c r="Q257" s="129"/>
      <c r="R257" s="108"/>
    </row>
    <row r="258" spans="1:18" s="185" customFormat="1" ht="29.25" customHeight="1" thickBot="1" thickTop="1">
      <c r="A258" s="181">
        <v>750</v>
      </c>
      <c r="B258" s="182" t="s">
        <v>519</v>
      </c>
      <c r="C258" s="183">
        <f>C259+C269+C282+C296+C408+C421+C361+C373</f>
        <v>31967597</v>
      </c>
      <c r="D258" s="78">
        <f t="shared" si="26"/>
        <v>32662537</v>
      </c>
      <c r="E258" s="83">
        <f t="shared" si="26"/>
        <v>7887494</v>
      </c>
      <c r="F258" s="79">
        <f t="shared" si="21"/>
        <v>24.14844260260616</v>
      </c>
      <c r="G258" s="183">
        <f>G259+G282+G296+G361+G408+G421+G269+G373</f>
        <v>27102400</v>
      </c>
      <c r="H258" s="83">
        <f>H259+H282+H296+H361+H408+H421+H269+H373</f>
        <v>6509274</v>
      </c>
      <c r="I258" s="81">
        <f t="shared" si="27"/>
        <v>24.017334258220675</v>
      </c>
      <c r="J258" s="83">
        <f>J259+J282+J296+J361+J408+J421+J269+J373</f>
        <v>738000</v>
      </c>
      <c r="K258" s="83">
        <f>K259+K282+K296+K361+K408+K421+K269+K373</f>
        <v>227974</v>
      </c>
      <c r="L258" s="340">
        <f aca="true" t="shared" si="28" ref="L258:L263">K258/J258*100</f>
        <v>30.89078590785908</v>
      </c>
      <c r="M258" s="341">
        <f>M259+M282+M296+M361+M408+M421+M269</f>
        <v>4553137</v>
      </c>
      <c r="N258" s="83">
        <f>N259+N282+N296+N361+N408+N421+N269</f>
        <v>1075813</v>
      </c>
      <c r="O258" s="81">
        <f>N258/M258*100</f>
        <v>23.627951454129317</v>
      </c>
      <c r="P258" s="183">
        <f>P259+P282+P296+P361+P408+P421+P269</f>
        <v>269000</v>
      </c>
      <c r="Q258" s="83">
        <f>Q259+Q282+Q296+Q361+Q408+Q421+Q269</f>
        <v>74433</v>
      </c>
      <c r="R258" s="205">
        <f aca="true" t="shared" si="29" ref="R258:R263">Q258/P258*100</f>
        <v>27.670260223048327</v>
      </c>
    </row>
    <row r="259" spans="1:18" ht="15" customHeight="1" thickTop="1">
      <c r="A259" s="186">
        <v>75011</v>
      </c>
      <c r="B259" s="294" t="s">
        <v>520</v>
      </c>
      <c r="C259" s="188">
        <f>SUM(C260:C268)</f>
        <v>1510700</v>
      </c>
      <c r="D259" s="189">
        <f t="shared" si="26"/>
        <v>1510700</v>
      </c>
      <c r="E259" s="311">
        <f t="shared" si="26"/>
        <v>450927</v>
      </c>
      <c r="F259" s="168">
        <f t="shared" si="21"/>
        <v>29.8488780035745</v>
      </c>
      <c r="G259" s="188">
        <f>SUM(G260:G268)</f>
        <v>537700</v>
      </c>
      <c r="H259" s="119">
        <f>SUM(H260:H268)</f>
        <v>150551</v>
      </c>
      <c r="I259" s="170">
        <f t="shared" si="27"/>
        <v>27.999070113446162</v>
      </c>
      <c r="J259" s="124">
        <f>SUM(J260:J268)</f>
        <v>738000</v>
      </c>
      <c r="K259" s="119">
        <f>SUM(K260:K268)</f>
        <v>227974</v>
      </c>
      <c r="L259" s="342">
        <f t="shared" si="28"/>
        <v>30.89078590785908</v>
      </c>
      <c r="M259" s="119"/>
      <c r="N259" s="119"/>
      <c r="O259" s="190"/>
      <c r="P259" s="188">
        <f>SUM(P260:P268)</f>
        <v>235000</v>
      </c>
      <c r="Q259" s="119">
        <f>SUM(Q260:Q268)</f>
        <v>72402</v>
      </c>
      <c r="R259" s="232">
        <f t="shared" si="29"/>
        <v>30.809361702127656</v>
      </c>
    </row>
    <row r="260" spans="1:18" ht="24" customHeight="1">
      <c r="A260" s="172">
        <v>4010</v>
      </c>
      <c r="B260" s="320" t="s">
        <v>346</v>
      </c>
      <c r="C260" s="132">
        <v>909100</v>
      </c>
      <c r="D260" s="149">
        <f t="shared" si="26"/>
        <v>909100</v>
      </c>
      <c r="E260" s="150">
        <f aca="true" t="shared" si="30" ref="E260:E268">SUM(H260+K260+N260+Q260)</f>
        <v>235516</v>
      </c>
      <c r="F260" s="130">
        <f t="shared" si="21"/>
        <v>25.90650093499065</v>
      </c>
      <c r="G260" s="132">
        <v>158700</v>
      </c>
      <c r="H260" s="150">
        <v>39675</v>
      </c>
      <c r="I260" s="256">
        <f t="shared" si="27"/>
        <v>25</v>
      </c>
      <c r="J260" s="223">
        <v>569200</v>
      </c>
      <c r="K260" s="150">
        <v>148675</v>
      </c>
      <c r="L260" s="222">
        <f t="shared" si="28"/>
        <v>26.119992972593113</v>
      </c>
      <c r="M260" s="150"/>
      <c r="N260" s="150"/>
      <c r="O260" s="225"/>
      <c r="P260" s="132">
        <v>181200</v>
      </c>
      <c r="Q260" s="150">
        <v>47166</v>
      </c>
      <c r="R260" s="222">
        <f t="shared" si="29"/>
        <v>26.02980132450331</v>
      </c>
    </row>
    <row r="261" spans="1:18" ht="24">
      <c r="A261" s="191">
        <v>4040</v>
      </c>
      <c r="B261" s="198" t="s">
        <v>454</v>
      </c>
      <c r="C261" s="128">
        <v>76100</v>
      </c>
      <c r="D261" s="104">
        <f t="shared" si="26"/>
        <v>76100</v>
      </c>
      <c r="E261" s="129">
        <f t="shared" si="30"/>
        <v>76100</v>
      </c>
      <c r="F261" s="105">
        <f t="shared" si="21"/>
        <v>100</v>
      </c>
      <c r="G261" s="128">
        <v>13200</v>
      </c>
      <c r="H261" s="129">
        <v>13200</v>
      </c>
      <c r="I261" s="256">
        <f t="shared" si="27"/>
        <v>100</v>
      </c>
      <c r="J261" s="193">
        <v>47700</v>
      </c>
      <c r="K261" s="129">
        <v>47700</v>
      </c>
      <c r="L261" s="256">
        <f t="shared" si="28"/>
        <v>100</v>
      </c>
      <c r="M261" s="129"/>
      <c r="N261" s="129"/>
      <c r="O261" s="194"/>
      <c r="P261" s="128">
        <v>15200</v>
      </c>
      <c r="Q261" s="129">
        <v>15200</v>
      </c>
      <c r="R261" s="256">
        <f t="shared" si="29"/>
        <v>100</v>
      </c>
    </row>
    <row r="262" spans="1:18" ht="24.75" customHeight="1">
      <c r="A262" s="191">
        <v>4110</v>
      </c>
      <c r="B262" s="321" t="s">
        <v>352</v>
      </c>
      <c r="C262" s="128">
        <v>169300</v>
      </c>
      <c r="D262" s="104">
        <f t="shared" si="26"/>
        <v>169300</v>
      </c>
      <c r="E262" s="129">
        <f t="shared" si="30"/>
        <v>43817</v>
      </c>
      <c r="F262" s="105">
        <f t="shared" si="21"/>
        <v>25.881275841701125</v>
      </c>
      <c r="G262" s="128">
        <v>29500</v>
      </c>
      <c r="H262" s="129">
        <v>7375</v>
      </c>
      <c r="I262" s="256">
        <f t="shared" si="27"/>
        <v>25</v>
      </c>
      <c r="J262" s="193">
        <v>106000</v>
      </c>
      <c r="K262" s="129">
        <v>27655</v>
      </c>
      <c r="L262" s="256">
        <f t="shared" si="28"/>
        <v>26.089622641509436</v>
      </c>
      <c r="M262" s="129"/>
      <c r="N262" s="129"/>
      <c r="O262" s="194"/>
      <c r="P262" s="128">
        <v>33800</v>
      </c>
      <c r="Q262" s="129">
        <v>8787</v>
      </c>
      <c r="R262" s="256">
        <f t="shared" si="29"/>
        <v>25.997041420118343</v>
      </c>
    </row>
    <row r="263" spans="1:18" ht="11.25" customHeight="1">
      <c r="A263" s="191">
        <v>4120</v>
      </c>
      <c r="B263" s="198" t="s">
        <v>509</v>
      </c>
      <c r="C263" s="128">
        <v>24100</v>
      </c>
      <c r="D263" s="104">
        <f t="shared" si="26"/>
        <v>24100</v>
      </c>
      <c r="E263" s="129">
        <f t="shared" si="30"/>
        <v>6243</v>
      </c>
      <c r="F263" s="105">
        <f t="shared" si="21"/>
        <v>25.904564315352697</v>
      </c>
      <c r="G263" s="128">
        <v>4200</v>
      </c>
      <c r="H263" s="129">
        <v>1050</v>
      </c>
      <c r="I263" s="256">
        <f t="shared" si="27"/>
        <v>25</v>
      </c>
      <c r="J263" s="193">
        <v>15100</v>
      </c>
      <c r="K263" s="129">
        <v>3944</v>
      </c>
      <c r="L263" s="256">
        <f t="shared" si="28"/>
        <v>26.11920529801324</v>
      </c>
      <c r="M263" s="129"/>
      <c r="N263" s="129"/>
      <c r="O263" s="194"/>
      <c r="P263" s="128">
        <v>4800</v>
      </c>
      <c r="Q263" s="129">
        <v>1249</v>
      </c>
      <c r="R263" s="256">
        <f t="shared" si="29"/>
        <v>26.020833333333332</v>
      </c>
    </row>
    <row r="264" spans="1:18" ht="24">
      <c r="A264" s="191">
        <v>4210</v>
      </c>
      <c r="B264" s="198" t="s">
        <v>356</v>
      </c>
      <c r="C264" s="128">
        <v>136200</v>
      </c>
      <c r="D264" s="104">
        <f t="shared" si="26"/>
        <v>136200</v>
      </c>
      <c r="E264" s="129">
        <f t="shared" si="30"/>
        <v>38596</v>
      </c>
      <c r="F264" s="105">
        <f t="shared" si="21"/>
        <v>28.337738619676944</v>
      </c>
      <c r="G264" s="128">
        <v>136200</v>
      </c>
      <c r="H264" s="129">
        <v>38596</v>
      </c>
      <c r="I264" s="256">
        <f>H264/G264*100</f>
        <v>28.337738619676944</v>
      </c>
      <c r="J264" s="193"/>
      <c r="K264" s="129"/>
      <c r="L264" s="343"/>
      <c r="M264" s="129"/>
      <c r="N264" s="129"/>
      <c r="O264" s="194"/>
      <c r="P264" s="128"/>
      <c r="Q264" s="129"/>
      <c r="R264" s="108"/>
    </row>
    <row r="265" spans="1:18" ht="12.75">
      <c r="A265" s="191">
        <v>4260</v>
      </c>
      <c r="B265" s="198" t="s">
        <v>360</v>
      </c>
      <c r="C265" s="128">
        <v>34900</v>
      </c>
      <c r="D265" s="104">
        <f t="shared" si="26"/>
        <v>34900</v>
      </c>
      <c r="E265" s="129">
        <f t="shared" si="30"/>
        <v>9743</v>
      </c>
      <c r="F265" s="105">
        <f t="shared" si="21"/>
        <v>27.916905444126073</v>
      </c>
      <c r="G265" s="128">
        <v>34900</v>
      </c>
      <c r="H265" s="129">
        <v>9743</v>
      </c>
      <c r="I265" s="256">
        <f>H265/G265*100</f>
        <v>27.916905444126073</v>
      </c>
      <c r="J265" s="193"/>
      <c r="K265" s="129"/>
      <c r="L265" s="110"/>
      <c r="M265" s="129"/>
      <c r="N265" s="129"/>
      <c r="O265" s="194"/>
      <c r="P265" s="128"/>
      <c r="Q265" s="129"/>
      <c r="R265" s="162"/>
    </row>
    <row r="266" spans="1:18" ht="24">
      <c r="A266" s="191">
        <v>4300</v>
      </c>
      <c r="B266" s="198" t="s">
        <v>364</v>
      </c>
      <c r="C266" s="128">
        <v>106000</v>
      </c>
      <c r="D266" s="104">
        <f t="shared" si="26"/>
        <v>106000</v>
      </c>
      <c r="E266" s="129">
        <f>SUM(H266+K266+N266+Q266)</f>
        <v>27509</v>
      </c>
      <c r="F266" s="105">
        <f>E266/D266*100</f>
        <v>25.951886792452832</v>
      </c>
      <c r="G266" s="128">
        <v>106000</v>
      </c>
      <c r="H266" s="129">
        <v>27509</v>
      </c>
      <c r="I266" s="108">
        <f>H266/G266*100</f>
        <v>25.951886792452832</v>
      </c>
      <c r="J266" s="193"/>
      <c r="K266" s="129"/>
      <c r="L266" s="110"/>
      <c r="M266" s="129"/>
      <c r="N266" s="129"/>
      <c r="O266" s="194"/>
      <c r="P266" s="128"/>
      <c r="Q266" s="129"/>
      <c r="R266" s="162"/>
    </row>
    <row r="267" spans="1:18" ht="48">
      <c r="A267" s="267">
        <v>4360</v>
      </c>
      <c r="B267" s="291" t="s">
        <v>461</v>
      </c>
      <c r="C267" s="128">
        <v>21400</v>
      </c>
      <c r="D267" s="104">
        <f t="shared" si="26"/>
        <v>21400</v>
      </c>
      <c r="E267" s="129">
        <f>SUM(H267+K267+N267+Q267)</f>
        <v>2916</v>
      </c>
      <c r="F267" s="105">
        <f>E267/D267*100</f>
        <v>13.626168224299064</v>
      </c>
      <c r="G267" s="128">
        <v>21400</v>
      </c>
      <c r="H267" s="129">
        <v>2916</v>
      </c>
      <c r="I267" s="108">
        <f>H267/G267*100</f>
        <v>13.626168224299064</v>
      </c>
      <c r="J267" s="193"/>
      <c r="K267" s="129"/>
      <c r="L267" s="110"/>
      <c r="M267" s="129"/>
      <c r="N267" s="129"/>
      <c r="O267" s="194"/>
      <c r="P267" s="128"/>
      <c r="Q267" s="129"/>
      <c r="R267" s="162"/>
    </row>
    <row r="268" spans="1:18" ht="60">
      <c r="A268" s="267">
        <v>4740</v>
      </c>
      <c r="B268" s="291" t="s">
        <v>380</v>
      </c>
      <c r="C268" s="128">
        <v>33600</v>
      </c>
      <c r="D268" s="104">
        <f t="shared" si="26"/>
        <v>33600</v>
      </c>
      <c r="E268" s="129">
        <f t="shared" si="30"/>
        <v>10487</v>
      </c>
      <c r="F268" s="105">
        <f t="shared" si="21"/>
        <v>31.211309523809522</v>
      </c>
      <c r="G268" s="128">
        <v>33600</v>
      </c>
      <c r="H268" s="129">
        <v>10487</v>
      </c>
      <c r="I268" s="108">
        <f>H268/G268*100</f>
        <v>31.211309523809522</v>
      </c>
      <c r="J268" s="193"/>
      <c r="K268" s="129"/>
      <c r="L268" s="108" t="s">
        <v>521</v>
      </c>
      <c r="M268" s="129"/>
      <c r="N268" s="129"/>
      <c r="O268" s="194"/>
      <c r="P268" s="128"/>
      <c r="Q268" s="129"/>
      <c r="R268" s="200"/>
    </row>
    <row r="269" spans="1:18" ht="12.75" customHeight="1">
      <c r="A269" s="186">
        <v>75020</v>
      </c>
      <c r="B269" s="294" t="s">
        <v>522</v>
      </c>
      <c r="C269" s="188">
        <f>SUM(C270:C281)</f>
        <v>4542137</v>
      </c>
      <c r="D269" s="137">
        <f t="shared" si="26"/>
        <v>4542137</v>
      </c>
      <c r="E269" s="119">
        <f>H269+K269+Q269+N269</f>
        <v>1075813</v>
      </c>
      <c r="F269" s="120">
        <f t="shared" si="21"/>
        <v>23.68517286026379</v>
      </c>
      <c r="G269" s="344"/>
      <c r="H269" s="345"/>
      <c r="I269" s="190"/>
      <c r="J269" s="346"/>
      <c r="K269" s="345"/>
      <c r="L269" s="347"/>
      <c r="M269" s="119">
        <f>SUM(M270:M281)</f>
        <v>4542137</v>
      </c>
      <c r="N269" s="119">
        <f>SUM(N270:N281)</f>
        <v>1075813</v>
      </c>
      <c r="O269" s="214">
        <f aca="true" t="shared" si="31" ref="O269:O281">N269/M269*100</f>
        <v>23.68517286026379</v>
      </c>
      <c r="P269" s="188"/>
      <c r="Q269" s="119"/>
      <c r="R269" s="283"/>
    </row>
    <row r="270" spans="1:18" s="269" customFormat="1" ht="72">
      <c r="A270" s="267">
        <v>2320</v>
      </c>
      <c r="B270" s="305" t="s">
        <v>523</v>
      </c>
      <c r="C270" s="160">
        <f>15000+1598164</f>
        <v>1613164</v>
      </c>
      <c r="D270" s="104">
        <f t="shared" si="26"/>
        <v>1613164</v>
      </c>
      <c r="E270" s="129">
        <f aca="true" t="shared" si="32" ref="E270:E281">SUM(H270+K270+N270+Q270)</f>
        <v>403290</v>
      </c>
      <c r="F270" s="105">
        <f t="shared" si="21"/>
        <v>24.99993801002254</v>
      </c>
      <c r="G270" s="160"/>
      <c r="H270" s="104"/>
      <c r="I270" s="194"/>
      <c r="J270" s="109"/>
      <c r="K270" s="104"/>
      <c r="L270" s="110"/>
      <c r="M270" s="348">
        <f>15000+1598164</f>
        <v>1613164</v>
      </c>
      <c r="N270" s="149">
        <v>403290</v>
      </c>
      <c r="O270" s="256">
        <f t="shared" si="31"/>
        <v>24.99993801002254</v>
      </c>
      <c r="P270" s="160"/>
      <c r="Q270" s="104"/>
      <c r="R270" s="200"/>
    </row>
    <row r="271" spans="1:18" ht="12.75">
      <c r="A271" s="191">
        <v>4010</v>
      </c>
      <c r="B271" s="198" t="s">
        <v>524</v>
      </c>
      <c r="C271" s="128">
        <v>991700</v>
      </c>
      <c r="D271" s="104">
        <f t="shared" si="26"/>
        <v>991700</v>
      </c>
      <c r="E271" s="129">
        <f t="shared" si="32"/>
        <v>247926</v>
      </c>
      <c r="F271" s="105">
        <f t="shared" si="21"/>
        <v>25.000100836946658</v>
      </c>
      <c r="G271" s="128"/>
      <c r="H271" s="129"/>
      <c r="I271" s="194"/>
      <c r="J271" s="193"/>
      <c r="K271" s="129"/>
      <c r="L271" s="110"/>
      <c r="M271" s="247">
        <v>991700</v>
      </c>
      <c r="N271" s="129">
        <v>247926</v>
      </c>
      <c r="O271" s="256">
        <f t="shared" si="31"/>
        <v>25.000100836946658</v>
      </c>
      <c r="P271" s="128"/>
      <c r="Q271" s="129"/>
      <c r="R271" s="200"/>
    </row>
    <row r="272" spans="1:18" ht="24">
      <c r="A272" s="191">
        <v>4040</v>
      </c>
      <c r="B272" s="198" t="s">
        <v>454</v>
      </c>
      <c r="C272" s="128">
        <v>82400</v>
      </c>
      <c r="D272" s="104">
        <f t="shared" si="26"/>
        <v>82400</v>
      </c>
      <c r="E272" s="129">
        <f t="shared" si="32"/>
        <v>82400</v>
      </c>
      <c r="F272" s="105">
        <f aca="true" t="shared" si="33" ref="F272:F307">E272/D272*100</f>
        <v>100</v>
      </c>
      <c r="G272" s="128"/>
      <c r="H272" s="129"/>
      <c r="I272" s="194"/>
      <c r="J272" s="193"/>
      <c r="K272" s="129"/>
      <c r="L272" s="110"/>
      <c r="M272" s="247">
        <v>82400</v>
      </c>
      <c r="N272" s="129">
        <v>82400</v>
      </c>
      <c r="O272" s="256">
        <f t="shared" si="31"/>
        <v>100</v>
      </c>
      <c r="P272" s="128"/>
      <c r="Q272" s="129"/>
      <c r="R272" s="200"/>
    </row>
    <row r="273" spans="1:18" ht="24">
      <c r="A273" s="191">
        <v>4110</v>
      </c>
      <c r="B273" s="198" t="s">
        <v>352</v>
      </c>
      <c r="C273" s="128">
        <v>184600</v>
      </c>
      <c r="D273" s="104">
        <f t="shared" si="26"/>
        <v>184600</v>
      </c>
      <c r="E273" s="129">
        <f t="shared" si="32"/>
        <v>43020</v>
      </c>
      <c r="F273" s="105">
        <f t="shared" si="33"/>
        <v>23.304442036836402</v>
      </c>
      <c r="G273" s="128"/>
      <c r="H273" s="129"/>
      <c r="I273" s="194"/>
      <c r="J273" s="193"/>
      <c r="K273" s="129"/>
      <c r="L273" s="110"/>
      <c r="M273" s="247">
        <v>184600</v>
      </c>
      <c r="N273" s="129">
        <v>43020</v>
      </c>
      <c r="O273" s="256">
        <f t="shared" si="31"/>
        <v>23.304442036836402</v>
      </c>
      <c r="P273" s="128"/>
      <c r="Q273" s="129"/>
      <c r="R273" s="200"/>
    </row>
    <row r="274" spans="1:18" ht="16.5" customHeight="1">
      <c r="A274" s="191">
        <v>4120</v>
      </c>
      <c r="B274" s="198" t="s">
        <v>504</v>
      </c>
      <c r="C274" s="128">
        <v>26300</v>
      </c>
      <c r="D274" s="104">
        <f t="shared" si="26"/>
        <v>26300</v>
      </c>
      <c r="E274" s="129">
        <f t="shared" si="32"/>
        <v>6069</v>
      </c>
      <c r="F274" s="105">
        <f t="shared" si="33"/>
        <v>23.076045627376427</v>
      </c>
      <c r="G274" s="128"/>
      <c r="H274" s="129"/>
      <c r="I274" s="194"/>
      <c r="J274" s="193"/>
      <c r="K274" s="129"/>
      <c r="L274" s="110"/>
      <c r="M274" s="247">
        <v>26300</v>
      </c>
      <c r="N274" s="129">
        <v>6069</v>
      </c>
      <c r="O274" s="256">
        <f t="shared" si="31"/>
        <v>23.076045627376427</v>
      </c>
      <c r="P274" s="128"/>
      <c r="Q274" s="129"/>
      <c r="R274" s="200"/>
    </row>
    <row r="275" spans="1:18" ht="24">
      <c r="A275" s="191">
        <v>4210</v>
      </c>
      <c r="B275" s="198" t="s">
        <v>356</v>
      </c>
      <c r="C275" s="128">
        <v>93800</v>
      </c>
      <c r="D275" s="104">
        <f t="shared" si="26"/>
        <v>93800</v>
      </c>
      <c r="E275" s="129">
        <f t="shared" si="32"/>
        <v>25198</v>
      </c>
      <c r="F275" s="105">
        <f t="shared" si="33"/>
        <v>26.863539445628998</v>
      </c>
      <c r="G275" s="128"/>
      <c r="H275" s="129"/>
      <c r="I275" s="194"/>
      <c r="J275" s="193"/>
      <c r="K275" s="129"/>
      <c r="L275" s="110"/>
      <c r="M275" s="247">
        <v>93800</v>
      </c>
      <c r="N275" s="129">
        <v>25198</v>
      </c>
      <c r="O275" s="256">
        <f t="shared" si="31"/>
        <v>26.863539445628998</v>
      </c>
      <c r="P275" s="128"/>
      <c r="Q275" s="129"/>
      <c r="R275" s="200"/>
    </row>
    <row r="276" spans="1:18" ht="24" customHeight="1">
      <c r="A276" s="191">
        <v>4210</v>
      </c>
      <c r="B276" s="198" t="s">
        <v>525</v>
      </c>
      <c r="C276" s="128">
        <v>100000</v>
      </c>
      <c r="D276" s="104">
        <f t="shared" si="26"/>
        <v>100000</v>
      </c>
      <c r="E276" s="129">
        <f t="shared" si="32"/>
        <v>12011</v>
      </c>
      <c r="F276" s="105">
        <f t="shared" si="33"/>
        <v>12.011</v>
      </c>
      <c r="G276" s="128"/>
      <c r="H276" s="129"/>
      <c r="I276" s="194"/>
      <c r="J276" s="193"/>
      <c r="K276" s="129"/>
      <c r="L276" s="110"/>
      <c r="M276" s="247">
        <v>100000</v>
      </c>
      <c r="N276" s="129">
        <v>12011</v>
      </c>
      <c r="O276" s="108">
        <f t="shared" si="31"/>
        <v>12.011</v>
      </c>
      <c r="P276" s="128"/>
      <c r="Q276" s="129"/>
      <c r="R276" s="200"/>
    </row>
    <row r="277" spans="1:18" ht="12.75">
      <c r="A277" s="191">
        <v>4260</v>
      </c>
      <c r="B277" s="198" t="s">
        <v>360</v>
      </c>
      <c r="C277" s="128">
        <v>12173</v>
      </c>
      <c r="D277" s="104">
        <f t="shared" si="26"/>
        <v>12173</v>
      </c>
      <c r="E277" s="129">
        <f t="shared" si="32"/>
        <v>3563</v>
      </c>
      <c r="F277" s="105">
        <f t="shared" si="33"/>
        <v>29.269695227142034</v>
      </c>
      <c r="G277" s="128"/>
      <c r="H277" s="129"/>
      <c r="I277" s="194"/>
      <c r="J277" s="193"/>
      <c r="K277" s="129"/>
      <c r="L277" s="110"/>
      <c r="M277" s="247">
        <v>12173</v>
      </c>
      <c r="N277" s="129">
        <v>3563</v>
      </c>
      <c r="O277" s="108">
        <f t="shared" si="31"/>
        <v>29.269695227142034</v>
      </c>
      <c r="P277" s="128"/>
      <c r="Q277" s="129"/>
      <c r="R277" s="200"/>
    </row>
    <row r="278" spans="1:18" ht="24">
      <c r="A278" s="191">
        <v>4300</v>
      </c>
      <c r="B278" s="198" t="s">
        <v>364</v>
      </c>
      <c r="C278" s="128">
        <v>220000</v>
      </c>
      <c r="D278" s="104">
        <f t="shared" si="26"/>
        <v>220000</v>
      </c>
      <c r="E278" s="129">
        <f>SUM(H278+K278+N278+Q278)</f>
        <v>52033</v>
      </c>
      <c r="F278" s="105">
        <f>E278/D278*100</f>
        <v>23.651363636363637</v>
      </c>
      <c r="G278" s="128"/>
      <c r="H278" s="129"/>
      <c r="I278" s="194"/>
      <c r="J278" s="193"/>
      <c r="K278" s="129"/>
      <c r="L278" s="110"/>
      <c r="M278" s="247">
        <v>220000</v>
      </c>
      <c r="N278" s="129">
        <v>52033</v>
      </c>
      <c r="O278" s="108">
        <f t="shared" si="31"/>
        <v>23.651363636363637</v>
      </c>
      <c r="P278" s="128"/>
      <c r="Q278" s="129"/>
      <c r="R278" s="200"/>
    </row>
    <row r="279" spans="1:18" ht="24">
      <c r="A279" s="191">
        <v>4300</v>
      </c>
      <c r="B279" s="198" t="s">
        <v>526</v>
      </c>
      <c r="C279" s="128">
        <v>1100000</v>
      </c>
      <c r="D279" s="104">
        <f aca="true" t="shared" si="34" ref="D279:D343">G279+J279+P279+M279</f>
        <v>1100000</v>
      </c>
      <c r="E279" s="129">
        <f t="shared" si="32"/>
        <v>169766</v>
      </c>
      <c r="F279" s="105">
        <f t="shared" si="33"/>
        <v>15.433272727272726</v>
      </c>
      <c r="G279" s="128"/>
      <c r="H279" s="129"/>
      <c r="I279" s="194"/>
      <c r="J279" s="193"/>
      <c r="K279" s="129"/>
      <c r="L279" s="110"/>
      <c r="M279" s="247">
        <v>1100000</v>
      </c>
      <c r="N279" s="129">
        <v>169766</v>
      </c>
      <c r="O279" s="108">
        <f t="shared" si="31"/>
        <v>15.433272727272726</v>
      </c>
      <c r="P279" s="128"/>
      <c r="Q279" s="129"/>
      <c r="R279" s="200"/>
    </row>
    <row r="280" spans="1:18" ht="48">
      <c r="A280" s="267">
        <v>4370</v>
      </c>
      <c r="B280" s="291" t="s">
        <v>462</v>
      </c>
      <c r="C280" s="128">
        <v>52000</v>
      </c>
      <c r="D280" s="104">
        <f t="shared" si="34"/>
        <v>52000</v>
      </c>
      <c r="E280" s="129">
        <f>SUM(H280+K280+N280+Q280)</f>
        <v>11018</v>
      </c>
      <c r="F280" s="105">
        <f>E280/D280*100</f>
        <v>21.18846153846154</v>
      </c>
      <c r="G280" s="128"/>
      <c r="H280" s="129"/>
      <c r="I280" s="194"/>
      <c r="J280" s="193"/>
      <c r="K280" s="129"/>
      <c r="L280" s="110"/>
      <c r="M280" s="337">
        <v>52000</v>
      </c>
      <c r="N280" s="129">
        <v>11018</v>
      </c>
      <c r="O280" s="108">
        <f t="shared" si="31"/>
        <v>21.18846153846154</v>
      </c>
      <c r="P280" s="128"/>
      <c r="Q280" s="129"/>
      <c r="R280" s="200"/>
    </row>
    <row r="281" spans="1:18" ht="36">
      <c r="A281" s="316">
        <v>4750</v>
      </c>
      <c r="B281" s="317" t="s">
        <v>467</v>
      </c>
      <c r="C281" s="229">
        <v>66000</v>
      </c>
      <c r="D281" s="230">
        <f t="shared" si="34"/>
        <v>66000</v>
      </c>
      <c r="E281" s="236">
        <f t="shared" si="32"/>
        <v>19519</v>
      </c>
      <c r="F281" s="168">
        <f t="shared" si="33"/>
        <v>29.574242424242424</v>
      </c>
      <c r="G281" s="229"/>
      <c r="H281" s="236"/>
      <c r="I281" s="237"/>
      <c r="J281" s="233"/>
      <c r="K281" s="236"/>
      <c r="L281" s="319"/>
      <c r="M281" s="236">
        <v>66000</v>
      </c>
      <c r="N281" s="236">
        <v>19519</v>
      </c>
      <c r="O281" s="170">
        <f t="shared" si="31"/>
        <v>29.574242424242424</v>
      </c>
      <c r="P281" s="229"/>
      <c r="Q281" s="236"/>
      <c r="R281" s="238"/>
    </row>
    <row r="282" spans="1:18" ht="12.75">
      <c r="A282" s="186">
        <v>75022</v>
      </c>
      <c r="B282" s="294" t="s">
        <v>527</v>
      </c>
      <c r="C282" s="188">
        <f>SUM(C284:C290)</f>
        <v>501000</v>
      </c>
      <c r="D282" s="137">
        <f t="shared" si="34"/>
        <v>501000</v>
      </c>
      <c r="E282" s="119">
        <f>H282+K282+Q282+N282</f>
        <v>113815</v>
      </c>
      <c r="F282" s="120">
        <f t="shared" si="33"/>
        <v>22.717564870259483</v>
      </c>
      <c r="G282" s="188">
        <f>SUM(G284:G290)</f>
        <v>501000</v>
      </c>
      <c r="H282" s="119">
        <f>SUM(H284:H290)</f>
        <v>113815</v>
      </c>
      <c r="I282" s="127">
        <f>H282/G282*100</f>
        <v>22.717564870259483</v>
      </c>
      <c r="J282" s="124"/>
      <c r="K282" s="119"/>
      <c r="L282" s="125"/>
      <c r="M282" s="119"/>
      <c r="N282" s="119"/>
      <c r="O282" s="127"/>
      <c r="P282" s="188"/>
      <c r="Q282" s="119"/>
      <c r="R282" s="283"/>
    </row>
    <row r="283" spans="1:18" s="254" customFormat="1" ht="10.5" customHeight="1">
      <c r="A283" s="298"/>
      <c r="B283" s="299" t="s">
        <v>528</v>
      </c>
      <c r="C283" s="300">
        <f>SUM(C284:C289)</f>
        <v>485000</v>
      </c>
      <c r="D283" s="301">
        <f t="shared" si="34"/>
        <v>485000</v>
      </c>
      <c r="E283" s="301">
        <f>H283+K283+Q283+N283</f>
        <v>112631</v>
      </c>
      <c r="F283" s="130">
        <f t="shared" si="33"/>
        <v>23.222886597938146</v>
      </c>
      <c r="G283" s="300">
        <f>SUM(G284:G289)</f>
        <v>485000</v>
      </c>
      <c r="H283" s="301">
        <f>SUM(H284:H289)</f>
        <v>112631</v>
      </c>
      <c r="I283" s="113">
        <f>H283/G283*100</f>
        <v>23.222886597938146</v>
      </c>
      <c r="J283" s="302"/>
      <c r="K283" s="301"/>
      <c r="L283" s="289"/>
      <c r="M283" s="301"/>
      <c r="N283" s="301"/>
      <c r="O283" s="110"/>
      <c r="P283" s="300"/>
      <c r="Q283" s="301"/>
      <c r="R283" s="262"/>
    </row>
    <row r="284" spans="1:18" ht="21.75" customHeight="1">
      <c r="A284" s="191">
        <v>3030</v>
      </c>
      <c r="B284" s="198" t="s">
        <v>344</v>
      </c>
      <c r="C284" s="128">
        <v>453000</v>
      </c>
      <c r="D284" s="104">
        <f t="shared" si="34"/>
        <v>453000</v>
      </c>
      <c r="E284" s="129">
        <f aca="true" t="shared" si="35" ref="E284:E289">SUM(H284+K284+N284+Q284)</f>
        <v>110070</v>
      </c>
      <c r="F284" s="105">
        <f t="shared" si="33"/>
        <v>24.29801324503311</v>
      </c>
      <c r="G284" s="128">
        <v>453000</v>
      </c>
      <c r="H284" s="129">
        <v>110070</v>
      </c>
      <c r="I284" s="108">
        <f aca="true" t="shared" si="36" ref="I284:I347">H284/G284*100</f>
        <v>24.29801324503311</v>
      </c>
      <c r="J284" s="193"/>
      <c r="K284" s="129"/>
      <c r="L284" s="110"/>
      <c r="M284" s="129"/>
      <c r="N284" s="129"/>
      <c r="O284" s="194"/>
      <c r="P284" s="128"/>
      <c r="Q284" s="129"/>
      <c r="R284" s="200"/>
    </row>
    <row r="285" spans="1:18" ht="48" hidden="1">
      <c r="A285" s="191">
        <v>3040</v>
      </c>
      <c r="B285" s="198" t="s">
        <v>529</v>
      </c>
      <c r="C285" s="128"/>
      <c r="D285" s="104">
        <f t="shared" si="34"/>
        <v>0</v>
      </c>
      <c r="E285" s="129">
        <f t="shared" si="35"/>
        <v>0</v>
      </c>
      <c r="F285" s="105" t="e">
        <f t="shared" si="33"/>
        <v>#DIV/0!</v>
      </c>
      <c r="G285" s="128"/>
      <c r="H285" s="129"/>
      <c r="I285" s="108" t="e">
        <f t="shared" si="36"/>
        <v>#DIV/0!</v>
      </c>
      <c r="J285" s="193"/>
      <c r="K285" s="129"/>
      <c r="L285" s="110"/>
      <c r="M285" s="129"/>
      <c r="N285" s="129"/>
      <c r="O285" s="194"/>
      <c r="P285" s="128"/>
      <c r="Q285" s="129"/>
      <c r="R285" s="200"/>
    </row>
    <row r="286" spans="1:18" ht="24.75" customHeight="1">
      <c r="A286" s="191">
        <v>4210</v>
      </c>
      <c r="B286" s="198" t="s">
        <v>356</v>
      </c>
      <c r="C286" s="128">
        <v>11000</v>
      </c>
      <c r="D286" s="104">
        <f t="shared" si="34"/>
        <v>11000</v>
      </c>
      <c r="E286" s="129">
        <f t="shared" si="35"/>
        <v>1399</v>
      </c>
      <c r="F286" s="105">
        <f t="shared" si="33"/>
        <v>12.718181818181817</v>
      </c>
      <c r="G286" s="128">
        <v>11000</v>
      </c>
      <c r="H286" s="129">
        <v>1399</v>
      </c>
      <c r="I286" s="108">
        <f t="shared" si="36"/>
        <v>12.718181818181817</v>
      </c>
      <c r="J286" s="193"/>
      <c r="K286" s="129"/>
      <c r="L286" s="110"/>
      <c r="M286" s="129"/>
      <c r="N286" s="129"/>
      <c r="O286" s="194"/>
      <c r="P286" s="128"/>
      <c r="Q286" s="129"/>
      <c r="R286" s="200"/>
    </row>
    <row r="287" spans="1:18" ht="15.75" customHeight="1">
      <c r="A287" s="191">
        <v>4300</v>
      </c>
      <c r="B287" s="198" t="s">
        <v>364</v>
      </c>
      <c r="C287" s="128">
        <v>10000</v>
      </c>
      <c r="D287" s="104">
        <f t="shared" si="34"/>
        <v>10000</v>
      </c>
      <c r="E287" s="129">
        <f t="shared" si="35"/>
        <v>1121</v>
      </c>
      <c r="F287" s="105">
        <f t="shared" si="33"/>
        <v>11.21</v>
      </c>
      <c r="G287" s="128">
        <v>10000</v>
      </c>
      <c r="H287" s="129">
        <v>1121</v>
      </c>
      <c r="I287" s="108">
        <f t="shared" si="36"/>
        <v>11.21</v>
      </c>
      <c r="J287" s="193"/>
      <c r="K287" s="129"/>
      <c r="L287" s="110"/>
      <c r="M287" s="129"/>
      <c r="N287" s="129"/>
      <c r="O287" s="194"/>
      <c r="P287" s="128"/>
      <c r="Q287" s="129"/>
      <c r="R287" s="200"/>
    </row>
    <row r="288" spans="1:18" ht="24">
      <c r="A288" s="191">
        <v>4410</v>
      </c>
      <c r="B288" s="198" t="s">
        <v>338</v>
      </c>
      <c r="C288" s="128">
        <v>7000</v>
      </c>
      <c r="D288" s="104">
        <f t="shared" si="34"/>
        <v>7000</v>
      </c>
      <c r="E288" s="129">
        <f t="shared" si="35"/>
        <v>41</v>
      </c>
      <c r="F288" s="105">
        <f t="shared" si="33"/>
        <v>0.5857142857142856</v>
      </c>
      <c r="G288" s="128">
        <v>7000</v>
      </c>
      <c r="H288" s="129">
        <v>41</v>
      </c>
      <c r="I288" s="108">
        <f t="shared" si="36"/>
        <v>0.5857142857142856</v>
      </c>
      <c r="J288" s="193"/>
      <c r="K288" s="129"/>
      <c r="L288" s="110"/>
      <c r="M288" s="129"/>
      <c r="N288" s="129"/>
      <c r="O288" s="194"/>
      <c r="P288" s="128"/>
      <c r="Q288" s="129"/>
      <c r="R288" s="200"/>
    </row>
    <row r="289" spans="1:18" ht="21.75" customHeight="1">
      <c r="A289" s="191">
        <v>4420</v>
      </c>
      <c r="B289" s="198" t="s">
        <v>477</v>
      </c>
      <c r="C289" s="128">
        <v>4000</v>
      </c>
      <c r="D289" s="104">
        <f t="shared" si="34"/>
        <v>4000</v>
      </c>
      <c r="E289" s="129">
        <f t="shared" si="35"/>
        <v>0</v>
      </c>
      <c r="F289" s="105">
        <f t="shared" si="33"/>
        <v>0</v>
      </c>
      <c r="G289" s="128">
        <v>4000</v>
      </c>
      <c r="H289" s="129"/>
      <c r="I289" s="108">
        <f t="shared" si="36"/>
        <v>0</v>
      </c>
      <c r="J289" s="193"/>
      <c r="K289" s="129"/>
      <c r="L289" s="110"/>
      <c r="M289" s="129"/>
      <c r="N289" s="129"/>
      <c r="O289" s="194"/>
      <c r="P289" s="128"/>
      <c r="Q289" s="129"/>
      <c r="R289" s="200"/>
    </row>
    <row r="290" spans="1:18" s="254" customFormat="1" ht="16.5" customHeight="1">
      <c r="A290" s="298"/>
      <c r="B290" s="299" t="s">
        <v>530</v>
      </c>
      <c r="C290" s="300">
        <f>SUM(C292:C295)</f>
        <v>16000</v>
      </c>
      <c r="D290" s="301">
        <f t="shared" si="34"/>
        <v>16000</v>
      </c>
      <c r="E290" s="301">
        <f>H290+K290+Q290+N290</f>
        <v>1184</v>
      </c>
      <c r="F290" s="105">
        <f t="shared" si="33"/>
        <v>7.3999999999999995</v>
      </c>
      <c r="G290" s="300">
        <f>SUM(G291:G295)</f>
        <v>16000</v>
      </c>
      <c r="H290" s="301">
        <f>SUM(H291:H295)</f>
        <v>1184</v>
      </c>
      <c r="I290" s="108">
        <f t="shared" si="36"/>
        <v>7.3999999999999995</v>
      </c>
      <c r="J290" s="302"/>
      <c r="K290" s="302"/>
      <c r="L290" s="289"/>
      <c r="M290" s="301"/>
      <c r="N290" s="301"/>
      <c r="O290" s="110"/>
      <c r="P290" s="300"/>
      <c r="Q290" s="301"/>
      <c r="R290" s="262"/>
    </row>
    <row r="291" spans="1:18" s="269" customFormat="1" ht="48" hidden="1">
      <c r="A291" s="267">
        <v>3040</v>
      </c>
      <c r="B291" s="305" t="s">
        <v>529</v>
      </c>
      <c r="C291" s="160"/>
      <c r="D291" s="104">
        <f t="shared" si="34"/>
        <v>0</v>
      </c>
      <c r="E291" s="129">
        <f>SUM(H291+K291+N291+Q291)</f>
        <v>0</v>
      </c>
      <c r="F291" s="105" t="e">
        <f t="shared" si="33"/>
        <v>#DIV/0!</v>
      </c>
      <c r="G291" s="160"/>
      <c r="H291" s="104"/>
      <c r="I291" s="108" t="e">
        <f t="shared" si="36"/>
        <v>#DIV/0!</v>
      </c>
      <c r="J291" s="109"/>
      <c r="K291" s="109"/>
      <c r="L291" s="110"/>
      <c r="M291" s="104"/>
      <c r="N291" s="104"/>
      <c r="O291" s="194"/>
      <c r="P291" s="160"/>
      <c r="Q291" s="104"/>
      <c r="R291" s="200"/>
    </row>
    <row r="292" spans="1:18" ht="23.25" customHeight="1">
      <c r="A292" s="191">
        <v>4210</v>
      </c>
      <c r="B292" s="198" t="s">
        <v>356</v>
      </c>
      <c r="C292" s="128">
        <v>10000</v>
      </c>
      <c r="D292" s="104">
        <f t="shared" si="34"/>
        <v>9878</v>
      </c>
      <c r="E292" s="129">
        <f>SUM(H292+K292+N292+Q292)</f>
        <v>0</v>
      </c>
      <c r="F292" s="105">
        <f t="shared" si="33"/>
        <v>0</v>
      </c>
      <c r="G292" s="128">
        <f>10000-122</f>
        <v>9878</v>
      </c>
      <c r="H292" s="129"/>
      <c r="I292" s="108">
        <f t="shared" si="36"/>
        <v>0</v>
      </c>
      <c r="J292" s="193"/>
      <c r="K292" s="129"/>
      <c r="L292" s="110"/>
      <c r="M292" s="129"/>
      <c r="N292" s="129"/>
      <c r="O292" s="194"/>
      <c r="P292" s="128"/>
      <c r="Q292" s="129"/>
      <c r="R292" s="200"/>
    </row>
    <row r="293" spans="1:18" ht="12.75" customHeight="1">
      <c r="A293" s="191">
        <v>4300</v>
      </c>
      <c r="B293" s="198" t="s">
        <v>364</v>
      </c>
      <c r="C293" s="128">
        <v>4900</v>
      </c>
      <c r="D293" s="104">
        <f t="shared" si="34"/>
        <v>4900</v>
      </c>
      <c r="E293" s="129">
        <f>SUM(H293+K293+N293+Q293)</f>
        <v>84</v>
      </c>
      <c r="F293" s="105">
        <f t="shared" si="33"/>
        <v>1.7142857142857144</v>
      </c>
      <c r="G293" s="128">
        <v>4900</v>
      </c>
      <c r="H293" s="129">
        <v>84</v>
      </c>
      <c r="I293" s="108">
        <f t="shared" si="36"/>
        <v>1.7142857142857144</v>
      </c>
      <c r="J293" s="193"/>
      <c r="K293" s="129"/>
      <c r="L293" s="110"/>
      <c r="M293" s="129"/>
      <c r="N293" s="129"/>
      <c r="O293" s="194"/>
      <c r="P293" s="128"/>
      <c r="Q293" s="129"/>
      <c r="R293" s="200"/>
    </row>
    <row r="294" spans="1:18" ht="15" customHeight="1" hidden="1">
      <c r="A294" s="191">
        <v>4410</v>
      </c>
      <c r="B294" s="198" t="s">
        <v>514</v>
      </c>
      <c r="C294" s="128"/>
      <c r="D294" s="104">
        <f t="shared" si="34"/>
        <v>0</v>
      </c>
      <c r="E294" s="129">
        <f>SUM(H294+K294+N294+Q294)</f>
        <v>0</v>
      </c>
      <c r="F294" s="105" t="e">
        <f t="shared" si="33"/>
        <v>#DIV/0!</v>
      </c>
      <c r="G294" s="128"/>
      <c r="H294" s="129"/>
      <c r="I294" s="108" t="e">
        <f t="shared" si="36"/>
        <v>#DIV/0!</v>
      </c>
      <c r="J294" s="193"/>
      <c r="K294" s="129"/>
      <c r="L294" s="110"/>
      <c r="M294" s="129"/>
      <c r="N294" s="129"/>
      <c r="O294" s="194"/>
      <c r="P294" s="128"/>
      <c r="Q294" s="129"/>
      <c r="R294" s="200"/>
    </row>
    <row r="295" spans="1:18" ht="15" customHeight="1">
      <c r="A295" s="227">
        <v>4430</v>
      </c>
      <c r="B295" s="228" t="s">
        <v>366</v>
      </c>
      <c r="C295" s="229">
        <v>1100</v>
      </c>
      <c r="D295" s="230">
        <f t="shared" si="34"/>
        <v>1222</v>
      </c>
      <c r="E295" s="236">
        <f>SUM(H295+K295+N295+Q295)</f>
        <v>1100</v>
      </c>
      <c r="F295" s="168">
        <f t="shared" si="33"/>
        <v>90.0163666121113</v>
      </c>
      <c r="G295" s="229">
        <f>1100+122</f>
        <v>1222</v>
      </c>
      <c r="H295" s="349">
        <v>1100</v>
      </c>
      <c r="I295" s="232">
        <f t="shared" si="36"/>
        <v>90.0163666121113</v>
      </c>
      <c r="J295" s="350"/>
      <c r="K295" s="236"/>
      <c r="L295" s="319"/>
      <c r="M295" s="349"/>
      <c r="N295" s="349"/>
      <c r="O295" s="351"/>
      <c r="P295" s="352"/>
      <c r="Q295" s="349"/>
      <c r="R295" s="353"/>
    </row>
    <row r="296" spans="1:18" ht="12.75">
      <c r="A296" s="186">
        <v>75023</v>
      </c>
      <c r="B296" s="354" t="s">
        <v>531</v>
      </c>
      <c r="C296" s="188">
        <f>SUM(C303:C357)-SUM(C329:C335)+C297-SUM(C317:C321)-SUM(C325:C326)</f>
        <v>21188650</v>
      </c>
      <c r="D296" s="137">
        <f t="shared" si="34"/>
        <v>21578150</v>
      </c>
      <c r="E296" s="119">
        <f>H296+K296+Q296+N296</f>
        <v>4918520</v>
      </c>
      <c r="F296" s="120">
        <f t="shared" si="33"/>
        <v>22.79398372891096</v>
      </c>
      <c r="G296" s="188">
        <f>SUM(G303:G357)-SUM(G329:G335)+G297-SUM(G317:G321)-SUM(G325:G326)</f>
        <v>21578150</v>
      </c>
      <c r="H296" s="119">
        <f>SUM(H303:H357)-SUM(H329:H335)+H297-SUM(H317:H321)-SUM(H325:H326)</f>
        <v>4918520</v>
      </c>
      <c r="I296" s="127">
        <f t="shared" si="36"/>
        <v>22.79398372891096</v>
      </c>
      <c r="J296" s="124"/>
      <c r="K296" s="119"/>
      <c r="L296" s="125"/>
      <c r="M296" s="119"/>
      <c r="N296" s="119"/>
      <c r="O296" s="190"/>
      <c r="P296" s="188"/>
      <c r="Q296" s="119"/>
      <c r="R296" s="283"/>
    </row>
    <row r="297" spans="1:18" s="269" customFormat="1" ht="27" customHeight="1">
      <c r="A297" s="267">
        <v>3020</v>
      </c>
      <c r="B297" s="305" t="s">
        <v>453</v>
      </c>
      <c r="C297" s="148">
        <f>SUM(C298:C302)</f>
        <v>151700</v>
      </c>
      <c r="D297" s="104">
        <f t="shared" si="34"/>
        <v>151700</v>
      </c>
      <c r="E297" s="104">
        <f aca="true" t="shared" si="37" ref="E297:E327">SUM(H297+K297+N297+Q297)</f>
        <v>62544</v>
      </c>
      <c r="F297" s="105">
        <f t="shared" si="33"/>
        <v>41.22874093605801</v>
      </c>
      <c r="G297" s="148">
        <f>SUM(G298:G302)</f>
        <v>151700</v>
      </c>
      <c r="H297" s="149">
        <f>SUM(H298:H302)</f>
        <v>62544</v>
      </c>
      <c r="I297" s="108">
        <f t="shared" si="36"/>
        <v>41.22874093605801</v>
      </c>
      <c r="J297" s="153"/>
      <c r="K297" s="149"/>
      <c r="L297" s="154"/>
      <c r="M297" s="149"/>
      <c r="N297" s="149"/>
      <c r="O297" s="225"/>
      <c r="P297" s="148"/>
      <c r="Q297" s="149"/>
      <c r="R297" s="226"/>
    </row>
    <row r="298" spans="1:18" s="254" customFormat="1" ht="24">
      <c r="A298" s="248"/>
      <c r="B298" s="249" t="s">
        <v>532</v>
      </c>
      <c r="C298" s="250">
        <v>10200</v>
      </c>
      <c r="D298" s="251">
        <f t="shared" si="34"/>
        <v>10200</v>
      </c>
      <c r="E298" s="251">
        <f t="shared" si="37"/>
        <v>2479</v>
      </c>
      <c r="F298" s="105">
        <f t="shared" si="33"/>
        <v>24.30392156862745</v>
      </c>
      <c r="G298" s="250">
        <v>10200</v>
      </c>
      <c r="H298" s="251">
        <v>2479</v>
      </c>
      <c r="I298" s="108">
        <f t="shared" si="36"/>
        <v>24.30392156862745</v>
      </c>
      <c r="J298" s="252"/>
      <c r="K298" s="251"/>
      <c r="L298" s="110"/>
      <c r="M298" s="251"/>
      <c r="N298" s="251"/>
      <c r="O298" s="110"/>
      <c r="P298" s="250"/>
      <c r="Q298" s="251"/>
      <c r="R298" s="262"/>
    </row>
    <row r="299" spans="1:18" s="254" customFormat="1" ht="12.75">
      <c r="A299" s="248"/>
      <c r="B299" s="249" t="s">
        <v>533</v>
      </c>
      <c r="C299" s="250">
        <v>68500</v>
      </c>
      <c r="D299" s="251">
        <f t="shared" si="34"/>
        <v>68500</v>
      </c>
      <c r="E299" s="251">
        <f t="shared" si="37"/>
        <v>51027</v>
      </c>
      <c r="F299" s="105">
        <f t="shared" si="33"/>
        <v>74.49197080291971</v>
      </c>
      <c r="G299" s="250">
        <v>68500</v>
      </c>
      <c r="H299" s="251">
        <v>51027</v>
      </c>
      <c r="I299" s="108">
        <f t="shared" si="36"/>
        <v>74.49197080291971</v>
      </c>
      <c r="J299" s="252"/>
      <c r="K299" s="251"/>
      <c r="L299" s="110"/>
      <c r="M299" s="251"/>
      <c r="N299" s="251"/>
      <c r="O299" s="110"/>
      <c r="P299" s="250"/>
      <c r="Q299" s="251"/>
      <c r="R299" s="262"/>
    </row>
    <row r="300" spans="1:18" s="254" customFormat="1" ht="12.75">
      <c r="A300" s="248"/>
      <c r="B300" s="249" t="s">
        <v>534</v>
      </c>
      <c r="C300" s="250">
        <v>60000</v>
      </c>
      <c r="D300" s="251">
        <f t="shared" si="34"/>
        <v>60000</v>
      </c>
      <c r="E300" s="251">
        <f t="shared" si="37"/>
        <v>8306</v>
      </c>
      <c r="F300" s="105">
        <f t="shared" si="33"/>
        <v>13.843333333333332</v>
      </c>
      <c r="G300" s="250">
        <v>60000</v>
      </c>
      <c r="H300" s="251">
        <v>8306</v>
      </c>
      <c r="I300" s="108">
        <f t="shared" si="36"/>
        <v>13.843333333333332</v>
      </c>
      <c r="J300" s="252"/>
      <c r="K300" s="251"/>
      <c r="L300" s="110"/>
      <c r="M300" s="251"/>
      <c r="N300" s="251"/>
      <c r="O300" s="110"/>
      <c r="P300" s="250"/>
      <c r="Q300" s="251"/>
      <c r="R300" s="262"/>
    </row>
    <row r="301" spans="1:18" s="254" customFormat="1" ht="12.75" hidden="1">
      <c r="A301" s="248"/>
      <c r="B301" s="249" t="s">
        <v>535</v>
      </c>
      <c r="C301" s="250"/>
      <c r="D301" s="251">
        <f t="shared" si="34"/>
        <v>0</v>
      </c>
      <c r="E301" s="251">
        <f>SUM(H301+K301+N301+Q301)</f>
        <v>0</v>
      </c>
      <c r="F301" s="105" t="e">
        <f>E301/D301*100</f>
        <v>#DIV/0!</v>
      </c>
      <c r="G301" s="250"/>
      <c r="H301" s="251"/>
      <c r="I301" s="108" t="e">
        <f t="shared" si="36"/>
        <v>#DIV/0!</v>
      </c>
      <c r="J301" s="252"/>
      <c r="K301" s="251"/>
      <c r="L301" s="110"/>
      <c r="M301" s="251"/>
      <c r="N301" s="251"/>
      <c r="O301" s="110"/>
      <c r="P301" s="250"/>
      <c r="Q301" s="251"/>
      <c r="R301" s="262"/>
    </row>
    <row r="302" spans="1:18" s="254" customFormat="1" ht="12.75">
      <c r="A302" s="248"/>
      <c r="B302" s="249" t="s">
        <v>536</v>
      </c>
      <c r="C302" s="250">
        <v>13000</v>
      </c>
      <c r="D302" s="251">
        <f t="shared" si="34"/>
        <v>13000</v>
      </c>
      <c r="E302" s="251">
        <f t="shared" si="37"/>
        <v>732</v>
      </c>
      <c r="F302" s="105">
        <f t="shared" si="33"/>
        <v>5.630769230769231</v>
      </c>
      <c r="G302" s="250">
        <v>13000</v>
      </c>
      <c r="H302" s="251">
        <v>732</v>
      </c>
      <c r="I302" s="108">
        <f t="shared" si="36"/>
        <v>5.630769230769231</v>
      </c>
      <c r="J302" s="252"/>
      <c r="K302" s="251"/>
      <c r="L302" s="110"/>
      <c r="M302" s="251"/>
      <c r="N302" s="251"/>
      <c r="O302" s="110"/>
      <c r="P302" s="250"/>
      <c r="Q302" s="251"/>
      <c r="R302" s="262"/>
    </row>
    <row r="303" spans="1:18" ht="24">
      <c r="A303" s="191">
        <v>3030</v>
      </c>
      <c r="B303" s="198" t="s">
        <v>537</v>
      </c>
      <c r="C303" s="128">
        <v>2000</v>
      </c>
      <c r="D303" s="104">
        <f t="shared" si="34"/>
        <v>2000</v>
      </c>
      <c r="E303" s="129">
        <f t="shared" si="37"/>
        <v>0</v>
      </c>
      <c r="F303" s="105">
        <f t="shared" si="33"/>
        <v>0</v>
      </c>
      <c r="G303" s="128">
        <v>2000</v>
      </c>
      <c r="H303" s="129"/>
      <c r="I303" s="108">
        <f t="shared" si="36"/>
        <v>0</v>
      </c>
      <c r="J303" s="193"/>
      <c r="K303" s="129"/>
      <c r="L303" s="110"/>
      <c r="M303" s="129"/>
      <c r="N303" s="129"/>
      <c r="O303" s="194"/>
      <c r="P303" s="128"/>
      <c r="Q303" s="129"/>
      <c r="R303" s="200"/>
    </row>
    <row r="304" spans="1:18" ht="48">
      <c r="A304" s="191">
        <v>3040</v>
      </c>
      <c r="B304" s="198" t="s">
        <v>538</v>
      </c>
      <c r="C304" s="128">
        <v>7000</v>
      </c>
      <c r="D304" s="104">
        <f>G304+J304+P304+M304</f>
        <v>7000</v>
      </c>
      <c r="E304" s="129">
        <f>SUM(H304+K304+N304+Q304)</f>
        <v>1000</v>
      </c>
      <c r="F304" s="105">
        <f>E304/D304*100</f>
        <v>14.285714285714285</v>
      </c>
      <c r="G304" s="128">
        <v>7000</v>
      </c>
      <c r="H304" s="129">
        <v>1000</v>
      </c>
      <c r="I304" s="108">
        <f t="shared" si="36"/>
        <v>14.285714285714285</v>
      </c>
      <c r="J304" s="193"/>
      <c r="K304" s="129"/>
      <c r="L304" s="110"/>
      <c r="M304" s="129"/>
      <c r="N304" s="129"/>
      <c r="O304" s="194"/>
      <c r="P304" s="128"/>
      <c r="Q304" s="129"/>
      <c r="R304" s="200"/>
    </row>
    <row r="305" spans="1:18" ht="24">
      <c r="A305" s="191">
        <v>4010</v>
      </c>
      <c r="B305" s="198" t="s">
        <v>346</v>
      </c>
      <c r="C305" s="128">
        <v>11983800</v>
      </c>
      <c r="D305" s="104">
        <f t="shared" si="34"/>
        <v>12143800</v>
      </c>
      <c r="E305" s="129">
        <f t="shared" si="37"/>
        <v>2479042</v>
      </c>
      <c r="F305" s="105">
        <f t="shared" si="33"/>
        <v>20.414054908677677</v>
      </c>
      <c r="G305" s="128">
        <f>11983800+160000</f>
        <v>12143800</v>
      </c>
      <c r="H305" s="129">
        <v>2479042</v>
      </c>
      <c r="I305" s="108">
        <f t="shared" si="36"/>
        <v>20.414054908677677</v>
      </c>
      <c r="J305" s="193"/>
      <c r="K305" s="129"/>
      <c r="L305" s="110"/>
      <c r="M305" s="129"/>
      <c r="N305" s="129"/>
      <c r="O305" s="194"/>
      <c r="P305" s="128"/>
      <c r="Q305" s="129"/>
      <c r="R305" s="200"/>
    </row>
    <row r="306" spans="1:18" ht="24">
      <c r="A306" s="290">
        <v>4040</v>
      </c>
      <c r="B306" s="198" t="s">
        <v>454</v>
      </c>
      <c r="C306" s="128">
        <v>931100</v>
      </c>
      <c r="D306" s="104">
        <f t="shared" si="34"/>
        <v>931100</v>
      </c>
      <c r="E306" s="129">
        <f t="shared" si="37"/>
        <v>836471</v>
      </c>
      <c r="F306" s="105">
        <f t="shared" si="33"/>
        <v>89.83685962839651</v>
      </c>
      <c r="G306" s="128">
        <v>931100</v>
      </c>
      <c r="H306" s="129">
        <v>836471</v>
      </c>
      <c r="I306" s="108">
        <f t="shared" si="36"/>
        <v>89.83685962839651</v>
      </c>
      <c r="J306" s="193"/>
      <c r="K306" s="129"/>
      <c r="L306" s="110"/>
      <c r="M306" s="129"/>
      <c r="N306" s="129"/>
      <c r="O306" s="194"/>
      <c r="P306" s="128"/>
      <c r="Q306" s="129"/>
      <c r="R306" s="200"/>
    </row>
    <row r="307" spans="1:18" ht="24" hidden="1">
      <c r="A307" s="290">
        <v>4100</v>
      </c>
      <c r="B307" s="198" t="s">
        <v>539</v>
      </c>
      <c r="C307" s="128"/>
      <c r="D307" s="104">
        <f t="shared" si="34"/>
        <v>0</v>
      </c>
      <c r="E307" s="129">
        <f t="shared" si="37"/>
        <v>0</v>
      </c>
      <c r="F307" s="105" t="e">
        <f t="shared" si="33"/>
        <v>#DIV/0!</v>
      </c>
      <c r="G307" s="128"/>
      <c r="H307" s="129"/>
      <c r="I307" s="108" t="e">
        <f t="shared" si="36"/>
        <v>#DIV/0!</v>
      </c>
      <c r="J307" s="193"/>
      <c r="K307" s="129"/>
      <c r="L307" s="110"/>
      <c r="M307" s="129"/>
      <c r="N307" s="129"/>
      <c r="O307" s="194"/>
      <c r="P307" s="128"/>
      <c r="Q307" s="129"/>
      <c r="R307" s="200"/>
    </row>
    <row r="308" spans="1:18" ht="36" hidden="1">
      <c r="A308" s="290">
        <v>4100</v>
      </c>
      <c r="B308" s="198" t="s">
        <v>540</v>
      </c>
      <c r="C308" s="128"/>
      <c r="D308" s="104">
        <f t="shared" si="34"/>
        <v>0</v>
      </c>
      <c r="E308" s="129">
        <f t="shared" si="37"/>
        <v>0</v>
      </c>
      <c r="F308" s="105"/>
      <c r="G308" s="128"/>
      <c r="H308" s="129"/>
      <c r="I308" s="108"/>
      <c r="J308" s="193"/>
      <c r="K308" s="129"/>
      <c r="L308" s="110"/>
      <c r="M308" s="129"/>
      <c r="N308" s="129"/>
      <c r="O308" s="194"/>
      <c r="P308" s="128"/>
      <c r="Q308" s="129"/>
      <c r="R308" s="200"/>
    </row>
    <row r="309" spans="1:18" ht="24">
      <c r="A309" s="191">
        <v>4110</v>
      </c>
      <c r="B309" s="198" t="s">
        <v>541</v>
      </c>
      <c r="C309" s="128">
        <v>2209250</v>
      </c>
      <c r="D309" s="104">
        <f t="shared" si="34"/>
        <v>2222550</v>
      </c>
      <c r="E309" s="129">
        <f t="shared" si="37"/>
        <v>399481</v>
      </c>
      <c r="F309" s="105">
        <f aca="true" t="shared" si="38" ref="F309:F328">E309/D309*100</f>
        <v>17.9739938359092</v>
      </c>
      <c r="G309" s="128">
        <f>2209250+25500-12200</f>
        <v>2222550</v>
      </c>
      <c r="H309" s="129">
        <v>399481</v>
      </c>
      <c r="I309" s="108">
        <f t="shared" si="36"/>
        <v>17.9739938359092</v>
      </c>
      <c r="J309" s="193"/>
      <c r="K309" s="129"/>
      <c r="L309" s="110"/>
      <c r="M309" s="129"/>
      <c r="N309" s="129"/>
      <c r="O309" s="194"/>
      <c r="P309" s="128"/>
      <c r="Q309" s="129"/>
      <c r="R309" s="200"/>
    </row>
    <row r="310" spans="1:18" ht="24" hidden="1">
      <c r="A310" s="191">
        <v>4110</v>
      </c>
      <c r="B310" s="198" t="s">
        <v>542</v>
      </c>
      <c r="C310" s="128"/>
      <c r="D310" s="104">
        <f t="shared" si="34"/>
        <v>0</v>
      </c>
      <c r="E310" s="129">
        <f t="shared" si="37"/>
        <v>0</v>
      </c>
      <c r="F310" s="105" t="e">
        <f t="shared" si="38"/>
        <v>#DIV/0!</v>
      </c>
      <c r="G310" s="128"/>
      <c r="H310" s="129"/>
      <c r="I310" s="108" t="e">
        <f t="shared" si="36"/>
        <v>#DIV/0!</v>
      </c>
      <c r="J310" s="193"/>
      <c r="K310" s="129"/>
      <c r="L310" s="110"/>
      <c r="M310" s="129"/>
      <c r="N310" s="129"/>
      <c r="O310" s="194"/>
      <c r="P310" s="128"/>
      <c r="Q310" s="129"/>
      <c r="R310" s="200"/>
    </row>
    <row r="311" spans="1:18" ht="12.75">
      <c r="A311" s="191">
        <v>4120</v>
      </c>
      <c r="B311" s="198" t="s">
        <v>543</v>
      </c>
      <c r="C311" s="128">
        <v>320100</v>
      </c>
      <c r="D311" s="104">
        <f t="shared" si="34"/>
        <v>324100</v>
      </c>
      <c r="E311" s="129">
        <f t="shared" si="37"/>
        <v>63148</v>
      </c>
      <c r="F311" s="105">
        <f t="shared" si="38"/>
        <v>19.48410984264116</v>
      </c>
      <c r="G311" s="128">
        <f>320100+4000</f>
        <v>324100</v>
      </c>
      <c r="H311" s="129">
        <v>63148</v>
      </c>
      <c r="I311" s="108">
        <f t="shared" si="36"/>
        <v>19.48410984264116</v>
      </c>
      <c r="J311" s="193"/>
      <c r="K311" s="129"/>
      <c r="L311" s="110"/>
      <c r="M311" s="129"/>
      <c r="N311" s="129"/>
      <c r="O311" s="194"/>
      <c r="P311" s="128"/>
      <c r="Q311" s="129"/>
      <c r="R311" s="200"/>
    </row>
    <row r="312" spans="1:18" ht="12.75" hidden="1">
      <c r="A312" s="191">
        <v>4120</v>
      </c>
      <c r="B312" s="198" t="s">
        <v>544</v>
      </c>
      <c r="C312" s="128"/>
      <c r="D312" s="104">
        <f t="shared" si="34"/>
        <v>0</v>
      </c>
      <c r="E312" s="129">
        <f t="shared" si="37"/>
        <v>0</v>
      </c>
      <c r="F312" s="105" t="e">
        <f t="shared" si="38"/>
        <v>#DIV/0!</v>
      </c>
      <c r="G312" s="128"/>
      <c r="H312" s="129"/>
      <c r="I312" s="108" t="e">
        <f t="shared" si="36"/>
        <v>#DIV/0!</v>
      </c>
      <c r="J312" s="193"/>
      <c r="K312" s="129"/>
      <c r="L312" s="110"/>
      <c r="M312" s="129"/>
      <c r="N312" s="129"/>
      <c r="O312" s="194"/>
      <c r="P312" s="128"/>
      <c r="Q312" s="129"/>
      <c r="R312" s="200"/>
    </row>
    <row r="313" spans="1:18" ht="12.75">
      <c r="A313" s="191">
        <v>4140</v>
      </c>
      <c r="B313" s="198" t="s">
        <v>457</v>
      </c>
      <c r="C313" s="128">
        <v>150000</v>
      </c>
      <c r="D313" s="104">
        <f t="shared" si="34"/>
        <v>150000</v>
      </c>
      <c r="E313" s="129">
        <f t="shared" si="37"/>
        <v>36934</v>
      </c>
      <c r="F313" s="105">
        <f t="shared" si="38"/>
        <v>24.622666666666667</v>
      </c>
      <c r="G313" s="128">
        <v>150000</v>
      </c>
      <c r="H313" s="129">
        <v>36934</v>
      </c>
      <c r="I313" s="108">
        <f t="shared" si="36"/>
        <v>24.622666666666667</v>
      </c>
      <c r="J313" s="193"/>
      <c r="K313" s="129"/>
      <c r="L313" s="110"/>
      <c r="M313" s="129"/>
      <c r="N313" s="129"/>
      <c r="O313" s="194"/>
      <c r="P313" s="128"/>
      <c r="Q313" s="129"/>
      <c r="R313" s="200"/>
    </row>
    <row r="314" spans="1:18" ht="24">
      <c r="A314" s="191">
        <v>4170</v>
      </c>
      <c r="B314" s="198" t="s">
        <v>392</v>
      </c>
      <c r="C314" s="128">
        <v>150000</v>
      </c>
      <c r="D314" s="104">
        <f t="shared" si="34"/>
        <v>150000</v>
      </c>
      <c r="E314" s="129">
        <f t="shared" si="37"/>
        <v>20216</v>
      </c>
      <c r="F314" s="105">
        <f t="shared" si="38"/>
        <v>13.477333333333332</v>
      </c>
      <c r="G314" s="128">
        <v>150000</v>
      </c>
      <c r="H314" s="129">
        <v>20216</v>
      </c>
      <c r="I314" s="108">
        <f t="shared" si="36"/>
        <v>13.477333333333332</v>
      </c>
      <c r="J314" s="193"/>
      <c r="K314" s="129"/>
      <c r="L314" s="110"/>
      <c r="M314" s="129"/>
      <c r="N314" s="129"/>
      <c r="O314" s="194"/>
      <c r="P314" s="128"/>
      <c r="Q314" s="129"/>
      <c r="R314" s="200"/>
    </row>
    <row r="315" spans="1:18" ht="24" hidden="1">
      <c r="A315" s="191">
        <v>4170</v>
      </c>
      <c r="B315" s="198" t="s">
        <v>545</v>
      </c>
      <c r="C315" s="128"/>
      <c r="D315" s="104">
        <f t="shared" si="34"/>
        <v>0</v>
      </c>
      <c r="E315" s="129">
        <f t="shared" si="37"/>
        <v>0</v>
      </c>
      <c r="F315" s="105" t="e">
        <f t="shared" si="38"/>
        <v>#DIV/0!</v>
      </c>
      <c r="G315" s="128"/>
      <c r="H315" s="129"/>
      <c r="I315" s="108" t="e">
        <f t="shared" si="36"/>
        <v>#DIV/0!</v>
      </c>
      <c r="J315" s="193"/>
      <c r="K315" s="129"/>
      <c r="L315" s="110"/>
      <c r="M315" s="129"/>
      <c r="N315" s="129"/>
      <c r="O315" s="194"/>
      <c r="P315" s="128"/>
      <c r="Q315" s="129"/>
      <c r="R315" s="200"/>
    </row>
    <row r="316" spans="1:18" ht="24">
      <c r="A316" s="191">
        <v>4210</v>
      </c>
      <c r="B316" s="198" t="s">
        <v>546</v>
      </c>
      <c r="C316" s="128">
        <f>SUM(C317:C321)</f>
        <v>453000</v>
      </c>
      <c r="D316" s="104">
        <f t="shared" si="34"/>
        <v>453000</v>
      </c>
      <c r="E316" s="104">
        <f t="shared" si="37"/>
        <v>121171</v>
      </c>
      <c r="F316" s="105">
        <f t="shared" si="38"/>
        <v>26.748565121412803</v>
      </c>
      <c r="G316" s="247">
        <f>SUM(G317:G321)</f>
        <v>453000</v>
      </c>
      <c r="H316" s="129">
        <f>SUM(H317:H321)</f>
        <v>121171</v>
      </c>
      <c r="I316" s="108">
        <f t="shared" si="36"/>
        <v>26.748565121412803</v>
      </c>
      <c r="J316" s="193"/>
      <c r="K316" s="129"/>
      <c r="L316" s="110"/>
      <c r="M316" s="129"/>
      <c r="N316" s="129"/>
      <c r="O316" s="194"/>
      <c r="P316" s="128"/>
      <c r="Q316" s="129"/>
      <c r="R316" s="200"/>
    </row>
    <row r="317" spans="1:18" s="254" customFormat="1" ht="20.25" customHeight="1">
      <c r="A317" s="248"/>
      <c r="B317" s="249" t="s">
        <v>547</v>
      </c>
      <c r="C317" s="250">
        <v>413000</v>
      </c>
      <c r="D317" s="251">
        <f t="shared" si="34"/>
        <v>413000</v>
      </c>
      <c r="E317" s="251">
        <f t="shared" si="37"/>
        <v>114140</v>
      </c>
      <c r="F317" s="105">
        <f t="shared" si="38"/>
        <v>27.63680387409201</v>
      </c>
      <c r="G317" s="250">
        <v>413000</v>
      </c>
      <c r="H317" s="251">
        <v>114140</v>
      </c>
      <c r="I317" s="108">
        <f t="shared" si="36"/>
        <v>27.63680387409201</v>
      </c>
      <c r="J317" s="252"/>
      <c r="K317" s="251"/>
      <c r="L317" s="110"/>
      <c r="M317" s="251"/>
      <c r="N317" s="251"/>
      <c r="O317" s="110"/>
      <c r="P317" s="250"/>
      <c r="Q317" s="251"/>
      <c r="R317" s="262"/>
    </row>
    <row r="318" spans="1:18" s="254" customFormat="1" ht="12.75">
      <c r="A318" s="248"/>
      <c r="B318" s="249" t="s">
        <v>548</v>
      </c>
      <c r="C318" s="250">
        <v>6000</v>
      </c>
      <c r="D318" s="251">
        <f t="shared" si="34"/>
        <v>6000</v>
      </c>
      <c r="E318" s="251">
        <f t="shared" si="37"/>
        <v>2328</v>
      </c>
      <c r="F318" s="105">
        <f t="shared" si="38"/>
        <v>38.800000000000004</v>
      </c>
      <c r="G318" s="250">
        <v>6000</v>
      </c>
      <c r="H318" s="251">
        <v>2328</v>
      </c>
      <c r="I318" s="108">
        <f t="shared" si="36"/>
        <v>38.800000000000004</v>
      </c>
      <c r="J318" s="252"/>
      <c r="K318" s="251"/>
      <c r="L318" s="110"/>
      <c r="M318" s="251"/>
      <c r="N318" s="251"/>
      <c r="O318" s="110"/>
      <c r="P318" s="250"/>
      <c r="Q318" s="251"/>
      <c r="R318" s="262"/>
    </row>
    <row r="319" spans="1:18" s="254" customFormat="1" ht="12.75" hidden="1">
      <c r="A319" s="248"/>
      <c r="B319" s="249" t="s">
        <v>549</v>
      </c>
      <c r="C319" s="250"/>
      <c r="D319" s="251">
        <f t="shared" si="34"/>
        <v>0</v>
      </c>
      <c r="E319" s="251">
        <f t="shared" si="37"/>
        <v>0</v>
      </c>
      <c r="F319" s="105" t="e">
        <f t="shared" si="38"/>
        <v>#DIV/0!</v>
      </c>
      <c r="G319" s="250"/>
      <c r="H319" s="251"/>
      <c r="I319" s="108" t="e">
        <f t="shared" si="36"/>
        <v>#DIV/0!</v>
      </c>
      <c r="J319" s="252"/>
      <c r="K319" s="251"/>
      <c r="L319" s="110"/>
      <c r="M319" s="251"/>
      <c r="N319" s="251"/>
      <c r="O319" s="110"/>
      <c r="P319" s="250"/>
      <c r="Q319" s="251"/>
      <c r="R319" s="262"/>
    </row>
    <row r="320" spans="1:18" s="254" customFormat="1" ht="12.75">
      <c r="A320" s="248"/>
      <c r="B320" s="249" t="s">
        <v>550</v>
      </c>
      <c r="C320" s="250">
        <v>30000</v>
      </c>
      <c r="D320" s="251">
        <f t="shared" si="34"/>
        <v>30000</v>
      </c>
      <c r="E320" s="251">
        <f t="shared" si="37"/>
        <v>4703</v>
      </c>
      <c r="F320" s="105">
        <f t="shared" si="38"/>
        <v>15.676666666666666</v>
      </c>
      <c r="G320" s="250">
        <v>30000</v>
      </c>
      <c r="H320" s="251">
        <v>4703</v>
      </c>
      <c r="I320" s="108">
        <f t="shared" si="36"/>
        <v>15.676666666666666</v>
      </c>
      <c r="J320" s="252"/>
      <c r="K320" s="251"/>
      <c r="L320" s="110"/>
      <c r="M320" s="251"/>
      <c r="N320" s="251"/>
      <c r="O320" s="110"/>
      <c r="P320" s="250"/>
      <c r="Q320" s="251"/>
      <c r="R320" s="262"/>
    </row>
    <row r="321" spans="1:18" s="254" customFormat="1" ht="12.75">
      <c r="A321" s="248"/>
      <c r="B321" s="249" t="s">
        <v>551</v>
      </c>
      <c r="C321" s="250">
        <v>4000</v>
      </c>
      <c r="D321" s="251">
        <f t="shared" si="34"/>
        <v>4000</v>
      </c>
      <c r="E321" s="251">
        <f t="shared" si="37"/>
        <v>0</v>
      </c>
      <c r="F321" s="105">
        <f t="shared" si="38"/>
        <v>0</v>
      </c>
      <c r="G321" s="250">
        <v>4000</v>
      </c>
      <c r="H321" s="251"/>
      <c r="I321" s="108">
        <f t="shared" si="36"/>
        <v>0</v>
      </c>
      <c r="J321" s="252"/>
      <c r="K321" s="251"/>
      <c r="L321" s="110"/>
      <c r="M321" s="251"/>
      <c r="N321" s="251"/>
      <c r="O321" s="110"/>
      <c r="P321" s="250"/>
      <c r="Q321" s="251"/>
      <c r="R321" s="262"/>
    </row>
    <row r="322" spans="1:18" ht="36">
      <c r="A322" s="191">
        <v>4240</v>
      </c>
      <c r="B322" s="198" t="s">
        <v>489</v>
      </c>
      <c r="C322" s="128">
        <v>10000</v>
      </c>
      <c r="D322" s="104">
        <f t="shared" si="34"/>
        <v>10000</v>
      </c>
      <c r="E322" s="129">
        <f t="shared" si="37"/>
        <v>480</v>
      </c>
      <c r="F322" s="105">
        <f t="shared" si="38"/>
        <v>4.8</v>
      </c>
      <c r="G322" s="128">
        <v>10000</v>
      </c>
      <c r="H322" s="129">
        <v>480</v>
      </c>
      <c r="I322" s="108">
        <f t="shared" si="36"/>
        <v>4.8</v>
      </c>
      <c r="J322" s="193"/>
      <c r="K322" s="129"/>
      <c r="L322" s="110"/>
      <c r="M322" s="129"/>
      <c r="N322" s="129"/>
      <c r="O322" s="194"/>
      <c r="P322" s="128"/>
      <c r="Q322" s="129"/>
      <c r="R322" s="200"/>
    </row>
    <row r="323" spans="1:18" ht="12.75">
      <c r="A323" s="191">
        <v>4260</v>
      </c>
      <c r="B323" s="198" t="s">
        <v>360</v>
      </c>
      <c r="C323" s="128">
        <v>404000</v>
      </c>
      <c r="D323" s="104">
        <f t="shared" si="34"/>
        <v>404000</v>
      </c>
      <c r="E323" s="129">
        <f t="shared" si="37"/>
        <v>120996</v>
      </c>
      <c r="F323" s="105">
        <f t="shared" si="38"/>
        <v>29.949504950495047</v>
      </c>
      <c r="G323" s="128">
        <v>404000</v>
      </c>
      <c r="H323" s="129">
        <v>120996</v>
      </c>
      <c r="I323" s="108">
        <f t="shared" si="36"/>
        <v>29.949504950495047</v>
      </c>
      <c r="J323" s="193"/>
      <c r="K323" s="129"/>
      <c r="L323" s="110"/>
      <c r="M323" s="129"/>
      <c r="N323" s="129"/>
      <c r="O323" s="194"/>
      <c r="P323" s="128"/>
      <c r="Q323" s="129"/>
      <c r="R323" s="200"/>
    </row>
    <row r="324" spans="1:18" ht="24">
      <c r="A324" s="191">
        <v>4270</v>
      </c>
      <c r="B324" s="198" t="s">
        <v>552</v>
      </c>
      <c r="C324" s="128">
        <f>SUM(C325:C326)</f>
        <v>455000</v>
      </c>
      <c r="D324" s="104">
        <f t="shared" si="34"/>
        <v>430000</v>
      </c>
      <c r="E324" s="129">
        <f t="shared" si="37"/>
        <v>42380</v>
      </c>
      <c r="F324" s="105">
        <f t="shared" si="38"/>
        <v>9.855813953488372</v>
      </c>
      <c r="G324" s="128">
        <f>SUM(G325:G326)</f>
        <v>430000</v>
      </c>
      <c r="H324" s="129">
        <f>SUM(H325:H326)</f>
        <v>42380</v>
      </c>
      <c r="I324" s="108">
        <f t="shared" si="36"/>
        <v>9.855813953488372</v>
      </c>
      <c r="J324" s="193"/>
      <c r="K324" s="129"/>
      <c r="L324" s="110"/>
      <c r="M324" s="129"/>
      <c r="N324" s="129"/>
      <c r="O324" s="194"/>
      <c r="P324" s="128"/>
      <c r="Q324" s="129"/>
      <c r="R324" s="200"/>
    </row>
    <row r="325" spans="1:18" s="254" customFormat="1" ht="12">
      <c r="A325" s="248"/>
      <c r="B325" s="249" t="s">
        <v>553</v>
      </c>
      <c r="C325" s="355">
        <v>420000</v>
      </c>
      <c r="D325" s="356">
        <f t="shared" si="34"/>
        <v>395000</v>
      </c>
      <c r="E325" s="356">
        <f t="shared" si="37"/>
        <v>31927</v>
      </c>
      <c r="F325" s="105">
        <f t="shared" si="38"/>
        <v>8.082784810126583</v>
      </c>
      <c r="G325" s="355">
        <f>420000-47000+22000</f>
        <v>395000</v>
      </c>
      <c r="H325" s="356">
        <v>31927</v>
      </c>
      <c r="I325" s="108">
        <f t="shared" si="36"/>
        <v>8.082784810126583</v>
      </c>
      <c r="J325" s="357"/>
      <c r="K325" s="356"/>
      <c r="L325" s="110"/>
      <c r="M325" s="356"/>
      <c r="N325" s="356"/>
      <c r="O325" s="110"/>
      <c r="P325" s="355"/>
      <c r="Q325" s="356"/>
      <c r="R325" s="262"/>
    </row>
    <row r="326" spans="1:18" s="254" customFormat="1" ht="12">
      <c r="A326" s="248"/>
      <c r="B326" s="249" t="s">
        <v>550</v>
      </c>
      <c r="C326" s="355">
        <v>35000</v>
      </c>
      <c r="D326" s="356">
        <f t="shared" si="34"/>
        <v>35000</v>
      </c>
      <c r="E326" s="356">
        <f t="shared" si="37"/>
        <v>10453</v>
      </c>
      <c r="F326" s="105">
        <f t="shared" si="38"/>
        <v>29.865714285714283</v>
      </c>
      <c r="G326" s="355">
        <v>35000</v>
      </c>
      <c r="H326" s="356">
        <v>10453</v>
      </c>
      <c r="I326" s="108">
        <f t="shared" si="36"/>
        <v>29.865714285714283</v>
      </c>
      <c r="J326" s="357"/>
      <c r="K326" s="356"/>
      <c r="L326" s="110"/>
      <c r="M326" s="356"/>
      <c r="N326" s="356"/>
      <c r="O326" s="110"/>
      <c r="P326" s="355"/>
      <c r="Q326" s="356"/>
      <c r="R326" s="262"/>
    </row>
    <row r="327" spans="1:18" s="269" customFormat="1" ht="24">
      <c r="A327" s="267">
        <v>4280</v>
      </c>
      <c r="B327" s="305" t="s">
        <v>458</v>
      </c>
      <c r="C327" s="160">
        <v>14000</v>
      </c>
      <c r="D327" s="104">
        <f t="shared" si="34"/>
        <v>14000</v>
      </c>
      <c r="E327" s="104">
        <f t="shared" si="37"/>
        <v>3351</v>
      </c>
      <c r="F327" s="105">
        <f t="shared" si="38"/>
        <v>23.935714285714287</v>
      </c>
      <c r="G327" s="160">
        <v>14000</v>
      </c>
      <c r="H327" s="104">
        <v>3351</v>
      </c>
      <c r="I327" s="108">
        <f t="shared" si="36"/>
        <v>23.935714285714287</v>
      </c>
      <c r="J327" s="109"/>
      <c r="K327" s="358"/>
      <c r="L327" s="110"/>
      <c r="M327" s="358"/>
      <c r="N327" s="358"/>
      <c r="O327" s="194"/>
      <c r="P327" s="359"/>
      <c r="Q327" s="358"/>
      <c r="R327" s="200"/>
    </row>
    <row r="328" spans="1:18" ht="24">
      <c r="A328" s="191">
        <v>4300</v>
      </c>
      <c r="B328" s="198" t="s">
        <v>554</v>
      </c>
      <c r="C328" s="128">
        <f>SUM(C329:C335)</f>
        <v>1141000</v>
      </c>
      <c r="D328" s="104">
        <f t="shared" si="34"/>
        <v>1070200</v>
      </c>
      <c r="E328" s="129">
        <f>H328+K328+Q328+N328</f>
        <v>236225</v>
      </c>
      <c r="F328" s="105">
        <f t="shared" si="38"/>
        <v>22.07297701364231</v>
      </c>
      <c r="G328" s="128">
        <f>SUM(G329:G335)</f>
        <v>1070200</v>
      </c>
      <c r="H328" s="129">
        <f>SUM(H329:H335)</f>
        <v>236225</v>
      </c>
      <c r="I328" s="108">
        <f t="shared" si="36"/>
        <v>22.07297701364231</v>
      </c>
      <c r="J328" s="193"/>
      <c r="K328" s="129"/>
      <c r="L328" s="110"/>
      <c r="M328" s="129"/>
      <c r="N328" s="129"/>
      <c r="O328" s="194"/>
      <c r="P328" s="128"/>
      <c r="Q328" s="129"/>
      <c r="R328" s="200"/>
    </row>
    <row r="329" spans="1:18" s="254" customFormat="1" ht="12.75" hidden="1">
      <c r="A329" s="248"/>
      <c r="B329" s="249" t="s">
        <v>555</v>
      </c>
      <c r="C329" s="355"/>
      <c r="D329" s="104">
        <f t="shared" si="34"/>
        <v>0</v>
      </c>
      <c r="E329" s="129">
        <f>H329+K329+Q329+N329</f>
        <v>0</v>
      </c>
      <c r="F329" s="105"/>
      <c r="G329" s="355"/>
      <c r="H329" s="356"/>
      <c r="I329" s="108"/>
      <c r="J329" s="357"/>
      <c r="K329" s="356"/>
      <c r="L329" s="110"/>
      <c r="M329" s="356"/>
      <c r="N329" s="356"/>
      <c r="O329" s="110"/>
      <c r="P329" s="355"/>
      <c r="Q329" s="356"/>
      <c r="R329" s="262"/>
    </row>
    <row r="330" spans="1:18" s="254" customFormat="1" ht="12">
      <c r="A330" s="248"/>
      <c r="B330" s="249" t="s">
        <v>553</v>
      </c>
      <c r="C330" s="355">
        <v>816000</v>
      </c>
      <c r="D330" s="356">
        <f t="shared" si="34"/>
        <v>745200</v>
      </c>
      <c r="E330" s="358">
        <f aca="true" t="shared" si="39" ref="E330:E370">SUM(H330+K330+N330+Q330)</f>
        <v>182292</v>
      </c>
      <c r="F330" s="105">
        <f>E330/D330*100</f>
        <v>24.462157809983896</v>
      </c>
      <c r="G330" s="355">
        <f>816000-40000-30800</f>
        <v>745200</v>
      </c>
      <c r="H330" s="356">
        <v>182292</v>
      </c>
      <c r="I330" s="108">
        <f t="shared" si="36"/>
        <v>24.462157809983896</v>
      </c>
      <c r="J330" s="357"/>
      <c r="K330" s="356"/>
      <c r="L330" s="110"/>
      <c r="M330" s="356"/>
      <c r="N330" s="356"/>
      <c r="O330" s="110"/>
      <c r="P330" s="355"/>
      <c r="Q330" s="356"/>
      <c r="R330" s="262"/>
    </row>
    <row r="331" spans="1:18" s="254" customFormat="1" ht="12" hidden="1">
      <c r="A331" s="248"/>
      <c r="B331" s="249" t="s">
        <v>533</v>
      </c>
      <c r="C331" s="355"/>
      <c r="D331" s="356">
        <f t="shared" si="34"/>
        <v>0</v>
      </c>
      <c r="E331" s="358">
        <f t="shared" si="39"/>
        <v>0</v>
      </c>
      <c r="F331" s="105" t="e">
        <f>E331/D331*100</f>
        <v>#DIV/0!</v>
      </c>
      <c r="G331" s="355"/>
      <c r="H331" s="356"/>
      <c r="I331" s="108" t="e">
        <f t="shared" si="36"/>
        <v>#DIV/0!</v>
      </c>
      <c r="J331" s="357"/>
      <c r="K331" s="356"/>
      <c r="L331" s="110"/>
      <c r="M331" s="356"/>
      <c r="N331" s="356"/>
      <c r="O331" s="110"/>
      <c r="P331" s="355"/>
      <c r="Q331" s="356"/>
      <c r="R331" s="262"/>
    </row>
    <row r="332" spans="1:18" s="254" customFormat="1" ht="11.25" customHeight="1">
      <c r="A332" s="248"/>
      <c r="B332" s="249" t="s">
        <v>556</v>
      </c>
      <c r="C332" s="355">
        <v>30000</v>
      </c>
      <c r="D332" s="356">
        <f t="shared" si="34"/>
        <v>30000</v>
      </c>
      <c r="E332" s="358">
        <f t="shared" si="39"/>
        <v>578</v>
      </c>
      <c r="F332" s="105">
        <f>E332/D332*100</f>
        <v>1.9266666666666667</v>
      </c>
      <c r="G332" s="355">
        <v>30000</v>
      </c>
      <c r="H332" s="356">
        <v>578</v>
      </c>
      <c r="I332" s="108">
        <f t="shared" si="36"/>
        <v>1.9266666666666667</v>
      </c>
      <c r="J332" s="357"/>
      <c r="K332" s="356"/>
      <c r="L332" s="110"/>
      <c r="M332" s="356"/>
      <c r="N332" s="356"/>
      <c r="O332" s="110"/>
      <c r="P332" s="355"/>
      <c r="Q332" s="356"/>
      <c r="R332" s="262"/>
    </row>
    <row r="333" spans="1:18" s="254" customFormat="1" ht="24" hidden="1">
      <c r="A333" s="248"/>
      <c r="B333" s="249" t="s">
        <v>557</v>
      </c>
      <c r="C333" s="355"/>
      <c r="D333" s="356">
        <f t="shared" si="34"/>
        <v>0</v>
      </c>
      <c r="E333" s="358">
        <f t="shared" si="39"/>
        <v>0</v>
      </c>
      <c r="F333" s="105"/>
      <c r="G333" s="355"/>
      <c r="H333" s="356"/>
      <c r="I333" s="108"/>
      <c r="J333" s="357"/>
      <c r="K333" s="356"/>
      <c r="L333" s="110"/>
      <c r="M333" s="356"/>
      <c r="N333" s="356"/>
      <c r="O333" s="110"/>
      <c r="P333" s="355"/>
      <c r="Q333" s="356"/>
      <c r="R333" s="262"/>
    </row>
    <row r="334" spans="1:18" s="254" customFormat="1" ht="12" hidden="1">
      <c r="A334" s="248"/>
      <c r="B334" s="249" t="s">
        <v>536</v>
      </c>
      <c r="C334" s="355"/>
      <c r="D334" s="356">
        <f t="shared" si="34"/>
        <v>0</v>
      </c>
      <c r="E334" s="356">
        <f t="shared" si="39"/>
        <v>0</v>
      </c>
      <c r="F334" s="105" t="e">
        <f aca="true" t="shared" si="40" ref="F334:F361">E334/D334*100</f>
        <v>#DIV/0!</v>
      </c>
      <c r="G334" s="355"/>
      <c r="H334" s="356"/>
      <c r="I334" s="108" t="e">
        <f t="shared" si="36"/>
        <v>#DIV/0!</v>
      </c>
      <c r="J334" s="357"/>
      <c r="K334" s="356"/>
      <c r="L334" s="110"/>
      <c r="M334" s="356"/>
      <c r="N334" s="356"/>
      <c r="O334" s="110"/>
      <c r="P334" s="355"/>
      <c r="Q334" s="356"/>
      <c r="R334" s="262"/>
    </row>
    <row r="335" spans="1:18" s="254" customFormat="1" ht="12">
      <c r="A335" s="248"/>
      <c r="B335" s="249" t="s">
        <v>558</v>
      </c>
      <c r="C335" s="355">
        <v>295000</v>
      </c>
      <c r="D335" s="356">
        <f t="shared" si="34"/>
        <v>295000</v>
      </c>
      <c r="E335" s="356">
        <f t="shared" si="39"/>
        <v>53355</v>
      </c>
      <c r="F335" s="105">
        <f t="shared" si="40"/>
        <v>18.086440677966102</v>
      </c>
      <c r="G335" s="355">
        <v>295000</v>
      </c>
      <c r="H335" s="356">
        <v>53355</v>
      </c>
      <c r="I335" s="108">
        <f t="shared" si="36"/>
        <v>18.086440677966102</v>
      </c>
      <c r="J335" s="357"/>
      <c r="K335" s="356"/>
      <c r="L335" s="110"/>
      <c r="M335" s="356"/>
      <c r="N335" s="356"/>
      <c r="O335" s="110"/>
      <c r="P335" s="355"/>
      <c r="Q335" s="356"/>
      <c r="R335" s="262"/>
    </row>
    <row r="336" spans="1:18" s="269" customFormat="1" ht="33.75" customHeight="1" hidden="1">
      <c r="A336" s="267">
        <v>4390</v>
      </c>
      <c r="B336" s="305" t="s">
        <v>559</v>
      </c>
      <c r="C336" s="359"/>
      <c r="D336" s="104">
        <f t="shared" si="34"/>
        <v>0</v>
      </c>
      <c r="E336" s="129">
        <f t="shared" si="39"/>
        <v>0</v>
      </c>
      <c r="F336" s="105" t="e">
        <f t="shared" si="40"/>
        <v>#DIV/0!</v>
      </c>
      <c r="G336" s="359"/>
      <c r="H336" s="358"/>
      <c r="I336" s="108" t="e">
        <f t="shared" si="36"/>
        <v>#DIV/0!</v>
      </c>
      <c r="J336" s="360"/>
      <c r="K336" s="358"/>
      <c r="L336" s="110"/>
      <c r="M336" s="358"/>
      <c r="N336" s="358"/>
      <c r="O336" s="194"/>
      <c r="P336" s="360"/>
      <c r="Q336" s="358"/>
      <c r="R336" s="200"/>
    </row>
    <row r="337" spans="1:18" ht="24">
      <c r="A337" s="191">
        <v>4350</v>
      </c>
      <c r="B337" s="198" t="s">
        <v>560</v>
      </c>
      <c r="C337" s="128">
        <v>7200</v>
      </c>
      <c r="D337" s="104">
        <f t="shared" si="34"/>
        <v>12925</v>
      </c>
      <c r="E337" s="129">
        <f t="shared" si="39"/>
        <v>2347</v>
      </c>
      <c r="F337" s="105">
        <f t="shared" si="40"/>
        <v>18.158607350096712</v>
      </c>
      <c r="G337" s="128">
        <f>7200+5725</f>
        <v>12925</v>
      </c>
      <c r="H337" s="129">
        <v>2347</v>
      </c>
      <c r="I337" s="108">
        <f t="shared" si="36"/>
        <v>18.158607350096712</v>
      </c>
      <c r="J337" s="193"/>
      <c r="K337" s="129"/>
      <c r="L337" s="110"/>
      <c r="M337" s="129"/>
      <c r="N337" s="129"/>
      <c r="O337" s="194"/>
      <c r="P337" s="129"/>
      <c r="Q337" s="129"/>
      <c r="R337" s="200"/>
    </row>
    <row r="338" spans="1:18" ht="22.5" customHeight="1">
      <c r="A338" s="191">
        <v>4350</v>
      </c>
      <c r="B338" s="198" t="s">
        <v>561</v>
      </c>
      <c r="C338" s="128">
        <v>6000</v>
      </c>
      <c r="D338" s="104">
        <f t="shared" si="34"/>
        <v>275</v>
      </c>
      <c r="E338" s="129">
        <f t="shared" si="39"/>
        <v>275</v>
      </c>
      <c r="F338" s="105">
        <f t="shared" si="40"/>
        <v>100</v>
      </c>
      <c r="G338" s="128">
        <f>6000-5725</f>
        <v>275</v>
      </c>
      <c r="H338" s="129">
        <v>275</v>
      </c>
      <c r="I338" s="256">
        <f t="shared" si="36"/>
        <v>100</v>
      </c>
      <c r="J338" s="193"/>
      <c r="K338" s="129"/>
      <c r="L338" s="110"/>
      <c r="M338" s="129"/>
      <c r="N338" s="129"/>
      <c r="O338" s="194"/>
      <c r="P338" s="129"/>
      <c r="Q338" s="129"/>
      <c r="R338" s="200"/>
    </row>
    <row r="339" spans="1:18" ht="60">
      <c r="A339" s="267">
        <v>4360</v>
      </c>
      <c r="B339" s="291" t="s">
        <v>562</v>
      </c>
      <c r="C339" s="128">
        <v>83000</v>
      </c>
      <c r="D339" s="104">
        <f>G339+J339+P339+M339</f>
        <v>83000</v>
      </c>
      <c r="E339" s="129">
        <f>SUM(H339+K339+N339+Q339)</f>
        <v>12832</v>
      </c>
      <c r="F339" s="105">
        <f>E339/D339*100</f>
        <v>15.460240963855421</v>
      </c>
      <c r="G339" s="128">
        <v>83000</v>
      </c>
      <c r="H339" s="129">
        <v>12832</v>
      </c>
      <c r="I339" s="108">
        <f t="shared" si="36"/>
        <v>15.460240963855421</v>
      </c>
      <c r="J339" s="193"/>
      <c r="K339" s="129"/>
      <c r="L339" s="110"/>
      <c r="M339" s="129"/>
      <c r="N339" s="129"/>
      <c r="O339" s="194"/>
      <c r="P339" s="129"/>
      <c r="Q339" s="129"/>
      <c r="R339" s="200"/>
    </row>
    <row r="340" spans="1:18" ht="60">
      <c r="A340" s="267">
        <v>4370</v>
      </c>
      <c r="B340" s="291" t="s">
        <v>563</v>
      </c>
      <c r="C340" s="128">
        <v>177000</v>
      </c>
      <c r="D340" s="104">
        <f>G340+J340+P340+M340</f>
        <v>177000</v>
      </c>
      <c r="E340" s="129">
        <f>SUM(H340+K340+N340+Q340)</f>
        <v>36675</v>
      </c>
      <c r="F340" s="105">
        <f>E340/D340*100</f>
        <v>20.720338983050848</v>
      </c>
      <c r="G340" s="128">
        <v>177000</v>
      </c>
      <c r="H340" s="129">
        <v>36675</v>
      </c>
      <c r="I340" s="108">
        <f t="shared" si="36"/>
        <v>20.720338983050848</v>
      </c>
      <c r="J340" s="193"/>
      <c r="K340" s="129"/>
      <c r="L340" s="110"/>
      <c r="M340" s="129"/>
      <c r="N340" s="129"/>
      <c r="O340" s="194"/>
      <c r="P340" s="129"/>
      <c r="Q340" s="129"/>
      <c r="R340" s="200"/>
    </row>
    <row r="341" spans="1:18" ht="23.25" customHeight="1" hidden="1">
      <c r="A341" s="191">
        <v>4380</v>
      </c>
      <c r="B341" s="198" t="s">
        <v>564</v>
      </c>
      <c r="C341" s="128"/>
      <c r="D341" s="104">
        <f>G341+J341+P341+M341</f>
        <v>0</v>
      </c>
      <c r="E341" s="129">
        <f>SUM(H341+K341+N341+Q341)</f>
        <v>0</v>
      </c>
      <c r="F341" s="105" t="e">
        <f>E341/D341*100</f>
        <v>#DIV/0!</v>
      </c>
      <c r="G341" s="128"/>
      <c r="H341" s="129"/>
      <c r="I341" s="108" t="e">
        <f t="shared" si="36"/>
        <v>#DIV/0!</v>
      </c>
      <c r="J341" s="193"/>
      <c r="K341" s="129"/>
      <c r="L341" s="110"/>
      <c r="M341" s="129"/>
      <c r="N341" s="129"/>
      <c r="O341" s="194"/>
      <c r="P341" s="129"/>
      <c r="Q341" s="129"/>
      <c r="R341" s="200"/>
    </row>
    <row r="342" spans="1:18" ht="24">
      <c r="A342" s="191">
        <v>4400</v>
      </c>
      <c r="B342" s="198" t="s">
        <v>463</v>
      </c>
      <c r="C342" s="128">
        <v>21000</v>
      </c>
      <c r="D342" s="104">
        <f>G342+J342+P342+M342</f>
        <v>21000</v>
      </c>
      <c r="E342" s="129">
        <f>SUM(H342+K342+N342+Q342)</f>
        <v>1862</v>
      </c>
      <c r="F342" s="105">
        <f>E342/D342*100</f>
        <v>8.866666666666667</v>
      </c>
      <c r="G342" s="128">
        <v>21000</v>
      </c>
      <c r="H342" s="129">
        <v>1862</v>
      </c>
      <c r="I342" s="108">
        <f t="shared" si="36"/>
        <v>8.866666666666667</v>
      </c>
      <c r="J342" s="193"/>
      <c r="K342" s="129"/>
      <c r="L342" s="110"/>
      <c r="M342" s="129"/>
      <c r="N342" s="129"/>
      <c r="O342" s="194"/>
      <c r="P342" s="129"/>
      <c r="Q342" s="129"/>
      <c r="R342" s="200"/>
    </row>
    <row r="343" spans="1:18" ht="24">
      <c r="A343" s="191">
        <v>4410</v>
      </c>
      <c r="B343" s="198" t="s">
        <v>338</v>
      </c>
      <c r="C343" s="128">
        <v>177000</v>
      </c>
      <c r="D343" s="104">
        <f t="shared" si="34"/>
        <v>177000</v>
      </c>
      <c r="E343" s="129">
        <f t="shared" si="39"/>
        <v>41569</v>
      </c>
      <c r="F343" s="105">
        <f t="shared" si="40"/>
        <v>23.485310734463276</v>
      </c>
      <c r="G343" s="128">
        <v>177000</v>
      </c>
      <c r="H343" s="129">
        <v>41569</v>
      </c>
      <c r="I343" s="108">
        <f t="shared" si="36"/>
        <v>23.485310734463276</v>
      </c>
      <c r="J343" s="193"/>
      <c r="K343" s="129"/>
      <c r="L343" s="110"/>
      <c r="M343" s="129"/>
      <c r="N343" s="129"/>
      <c r="O343" s="194"/>
      <c r="P343" s="129"/>
      <c r="Q343" s="129"/>
      <c r="R343" s="200"/>
    </row>
    <row r="344" spans="1:18" ht="24">
      <c r="A344" s="191">
        <v>4420</v>
      </c>
      <c r="B344" s="198" t="s">
        <v>565</v>
      </c>
      <c r="C344" s="128">
        <v>90000</v>
      </c>
      <c r="D344" s="104">
        <f aca="true" t="shared" si="41" ref="D344:E425">G344+J344+P344+M344</f>
        <v>90000</v>
      </c>
      <c r="E344" s="129">
        <f t="shared" si="39"/>
        <v>13877</v>
      </c>
      <c r="F344" s="105">
        <f t="shared" si="40"/>
        <v>15.418888888888887</v>
      </c>
      <c r="G344" s="128">
        <v>90000</v>
      </c>
      <c r="H344" s="129">
        <v>13877</v>
      </c>
      <c r="I344" s="108">
        <f t="shared" si="36"/>
        <v>15.418888888888887</v>
      </c>
      <c r="J344" s="193"/>
      <c r="K344" s="129"/>
      <c r="L344" s="110"/>
      <c r="M344" s="129"/>
      <c r="N344" s="129"/>
      <c r="O344" s="194"/>
      <c r="P344" s="129"/>
      <c r="Q344" s="129"/>
      <c r="R344" s="200"/>
    </row>
    <row r="345" spans="1:18" ht="24" hidden="1">
      <c r="A345" s="191">
        <v>4430</v>
      </c>
      <c r="B345" s="198" t="s">
        <v>566</v>
      </c>
      <c r="C345" s="128"/>
      <c r="D345" s="104">
        <f>G345+J345+P345+M345</f>
        <v>0</v>
      </c>
      <c r="E345" s="129">
        <f>SUM(H345+K345+N345+Q345)</f>
        <v>0</v>
      </c>
      <c r="F345" s="105" t="e">
        <f>E345/D345*100</f>
        <v>#DIV/0!</v>
      </c>
      <c r="G345" s="128">
        <f>1000-1000</f>
        <v>0</v>
      </c>
      <c r="H345" s="129"/>
      <c r="I345" s="108" t="e">
        <f t="shared" si="36"/>
        <v>#DIV/0!</v>
      </c>
      <c r="J345" s="193"/>
      <c r="K345" s="129"/>
      <c r="L345" s="110"/>
      <c r="M345" s="129"/>
      <c r="N345" s="129"/>
      <c r="O345" s="194"/>
      <c r="P345" s="129"/>
      <c r="Q345" s="129"/>
      <c r="R345" s="200"/>
    </row>
    <row r="346" spans="1:18" ht="24">
      <c r="A346" s="191">
        <v>4430</v>
      </c>
      <c r="B346" s="198" t="s">
        <v>567</v>
      </c>
      <c r="C346" s="128">
        <v>117000</v>
      </c>
      <c r="D346" s="104">
        <f t="shared" si="41"/>
        <v>117000</v>
      </c>
      <c r="E346" s="129">
        <f t="shared" si="39"/>
        <v>32751</v>
      </c>
      <c r="F346" s="105">
        <f t="shared" si="40"/>
        <v>27.992307692307694</v>
      </c>
      <c r="G346" s="128">
        <v>117000</v>
      </c>
      <c r="H346" s="129">
        <v>32751</v>
      </c>
      <c r="I346" s="108">
        <f t="shared" si="36"/>
        <v>27.992307692307694</v>
      </c>
      <c r="J346" s="193"/>
      <c r="K346" s="129"/>
      <c r="L346" s="110"/>
      <c r="M346" s="129"/>
      <c r="N346" s="129"/>
      <c r="O346" s="194"/>
      <c r="P346" s="129"/>
      <c r="Q346" s="129"/>
      <c r="R346" s="200"/>
    </row>
    <row r="347" spans="1:18" ht="24" hidden="1">
      <c r="A347" s="191">
        <v>4430</v>
      </c>
      <c r="B347" s="198" t="s">
        <v>568</v>
      </c>
      <c r="C347" s="128"/>
      <c r="D347" s="104">
        <f t="shared" si="41"/>
        <v>0</v>
      </c>
      <c r="E347" s="129">
        <f>SUM(H347+K347+N347+Q347)</f>
        <v>0</v>
      </c>
      <c r="F347" s="105" t="e">
        <f t="shared" si="40"/>
        <v>#DIV/0!</v>
      </c>
      <c r="G347" s="128"/>
      <c r="H347" s="129"/>
      <c r="I347" s="108" t="e">
        <f t="shared" si="36"/>
        <v>#DIV/0!</v>
      </c>
      <c r="J347" s="193"/>
      <c r="K347" s="129"/>
      <c r="L347" s="110"/>
      <c r="M347" s="129"/>
      <c r="N347" s="129"/>
      <c r="O347" s="194"/>
      <c r="P347" s="129"/>
      <c r="Q347" s="129"/>
      <c r="R347" s="200"/>
    </row>
    <row r="348" spans="1:18" ht="14.25" customHeight="1">
      <c r="A348" s="191">
        <v>4440</v>
      </c>
      <c r="B348" s="198" t="s">
        <v>368</v>
      </c>
      <c r="C348" s="128">
        <v>292000</v>
      </c>
      <c r="D348" s="104">
        <f t="shared" si="41"/>
        <v>292000</v>
      </c>
      <c r="E348" s="129">
        <f t="shared" si="39"/>
        <v>220476</v>
      </c>
      <c r="F348" s="105">
        <f t="shared" si="40"/>
        <v>75.50547945205479</v>
      </c>
      <c r="G348" s="128">
        <v>292000</v>
      </c>
      <c r="H348" s="129">
        <v>220476</v>
      </c>
      <c r="I348" s="108">
        <f aca="true" t="shared" si="42" ref="I348:I359">H348/G348*100</f>
        <v>75.50547945205479</v>
      </c>
      <c r="J348" s="193"/>
      <c r="K348" s="129"/>
      <c r="L348" s="110"/>
      <c r="M348" s="129"/>
      <c r="N348" s="129"/>
      <c r="O348" s="194"/>
      <c r="P348" s="129"/>
      <c r="Q348" s="129"/>
      <c r="R348" s="200"/>
    </row>
    <row r="349" spans="1:18" ht="12.75" customHeight="1" hidden="1">
      <c r="A349" s="191">
        <v>4580</v>
      </c>
      <c r="B349" s="198" t="s">
        <v>394</v>
      </c>
      <c r="C349" s="128"/>
      <c r="D349" s="104">
        <f t="shared" si="41"/>
        <v>0</v>
      </c>
      <c r="E349" s="129">
        <f t="shared" si="39"/>
        <v>0</v>
      </c>
      <c r="F349" s="105" t="e">
        <f t="shared" si="40"/>
        <v>#DIV/0!</v>
      </c>
      <c r="G349" s="128"/>
      <c r="H349" s="129"/>
      <c r="I349" s="108" t="e">
        <f t="shared" si="42"/>
        <v>#DIV/0!</v>
      </c>
      <c r="J349" s="193"/>
      <c r="K349" s="129"/>
      <c r="L349" s="110"/>
      <c r="M349" s="129"/>
      <c r="N349" s="129"/>
      <c r="O349" s="194"/>
      <c r="P349" s="129"/>
      <c r="Q349" s="129"/>
      <c r="R349" s="200"/>
    </row>
    <row r="350" spans="1:18" ht="24" hidden="1">
      <c r="A350" s="191">
        <v>4610</v>
      </c>
      <c r="B350" s="198" t="s">
        <v>569</v>
      </c>
      <c r="C350" s="128"/>
      <c r="D350" s="104">
        <f t="shared" si="41"/>
        <v>0</v>
      </c>
      <c r="E350" s="129">
        <f t="shared" si="39"/>
        <v>0</v>
      </c>
      <c r="F350" s="105" t="e">
        <f t="shared" si="40"/>
        <v>#DIV/0!</v>
      </c>
      <c r="G350" s="128"/>
      <c r="H350" s="129"/>
      <c r="I350" s="108" t="e">
        <f t="shared" si="42"/>
        <v>#DIV/0!</v>
      </c>
      <c r="J350" s="193"/>
      <c r="K350" s="129"/>
      <c r="L350" s="110"/>
      <c r="M350" s="129"/>
      <c r="N350" s="129"/>
      <c r="O350" s="194"/>
      <c r="P350" s="129"/>
      <c r="Q350" s="129"/>
      <c r="R350" s="200"/>
    </row>
    <row r="351" spans="1:18" ht="24">
      <c r="A351" s="191">
        <v>4610</v>
      </c>
      <c r="B351" s="198" t="s">
        <v>570</v>
      </c>
      <c r="C351" s="128">
        <v>500</v>
      </c>
      <c r="D351" s="104">
        <f t="shared" si="41"/>
        <v>500</v>
      </c>
      <c r="E351" s="129">
        <f>SUM(H351+K351+N351+Q351)</f>
        <v>0</v>
      </c>
      <c r="F351" s="105">
        <f>E351/D351*100</f>
        <v>0</v>
      </c>
      <c r="G351" s="128">
        <v>500</v>
      </c>
      <c r="H351" s="129"/>
      <c r="I351" s="108">
        <f t="shared" si="42"/>
        <v>0</v>
      </c>
      <c r="J351" s="193"/>
      <c r="K351" s="129"/>
      <c r="L351" s="110"/>
      <c r="M351" s="129"/>
      <c r="N351" s="129"/>
      <c r="O351" s="194"/>
      <c r="P351" s="129"/>
      <c r="Q351" s="129"/>
      <c r="R351" s="200"/>
    </row>
    <row r="352" spans="1:18" ht="24" hidden="1">
      <c r="A352" s="191">
        <v>4610</v>
      </c>
      <c r="B352" s="198" t="s">
        <v>571</v>
      </c>
      <c r="C352" s="128"/>
      <c r="D352" s="104">
        <f t="shared" si="41"/>
        <v>0</v>
      </c>
      <c r="E352" s="129">
        <f t="shared" si="39"/>
        <v>0</v>
      </c>
      <c r="F352" s="105" t="e">
        <f t="shared" si="40"/>
        <v>#DIV/0!</v>
      </c>
      <c r="G352" s="128"/>
      <c r="H352" s="129"/>
      <c r="I352" s="108" t="e">
        <f t="shared" si="42"/>
        <v>#DIV/0!</v>
      </c>
      <c r="J352" s="193"/>
      <c r="K352" s="129"/>
      <c r="L352" s="110"/>
      <c r="M352" s="129"/>
      <c r="N352" s="129"/>
      <c r="O352" s="194"/>
      <c r="P352" s="129"/>
      <c r="Q352" s="129"/>
      <c r="R352" s="200"/>
    </row>
    <row r="353" spans="1:18" ht="36">
      <c r="A353" s="267">
        <v>4700</v>
      </c>
      <c r="B353" s="291" t="s">
        <v>466</v>
      </c>
      <c r="C353" s="128">
        <v>120000</v>
      </c>
      <c r="D353" s="104">
        <f t="shared" si="41"/>
        <v>120000</v>
      </c>
      <c r="E353" s="129">
        <f>SUM(H353+K353+N353+Q353)</f>
        <v>15784</v>
      </c>
      <c r="F353" s="105">
        <f>E353/D353*100</f>
        <v>13.153333333333334</v>
      </c>
      <c r="G353" s="128">
        <v>120000</v>
      </c>
      <c r="H353" s="129">
        <v>15784</v>
      </c>
      <c r="I353" s="108">
        <f t="shared" si="42"/>
        <v>13.153333333333334</v>
      </c>
      <c r="J353" s="193"/>
      <c r="K353" s="129"/>
      <c r="L353" s="110"/>
      <c r="M353" s="129"/>
      <c r="N353" s="129"/>
      <c r="O353" s="194"/>
      <c r="P353" s="129"/>
      <c r="Q353" s="129"/>
      <c r="R353" s="200"/>
    </row>
    <row r="354" spans="1:18" ht="60">
      <c r="A354" s="267">
        <v>4740</v>
      </c>
      <c r="B354" s="291" t="s">
        <v>380</v>
      </c>
      <c r="C354" s="128">
        <v>21000</v>
      </c>
      <c r="D354" s="104">
        <f t="shared" si="41"/>
        <v>71000</v>
      </c>
      <c r="E354" s="129">
        <f>SUM(H354+K354+N354+Q354)</f>
        <v>8366</v>
      </c>
      <c r="F354" s="105">
        <f>E354/D354*100</f>
        <v>11.783098591549296</v>
      </c>
      <c r="G354" s="128">
        <f>21000+50000</f>
        <v>71000</v>
      </c>
      <c r="H354" s="129">
        <v>8366</v>
      </c>
      <c r="I354" s="108">
        <f t="shared" si="42"/>
        <v>11.783098591549296</v>
      </c>
      <c r="J354" s="193"/>
      <c r="K354" s="129"/>
      <c r="L354" s="110"/>
      <c r="M354" s="129"/>
      <c r="N354" s="129"/>
      <c r="O354" s="194"/>
      <c r="P354" s="129"/>
      <c r="Q354" s="129"/>
      <c r="R354" s="200"/>
    </row>
    <row r="355" spans="1:18" ht="48">
      <c r="A355" s="267">
        <v>4750</v>
      </c>
      <c r="B355" s="291" t="s">
        <v>572</v>
      </c>
      <c r="C355" s="128">
        <f>40000+130000</f>
        <v>170000</v>
      </c>
      <c r="D355" s="104">
        <f t="shared" si="41"/>
        <v>235000</v>
      </c>
      <c r="E355" s="129">
        <f>SUM(H355+K355+N355+Q355)</f>
        <v>41483</v>
      </c>
      <c r="F355" s="105">
        <f>E355/D355*100</f>
        <v>17.652340425531914</v>
      </c>
      <c r="G355" s="128">
        <f>40000+130000+65000</f>
        <v>235000</v>
      </c>
      <c r="H355" s="129">
        <v>41483</v>
      </c>
      <c r="I355" s="108">
        <f t="shared" si="42"/>
        <v>17.652340425531914</v>
      </c>
      <c r="J355" s="193"/>
      <c r="K355" s="129"/>
      <c r="L355" s="110"/>
      <c r="M355" s="129"/>
      <c r="N355" s="129"/>
      <c r="O355" s="194"/>
      <c r="P355" s="129"/>
      <c r="Q355" s="129"/>
      <c r="R355" s="200"/>
    </row>
    <row r="356" spans="1:18" ht="24">
      <c r="A356" s="191">
        <v>6050</v>
      </c>
      <c r="B356" s="198" t="s">
        <v>573</v>
      </c>
      <c r="C356" s="128">
        <v>620000</v>
      </c>
      <c r="D356" s="104">
        <f>G356+J356+P356+M356</f>
        <v>820000</v>
      </c>
      <c r="E356" s="129">
        <f>SUM(H356+K356+N356+Q356)</f>
        <v>8224</v>
      </c>
      <c r="F356" s="105">
        <f>E356/D356*100</f>
        <v>1.0029268292682927</v>
      </c>
      <c r="G356" s="128">
        <f>620000+200000</f>
        <v>820000</v>
      </c>
      <c r="H356" s="129">
        <v>8224</v>
      </c>
      <c r="I356" s="108">
        <f t="shared" si="42"/>
        <v>1.0029268292682927</v>
      </c>
      <c r="J356" s="193"/>
      <c r="K356" s="129"/>
      <c r="L356" s="110"/>
      <c r="M356" s="129"/>
      <c r="N356" s="129"/>
      <c r="O356" s="194"/>
      <c r="P356" s="129"/>
      <c r="Q356" s="129"/>
      <c r="R356" s="200"/>
    </row>
    <row r="357" spans="1:18" ht="36">
      <c r="A357" s="191">
        <v>6060</v>
      </c>
      <c r="B357" s="198" t="s">
        <v>574</v>
      </c>
      <c r="C357" s="128">
        <f>SUM(C358:C360)</f>
        <v>905000</v>
      </c>
      <c r="D357" s="104">
        <f t="shared" si="41"/>
        <v>898000</v>
      </c>
      <c r="E357" s="129">
        <f t="shared" si="39"/>
        <v>58560</v>
      </c>
      <c r="F357" s="105">
        <f t="shared" si="40"/>
        <v>6.521158129175947</v>
      </c>
      <c r="G357" s="128">
        <f>SUM(G358:G360)</f>
        <v>898000</v>
      </c>
      <c r="H357" s="129">
        <f>SUM(H358:H360)</f>
        <v>58560</v>
      </c>
      <c r="I357" s="108">
        <f t="shared" si="42"/>
        <v>6.521158129175947</v>
      </c>
      <c r="J357" s="193"/>
      <c r="K357" s="129"/>
      <c r="L357" s="110"/>
      <c r="M357" s="129"/>
      <c r="N357" s="129"/>
      <c r="O357" s="194"/>
      <c r="P357" s="129"/>
      <c r="Q357" s="129"/>
      <c r="R357" s="200"/>
    </row>
    <row r="358" spans="1:18" s="254" customFormat="1" ht="12.75">
      <c r="A358" s="248"/>
      <c r="B358" s="249" t="s">
        <v>553</v>
      </c>
      <c r="C358" s="250">
        <v>200000</v>
      </c>
      <c r="D358" s="251">
        <f>G358+J358+P358+M358</f>
        <v>193000</v>
      </c>
      <c r="E358" s="251">
        <f>SUM(H358+K358+N358+Q358)</f>
        <v>0</v>
      </c>
      <c r="F358" s="105">
        <f>E358/D358*100</f>
        <v>0</v>
      </c>
      <c r="G358" s="250">
        <f>200000-7000</f>
        <v>193000</v>
      </c>
      <c r="H358" s="251"/>
      <c r="I358" s="108">
        <f t="shared" si="42"/>
        <v>0</v>
      </c>
      <c r="J358" s="252"/>
      <c r="K358" s="251"/>
      <c r="L358" s="110"/>
      <c r="M358" s="251"/>
      <c r="N358" s="251"/>
      <c r="O358" s="110"/>
      <c r="P358" s="252"/>
      <c r="Q358" s="251"/>
      <c r="R358" s="262"/>
    </row>
    <row r="359" spans="1:18" s="254" customFormat="1" ht="12.75" hidden="1">
      <c r="A359" s="248"/>
      <c r="B359" s="249" t="s">
        <v>533</v>
      </c>
      <c r="C359" s="250"/>
      <c r="D359" s="251">
        <f>G359+J359+P359+M359</f>
        <v>0</v>
      </c>
      <c r="E359" s="251">
        <f>SUM(H359+K359+N359+Q359)</f>
        <v>0</v>
      </c>
      <c r="F359" s="105" t="e">
        <f>E359/D359*100</f>
        <v>#DIV/0!</v>
      </c>
      <c r="G359" s="250"/>
      <c r="H359" s="251"/>
      <c r="I359" s="108" t="e">
        <f t="shared" si="42"/>
        <v>#DIV/0!</v>
      </c>
      <c r="J359" s="252"/>
      <c r="K359" s="251"/>
      <c r="L359" s="110"/>
      <c r="M359" s="251"/>
      <c r="N359" s="251"/>
      <c r="O359" s="110"/>
      <c r="P359" s="252"/>
      <c r="Q359" s="251"/>
      <c r="R359" s="262"/>
    </row>
    <row r="360" spans="1:18" s="254" customFormat="1" ht="12.75">
      <c r="A360" s="248"/>
      <c r="B360" s="249" t="s">
        <v>550</v>
      </c>
      <c r="C360" s="250">
        <v>705000</v>
      </c>
      <c r="D360" s="251">
        <f>G360+J360+P360+M360</f>
        <v>705000</v>
      </c>
      <c r="E360" s="251">
        <f>SUM(H360+K360+N360+Q360)</f>
        <v>58560</v>
      </c>
      <c r="F360" s="105">
        <f>E360/D360*100</f>
        <v>8.306382978723406</v>
      </c>
      <c r="G360" s="250">
        <v>705000</v>
      </c>
      <c r="H360" s="251">
        <v>58560</v>
      </c>
      <c r="I360" s="108">
        <f>H360/G360*100</f>
        <v>8.306382978723406</v>
      </c>
      <c r="J360" s="252"/>
      <c r="K360" s="251"/>
      <c r="L360" s="110"/>
      <c r="M360" s="251"/>
      <c r="N360" s="251"/>
      <c r="O360" s="110"/>
      <c r="P360" s="252"/>
      <c r="Q360" s="251"/>
      <c r="R360" s="262"/>
    </row>
    <row r="361" spans="1:18" s="362" customFormat="1" ht="16.5" customHeight="1">
      <c r="A361" s="361">
        <v>75045</v>
      </c>
      <c r="B361" s="294" t="s">
        <v>575</v>
      </c>
      <c r="C361" s="188">
        <f>SUM(C362:C372)</f>
        <v>45000</v>
      </c>
      <c r="D361" s="137">
        <f t="shared" si="41"/>
        <v>45000</v>
      </c>
      <c r="E361" s="137">
        <f>H361+K361+Q361+N361</f>
        <v>2031</v>
      </c>
      <c r="F361" s="120">
        <f t="shared" si="40"/>
        <v>4.513333333333333</v>
      </c>
      <c r="G361" s="188"/>
      <c r="H361" s="119"/>
      <c r="I361" s="190"/>
      <c r="J361" s="124"/>
      <c r="K361" s="119"/>
      <c r="L361" s="125"/>
      <c r="M361" s="119">
        <f>SUM(M362:M372)</f>
        <v>11000</v>
      </c>
      <c r="N361" s="119">
        <f>SUM(N362:N372)</f>
        <v>0</v>
      </c>
      <c r="O361" s="347">
        <f>N361/M361*100</f>
        <v>0</v>
      </c>
      <c r="P361" s="124">
        <f>SUM(P362:P372)</f>
        <v>34000</v>
      </c>
      <c r="Q361" s="119">
        <f>SUM(Q362:Q372)</f>
        <v>2031</v>
      </c>
      <c r="R361" s="214">
        <f aca="true" t="shared" si="43" ref="R361:R371">Q361/P361*100</f>
        <v>5.973529411764706</v>
      </c>
    </row>
    <row r="362" spans="1:18" s="362" customFormat="1" ht="24" customHeight="1" hidden="1">
      <c r="A362" s="363">
        <v>3030</v>
      </c>
      <c r="B362" s="198" t="s">
        <v>344</v>
      </c>
      <c r="C362" s="160"/>
      <c r="D362" s="104">
        <f t="shared" si="41"/>
        <v>0</v>
      </c>
      <c r="E362" s="129">
        <f t="shared" si="39"/>
        <v>0</v>
      </c>
      <c r="F362" s="105"/>
      <c r="G362" s="286"/>
      <c r="H362" s="287"/>
      <c r="I362" s="194"/>
      <c r="J362" s="288"/>
      <c r="K362" s="287"/>
      <c r="L362" s="289"/>
      <c r="M362" s="287"/>
      <c r="N362" s="287"/>
      <c r="O362" s="194"/>
      <c r="P362" s="335"/>
      <c r="Q362" s="129"/>
      <c r="R362" s="256"/>
    </row>
    <row r="363" spans="1:18" s="362" customFormat="1" ht="23.25" customHeight="1">
      <c r="A363" s="363">
        <v>4010</v>
      </c>
      <c r="B363" s="198" t="s">
        <v>346</v>
      </c>
      <c r="C363" s="128">
        <v>9500</v>
      </c>
      <c r="D363" s="104">
        <f t="shared" si="41"/>
        <v>9500</v>
      </c>
      <c r="E363" s="129">
        <f t="shared" si="39"/>
        <v>0</v>
      </c>
      <c r="F363" s="105">
        <f aca="true" t="shared" si="44" ref="F363:F426">E363/D363*100</f>
        <v>0</v>
      </c>
      <c r="G363" s="128"/>
      <c r="H363" s="129"/>
      <c r="I363" s="194"/>
      <c r="J363" s="193"/>
      <c r="K363" s="129"/>
      <c r="L363" s="110"/>
      <c r="M363" s="129"/>
      <c r="N363" s="129"/>
      <c r="O363" s="194"/>
      <c r="P363" s="247">
        <v>9500</v>
      </c>
      <c r="Q363" s="129"/>
      <c r="R363" s="256">
        <f t="shared" si="43"/>
        <v>0</v>
      </c>
    </row>
    <row r="364" spans="1:18" s="362" customFormat="1" ht="24" customHeight="1">
      <c r="A364" s="363">
        <v>4110</v>
      </c>
      <c r="B364" s="198" t="s">
        <v>352</v>
      </c>
      <c r="C364" s="128">
        <v>2000</v>
      </c>
      <c r="D364" s="104">
        <f t="shared" si="41"/>
        <v>2000</v>
      </c>
      <c r="E364" s="129">
        <f t="shared" si="39"/>
        <v>0</v>
      </c>
      <c r="F364" s="105">
        <f t="shared" si="44"/>
        <v>0</v>
      </c>
      <c r="G364" s="128"/>
      <c r="H364" s="129"/>
      <c r="I364" s="194"/>
      <c r="J364" s="193"/>
      <c r="K364" s="129"/>
      <c r="L364" s="110"/>
      <c r="M364" s="129"/>
      <c r="N364" s="129"/>
      <c r="O364" s="194"/>
      <c r="P364" s="247">
        <v>2000</v>
      </c>
      <c r="Q364" s="129"/>
      <c r="R364" s="256">
        <f t="shared" si="43"/>
        <v>0</v>
      </c>
    </row>
    <row r="365" spans="1:18" s="362" customFormat="1" ht="12" customHeight="1">
      <c r="A365" s="363">
        <v>4120</v>
      </c>
      <c r="B365" s="198" t="s">
        <v>509</v>
      </c>
      <c r="C365" s="128">
        <v>300</v>
      </c>
      <c r="D365" s="104">
        <f t="shared" si="41"/>
        <v>300</v>
      </c>
      <c r="E365" s="129">
        <f t="shared" si="39"/>
        <v>0</v>
      </c>
      <c r="F365" s="105">
        <f t="shared" si="44"/>
        <v>0</v>
      </c>
      <c r="G365" s="128"/>
      <c r="H365" s="129"/>
      <c r="I365" s="194"/>
      <c r="J365" s="193"/>
      <c r="K365" s="129"/>
      <c r="L365" s="110"/>
      <c r="M365" s="129"/>
      <c r="N365" s="129"/>
      <c r="O365" s="194"/>
      <c r="P365" s="247">
        <v>300</v>
      </c>
      <c r="Q365" s="129"/>
      <c r="R365" s="256">
        <f t="shared" si="43"/>
        <v>0</v>
      </c>
    </row>
    <row r="366" spans="1:18" s="362" customFormat="1" ht="24">
      <c r="A366" s="363">
        <v>4170</v>
      </c>
      <c r="B366" s="198" t="s">
        <v>392</v>
      </c>
      <c r="C366" s="128">
        <v>10500</v>
      </c>
      <c r="D366" s="104">
        <f t="shared" si="41"/>
        <v>10500</v>
      </c>
      <c r="E366" s="129">
        <f t="shared" si="39"/>
        <v>0</v>
      </c>
      <c r="F366" s="105">
        <f t="shared" si="44"/>
        <v>0</v>
      </c>
      <c r="G366" s="128"/>
      <c r="H366" s="129"/>
      <c r="I366" s="194"/>
      <c r="J366" s="193"/>
      <c r="K366" s="129"/>
      <c r="L366" s="110"/>
      <c r="M366" s="129"/>
      <c r="N366" s="129"/>
      <c r="O366" s="194"/>
      <c r="P366" s="247">
        <v>10500</v>
      </c>
      <c r="Q366" s="129"/>
      <c r="R366" s="256">
        <f t="shared" si="43"/>
        <v>0</v>
      </c>
    </row>
    <row r="367" spans="1:18" s="362" customFormat="1" ht="25.5" customHeight="1">
      <c r="A367" s="363">
        <v>4210</v>
      </c>
      <c r="B367" s="198" t="s">
        <v>356</v>
      </c>
      <c r="C367" s="128">
        <v>4500</v>
      </c>
      <c r="D367" s="104">
        <f t="shared" si="41"/>
        <v>4500</v>
      </c>
      <c r="E367" s="129">
        <f t="shared" si="39"/>
        <v>2031</v>
      </c>
      <c r="F367" s="105">
        <f t="shared" si="44"/>
        <v>45.13333333333333</v>
      </c>
      <c r="G367" s="128"/>
      <c r="H367" s="129"/>
      <c r="I367" s="194"/>
      <c r="J367" s="193"/>
      <c r="K367" s="129"/>
      <c r="L367" s="110"/>
      <c r="M367" s="129"/>
      <c r="N367" s="129"/>
      <c r="O367" s="194"/>
      <c r="P367" s="247">
        <v>4500</v>
      </c>
      <c r="Q367" s="129">
        <v>2031</v>
      </c>
      <c r="R367" s="256">
        <f t="shared" si="43"/>
        <v>45.13333333333333</v>
      </c>
    </row>
    <row r="368" spans="1:18" s="362" customFormat="1" ht="16.5" customHeight="1" hidden="1">
      <c r="A368" s="363">
        <v>4270</v>
      </c>
      <c r="B368" s="198" t="s">
        <v>362</v>
      </c>
      <c r="C368" s="128"/>
      <c r="D368" s="104">
        <f t="shared" si="41"/>
        <v>0</v>
      </c>
      <c r="E368" s="129">
        <f t="shared" si="39"/>
        <v>0</v>
      </c>
      <c r="F368" s="105" t="e">
        <f t="shared" si="44"/>
        <v>#DIV/0!</v>
      </c>
      <c r="G368" s="128"/>
      <c r="H368" s="129"/>
      <c r="I368" s="194"/>
      <c r="J368" s="193"/>
      <c r="K368" s="129"/>
      <c r="L368" s="110"/>
      <c r="M368" s="129"/>
      <c r="N368" s="129"/>
      <c r="O368" s="194"/>
      <c r="P368" s="247"/>
      <c r="Q368" s="129"/>
      <c r="R368" s="256"/>
    </row>
    <row r="369" spans="1:18" s="362" customFormat="1" ht="36">
      <c r="A369" s="363">
        <v>4300</v>
      </c>
      <c r="B369" s="198" t="s">
        <v>576</v>
      </c>
      <c r="C369" s="128">
        <v>8000</v>
      </c>
      <c r="D369" s="104">
        <f t="shared" si="41"/>
        <v>8000</v>
      </c>
      <c r="E369" s="129">
        <f t="shared" si="39"/>
        <v>0</v>
      </c>
      <c r="F369" s="105">
        <f t="shared" si="44"/>
        <v>0</v>
      </c>
      <c r="G369" s="128"/>
      <c r="H369" s="129"/>
      <c r="I369" s="194"/>
      <c r="J369" s="193"/>
      <c r="K369" s="129"/>
      <c r="L369" s="110"/>
      <c r="M369" s="129">
        <v>8000</v>
      </c>
      <c r="N369" s="129"/>
      <c r="O369" s="108">
        <f>N369/M369*100</f>
        <v>0</v>
      </c>
      <c r="P369" s="247"/>
      <c r="Q369" s="129"/>
      <c r="R369" s="256"/>
    </row>
    <row r="370" spans="1:18" s="362" customFormat="1" ht="24">
      <c r="A370" s="363">
        <v>4300</v>
      </c>
      <c r="B370" s="198" t="s">
        <v>385</v>
      </c>
      <c r="C370" s="128">
        <v>9800</v>
      </c>
      <c r="D370" s="104">
        <f t="shared" si="41"/>
        <v>9800</v>
      </c>
      <c r="E370" s="129">
        <f t="shared" si="39"/>
        <v>0</v>
      </c>
      <c r="F370" s="105">
        <f t="shared" si="44"/>
        <v>0</v>
      </c>
      <c r="G370" s="128"/>
      <c r="H370" s="129"/>
      <c r="I370" s="194"/>
      <c r="J370" s="193"/>
      <c r="K370" s="193"/>
      <c r="L370" s="110"/>
      <c r="M370" s="129">
        <v>3000</v>
      </c>
      <c r="N370" s="129"/>
      <c r="O370" s="108">
        <f>N370/M370*100</f>
        <v>0</v>
      </c>
      <c r="P370" s="337">
        <v>6800</v>
      </c>
      <c r="Q370" s="129"/>
      <c r="R370" s="256">
        <f t="shared" si="43"/>
        <v>0</v>
      </c>
    </row>
    <row r="371" spans="1:18" s="362" customFormat="1" ht="48">
      <c r="A371" s="363">
        <v>4370</v>
      </c>
      <c r="B371" s="291" t="s">
        <v>577</v>
      </c>
      <c r="C371" s="128">
        <v>200</v>
      </c>
      <c r="D371" s="104">
        <f>G371+J371+P371+M371</f>
        <v>200</v>
      </c>
      <c r="E371" s="129">
        <f>SUM(H371+K371+N371+Q371)</f>
        <v>0</v>
      </c>
      <c r="F371" s="105">
        <f>E371/D371*100</f>
        <v>0</v>
      </c>
      <c r="G371" s="128"/>
      <c r="H371" s="129"/>
      <c r="I371" s="194"/>
      <c r="J371" s="193"/>
      <c r="K371" s="193"/>
      <c r="L371" s="110"/>
      <c r="M371" s="129"/>
      <c r="N371" s="129"/>
      <c r="O371" s="108"/>
      <c r="P371" s="337">
        <v>200</v>
      </c>
      <c r="Q371" s="129"/>
      <c r="R371" s="108">
        <f t="shared" si="43"/>
        <v>0</v>
      </c>
    </row>
    <row r="372" spans="1:18" s="362" customFormat="1" ht="14.25" customHeight="1">
      <c r="A372" s="364">
        <v>4410</v>
      </c>
      <c r="B372" s="228" t="s">
        <v>338</v>
      </c>
      <c r="C372" s="229">
        <v>200</v>
      </c>
      <c r="D372" s="104">
        <f>G372+J372+P372+M372</f>
        <v>200</v>
      </c>
      <c r="E372" s="129">
        <f>SUM(H372+K372+N372+Q372)</f>
        <v>0</v>
      </c>
      <c r="F372" s="105">
        <f>E372/D372*100</f>
        <v>0</v>
      </c>
      <c r="G372" s="229"/>
      <c r="H372" s="236"/>
      <c r="I372" s="237"/>
      <c r="J372" s="233"/>
      <c r="K372" s="233"/>
      <c r="L372" s="319"/>
      <c r="M372" s="236"/>
      <c r="N372" s="236"/>
      <c r="O372" s="170"/>
      <c r="P372" s="365">
        <v>200</v>
      </c>
      <c r="Q372" s="236"/>
      <c r="R372" s="108"/>
    </row>
    <row r="373" spans="1:18" s="367" customFormat="1" ht="27.75" customHeight="1">
      <c r="A373" s="366">
        <v>75075</v>
      </c>
      <c r="B373" s="296" t="s">
        <v>578</v>
      </c>
      <c r="C373" s="136">
        <f>SUM(C374:C383)+C392+C399</f>
        <v>1131000</v>
      </c>
      <c r="D373" s="137">
        <f t="shared" si="41"/>
        <v>1418440</v>
      </c>
      <c r="E373" s="137">
        <f t="shared" si="41"/>
        <v>763364</v>
      </c>
      <c r="F373" s="120">
        <f t="shared" si="44"/>
        <v>53.81715123656975</v>
      </c>
      <c r="G373" s="136">
        <f>SUM(G374:G383)+G392+G399</f>
        <v>1418440</v>
      </c>
      <c r="H373" s="137">
        <f>SUM(H374:H383)+H392+H399</f>
        <v>763364</v>
      </c>
      <c r="I373" s="127">
        <f aca="true" t="shared" si="45" ref="I373:I436">H373/G373*100</f>
        <v>53.81715123656975</v>
      </c>
      <c r="J373" s="140"/>
      <c r="K373" s="140"/>
      <c r="L373" s="127"/>
      <c r="M373" s="137"/>
      <c r="N373" s="137"/>
      <c r="O373" s="265"/>
      <c r="P373" s="137"/>
      <c r="Q373" s="137"/>
      <c r="R373" s="243"/>
    </row>
    <row r="374" spans="1:18" s="368" customFormat="1" ht="72" hidden="1">
      <c r="A374" s="363">
        <v>2820</v>
      </c>
      <c r="B374" s="198" t="s">
        <v>579</v>
      </c>
      <c r="C374" s="148"/>
      <c r="D374" s="149">
        <f t="shared" si="41"/>
        <v>0</v>
      </c>
      <c r="E374" s="149">
        <f t="shared" si="41"/>
        <v>0</v>
      </c>
      <c r="F374" s="105" t="e">
        <f t="shared" si="44"/>
        <v>#DIV/0!</v>
      </c>
      <c r="G374" s="148"/>
      <c r="H374" s="149"/>
      <c r="I374" s="108" t="e">
        <f t="shared" si="45"/>
        <v>#DIV/0!</v>
      </c>
      <c r="J374" s="153"/>
      <c r="K374" s="153"/>
      <c r="L374" s="113"/>
      <c r="M374" s="149"/>
      <c r="N374" s="149"/>
      <c r="O374" s="225"/>
      <c r="P374" s="149"/>
      <c r="Q374" s="149"/>
      <c r="R374" s="113"/>
    </row>
    <row r="375" spans="1:18" s="368" customFormat="1" ht="24">
      <c r="A375" s="363">
        <v>4170</v>
      </c>
      <c r="B375" s="198" t="s">
        <v>580</v>
      </c>
      <c r="C375" s="160"/>
      <c r="D375" s="104">
        <f>G375+J375+P375+M375</f>
        <v>600</v>
      </c>
      <c r="E375" s="104">
        <f>H375+K375+Q375+N375</f>
        <v>400</v>
      </c>
      <c r="F375" s="105">
        <f>E375/D375*100</f>
        <v>66.66666666666666</v>
      </c>
      <c r="G375" s="160">
        <v>600</v>
      </c>
      <c r="H375" s="104">
        <v>400</v>
      </c>
      <c r="I375" s="108">
        <f t="shared" si="45"/>
        <v>66.66666666666666</v>
      </c>
      <c r="J375" s="109"/>
      <c r="K375" s="109"/>
      <c r="L375" s="108"/>
      <c r="M375" s="104"/>
      <c r="N375" s="104"/>
      <c r="O375" s="194"/>
      <c r="P375" s="104"/>
      <c r="Q375" s="104"/>
      <c r="R375" s="108"/>
    </row>
    <row r="376" spans="1:18" s="368" customFormat="1" ht="24" customHeight="1">
      <c r="A376" s="363">
        <v>4210</v>
      </c>
      <c r="B376" s="198" t="s">
        <v>581</v>
      </c>
      <c r="C376" s="160">
        <v>30000</v>
      </c>
      <c r="D376" s="104">
        <f>G376+J376+P376+M376</f>
        <v>30000</v>
      </c>
      <c r="E376" s="104">
        <f>H376+K376+Q376+N376</f>
        <v>12409</v>
      </c>
      <c r="F376" s="105">
        <f>E376/D376*100</f>
        <v>41.36333333333334</v>
      </c>
      <c r="G376" s="160">
        <v>30000</v>
      </c>
      <c r="H376" s="104">
        <v>12409</v>
      </c>
      <c r="I376" s="108">
        <f t="shared" si="45"/>
        <v>41.36333333333334</v>
      </c>
      <c r="J376" s="109"/>
      <c r="K376" s="109"/>
      <c r="L376" s="108"/>
      <c r="M376" s="104"/>
      <c r="N376" s="104"/>
      <c r="O376" s="194"/>
      <c r="P376" s="104"/>
      <c r="Q376" s="104"/>
      <c r="R376" s="108"/>
    </row>
    <row r="377" spans="1:18" s="368" customFormat="1" ht="24" customHeight="1">
      <c r="A377" s="363">
        <v>4210</v>
      </c>
      <c r="B377" s="198" t="s">
        <v>582</v>
      </c>
      <c r="C377" s="160">
        <v>6000</v>
      </c>
      <c r="D377" s="104">
        <f>G377+J377+P377+M377</f>
        <v>6000</v>
      </c>
      <c r="E377" s="104">
        <f t="shared" si="41"/>
        <v>1957</v>
      </c>
      <c r="F377" s="105">
        <f>E377/D377*100</f>
        <v>32.61666666666667</v>
      </c>
      <c r="G377" s="160">
        <v>6000</v>
      </c>
      <c r="H377" s="104">
        <v>1957</v>
      </c>
      <c r="I377" s="108">
        <f t="shared" si="45"/>
        <v>32.61666666666667</v>
      </c>
      <c r="J377" s="109"/>
      <c r="K377" s="109"/>
      <c r="L377" s="108"/>
      <c r="M377" s="104"/>
      <c r="N377" s="104"/>
      <c r="O377" s="194"/>
      <c r="P377" s="104"/>
      <c r="Q377" s="104"/>
      <c r="R377" s="108"/>
    </row>
    <row r="378" spans="1:18" s="368" customFormat="1" ht="24">
      <c r="A378" s="363">
        <v>4300</v>
      </c>
      <c r="B378" s="198" t="s">
        <v>583</v>
      </c>
      <c r="C378" s="160">
        <v>290000</v>
      </c>
      <c r="D378" s="104">
        <f t="shared" si="41"/>
        <v>340000</v>
      </c>
      <c r="E378" s="104">
        <f t="shared" si="41"/>
        <v>60115</v>
      </c>
      <c r="F378" s="105">
        <f t="shared" si="44"/>
        <v>17.680882352941175</v>
      </c>
      <c r="G378" s="160">
        <f>290000+50000</f>
        <v>340000</v>
      </c>
      <c r="H378" s="104">
        <v>60115</v>
      </c>
      <c r="I378" s="108">
        <f t="shared" si="45"/>
        <v>17.680882352941175</v>
      </c>
      <c r="J378" s="109"/>
      <c r="K378" s="104"/>
      <c r="L378" s="108"/>
      <c r="M378" s="104"/>
      <c r="N378" s="104"/>
      <c r="O378" s="194"/>
      <c r="P378" s="104"/>
      <c r="Q378" s="104"/>
      <c r="R378" s="108"/>
    </row>
    <row r="379" spans="1:18" s="368" customFormat="1" ht="24">
      <c r="A379" s="363">
        <v>4300</v>
      </c>
      <c r="B379" s="198" t="s">
        <v>584</v>
      </c>
      <c r="C379" s="160">
        <v>30000</v>
      </c>
      <c r="D379" s="104">
        <f>G379+J379+P379+M379</f>
        <v>29400</v>
      </c>
      <c r="E379" s="104">
        <f t="shared" si="41"/>
        <v>5246</v>
      </c>
      <c r="F379" s="105">
        <f>E379/D379*100</f>
        <v>17.843537414965986</v>
      </c>
      <c r="G379" s="160">
        <f>30000-600</f>
        <v>29400</v>
      </c>
      <c r="H379" s="104">
        <v>5246</v>
      </c>
      <c r="I379" s="108">
        <f t="shared" si="45"/>
        <v>17.843537414965986</v>
      </c>
      <c r="J379" s="109"/>
      <c r="K379" s="104"/>
      <c r="L379" s="108"/>
      <c r="M379" s="104"/>
      <c r="N379" s="104"/>
      <c r="O379" s="194"/>
      <c r="P379" s="104"/>
      <c r="Q379" s="104"/>
      <c r="R379" s="108"/>
    </row>
    <row r="380" spans="1:18" s="362" customFormat="1" ht="24">
      <c r="A380" s="363">
        <v>4300</v>
      </c>
      <c r="B380" s="198" t="s">
        <v>585</v>
      </c>
      <c r="C380" s="128">
        <v>750000</v>
      </c>
      <c r="D380" s="104">
        <f t="shared" si="41"/>
        <v>950000</v>
      </c>
      <c r="E380" s="104">
        <f t="shared" si="41"/>
        <v>674941</v>
      </c>
      <c r="F380" s="105">
        <f t="shared" si="44"/>
        <v>71.04642105263159</v>
      </c>
      <c r="G380" s="128">
        <f>750000+200000</f>
        <v>950000</v>
      </c>
      <c r="H380" s="129">
        <v>674941</v>
      </c>
      <c r="I380" s="108">
        <f t="shared" si="45"/>
        <v>71.04642105263159</v>
      </c>
      <c r="J380" s="193"/>
      <c r="K380" s="129"/>
      <c r="L380" s="108"/>
      <c r="M380" s="129"/>
      <c r="N380" s="129"/>
      <c r="O380" s="194"/>
      <c r="P380" s="129"/>
      <c r="Q380" s="129"/>
      <c r="R380" s="108"/>
    </row>
    <row r="381" spans="1:18" s="368" customFormat="1" ht="24">
      <c r="A381" s="369">
        <v>4350</v>
      </c>
      <c r="B381" s="305" t="s">
        <v>586</v>
      </c>
      <c r="C381" s="160">
        <v>25000</v>
      </c>
      <c r="D381" s="104">
        <f t="shared" si="41"/>
        <v>25000</v>
      </c>
      <c r="E381" s="104">
        <f t="shared" si="41"/>
        <v>8296</v>
      </c>
      <c r="F381" s="105">
        <f t="shared" si="44"/>
        <v>33.184000000000005</v>
      </c>
      <c r="G381" s="160">
        <v>25000</v>
      </c>
      <c r="H381" s="104">
        <v>8296</v>
      </c>
      <c r="I381" s="108">
        <f t="shared" si="45"/>
        <v>33.184000000000005</v>
      </c>
      <c r="J381" s="109"/>
      <c r="K381" s="104"/>
      <c r="L381" s="108"/>
      <c r="M381" s="104"/>
      <c r="N381" s="104"/>
      <c r="O381" s="194"/>
      <c r="P381" s="104"/>
      <c r="Q381" s="104"/>
      <c r="R381" s="108"/>
    </row>
    <row r="382" spans="1:18" s="368" customFormat="1" ht="36" hidden="1">
      <c r="A382" s="369">
        <v>6060</v>
      </c>
      <c r="B382" s="305" t="s">
        <v>515</v>
      </c>
      <c r="C382" s="160"/>
      <c r="D382" s="104">
        <f>G382+J382+P382+M382</f>
        <v>0</v>
      </c>
      <c r="E382" s="104">
        <f>H382+K382+Q382+N382</f>
        <v>0</v>
      </c>
      <c r="F382" s="105" t="e">
        <f>E382/D382*100</f>
        <v>#DIV/0!</v>
      </c>
      <c r="G382" s="160"/>
      <c r="H382" s="104"/>
      <c r="I382" s="108" t="e">
        <f t="shared" si="45"/>
        <v>#DIV/0!</v>
      </c>
      <c r="J382" s="109"/>
      <c r="K382" s="104"/>
      <c r="L382" s="108"/>
      <c r="M382" s="104"/>
      <c r="N382" s="104"/>
      <c r="O382" s="194"/>
      <c r="P382" s="104"/>
      <c r="Q382" s="104"/>
      <c r="R382" s="108"/>
    </row>
    <row r="383" spans="1:18" s="367" customFormat="1" ht="48">
      <c r="A383" s="370"/>
      <c r="B383" s="371" t="s">
        <v>587</v>
      </c>
      <c r="C383" s="211">
        <f>SUM(C384:C391)</f>
        <v>0</v>
      </c>
      <c r="D383" s="213">
        <f t="shared" si="41"/>
        <v>37440</v>
      </c>
      <c r="E383" s="213">
        <f t="shared" si="41"/>
        <v>0</v>
      </c>
      <c r="F383" s="105">
        <f t="shared" si="44"/>
        <v>0</v>
      </c>
      <c r="G383" s="211">
        <f>SUM(G384:G391)</f>
        <v>37440</v>
      </c>
      <c r="H383" s="216">
        <f>SUM(H384:H391)</f>
        <v>0</v>
      </c>
      <c r="I383" s="256">
        <f t="shared" si="45"/>
        <v>0</v>
      </c>
      <c r="J383" s="215"/>
      <c r="K383" s="213"/>
      <c r="L383" s="217"/>
      <c r="M383" s="213"/>
      <c r="N383" s="213"/>
      <c r="O383" s="219"/>
      <c r="P383" s="213"/>
      <c r="Q383" s="213"/>
      <c r="R383" s="372"/>
    </row>
    <row r="384" spans="1:18" s="362" customFormat="1" ht="24">
      <c r="A384" s="363">
        <v>4110</v>
      </c>
      <c r="B384" s="198" t="s">
        <v>455</v>
      </c>
      <c r="C384" s="128"/>
      <c r="D384" s="104">
        <f t="shared" si="41"/>
        <v>335</v>
      </c>
      <c r="E384" s="104">
        <f t="shared" si="41"/>
        <v>0</v>
      </c>
      <c r="F384" s="105">
        <f t="shared" si="44"/>
        <v>0</v>
      </c>
      <c r="G384" s="128">
        <v>335</v>
      </c>
      <c r="H384" s="129"/>
      <c r="I384" s="256">
        <f t="shared" si="45"/>
        <v>0</v>
      </c>
      <c r="J384" s="193"/>
      <c r="K384" s="129"/>
      <c r="L384" s="108"/>
      <c r="M384" s="129"/>
      <c r="N384" s="129"/>
      <c r="O384" s="194"/>
      <c r="P384" s="129"/>
      <c r="Q384" s="129"/>
      <c r="R384" s="108"/>
    </row>
    <row r="385" spans="1:18" s="362" customFormat="1" ht="12.75">
      <c r="A385" s="363">
        <v>4120</v>
      </c>
      <c r="B385" s="198" t="s">
        <v>504</v>
      </c>
      <c r="C385" s="128"/>
      <c r="D385" s="104">
        <f t="shared" si="41"/>
        <v>54</v>
      </c>
      <c r="E385" s="104">
        <f t="shared" si="41"/>
        <v>0</v>
      </c>
      <c r="F385" s="105">
        <f t="shared" si="44"/>
        <v>0</v>
      </c>
      <c r="G385" s="128">
        <v>54</v>
      </c>
      <c r="H385" s="129"/>
      <c r="I385" s="256">
        <f t="shared" si="45"/>
        <v>0</v>
      </c>
      <c r="J385" s="193"/>
      <c r="K385" s="129"/>
      <c r="L385" s="108"/>
      <c r="M385" s="129"/>
      <c r="N385" s="129"/>
      <c r="O385" s="194"/>
      <c r="P385" s="129"/>
      <c r="Q385" s="129"/>
      <c r="R385" s="108"/>
    </row>
    <row r="386" spans="1:18" s="362" customFormat="1" ht="24">
      <c r="A386" s="363">
        <v>4178</v>
      </c>
      <c r="B386" s="198" t="s">
        <v>588</v>
      </c>
      <c r="C386" s="128"/>
      <c r="D386" s="104">
        <f t="shared" si="41"/>
        <v>1650</v>
      </c>
      <c r="E386" s="104">
        <f t="shared" si="41"/>
        <v>0</v>
      </c>
      <c r="F386" s="105">
        <f t="shared" si="44"/>
        <v>0</v>
      </c>
      <c r="G386" s="128">
        <v>1650</v>
      </c>
      <c r="H386" s="129"/>
      <c r="I386" s="256">
        <f t="shared" si="45"/>
        <v>0</v>
      </c>
      <c r="J386" s="193"/>
      <c r="K386" s="129"/>
      <c r="L386" s="108"/>
      <c r="M386" s="129"/>
      <c r="N386" s="129"/>
      <c r="O386" s="194"/>
      <c r="P386" s="129"/>
      <c r="Q386" s="129"/>
      <c r="R386" s="108"/>
    </row>
    <row r="387" spans="1:18" s="362" customFormat="1" ht="24">
      <c r="A387" s="363">
        <v>4179</v>
      </c>
      <c r="B387" s="198" t="s">
        <v>588</v>
      </c>
      <c r="C387" s="128"/>
      <c r="D387" s="104">
        <f t="shared" si="41"/>
        <v>550</v>
      </c>
      <c r="E387" s="104">
        <f t="shared" si="41"/>
        <v>0</v>
      </c>
      <c r="F387" s="105">
        <f t="shared" si="44"/>
        <v>0</v>
      </c>
      <c r="G387" s="128">
        <v>550</v>
      </c>
      <c r="H387" s="129"/>
      <c r="I387" s="256">
        <f t="shared" si="45"/>
        <v>0</v>
      </c>
      <c r="J387" s="193"/>
      <c r="K387" s="129"/>
      <c r="L387" s="108"/>
      <c r="M387" s="129"/>
      <c r="N387" s="129"/>
      <c r="O387" s="194"/>
      <c r="P387" s="129"/>
      <c r="Q387" s="129"/>
      <c r="R387" s="108"/>
    </row>
    <row r="388" spans="1:18" s="362" customFormat="1" ht="19.5" customHeight="1">
      <c r="A388" s="363">
        <v>4308</v>
      </c>
      <c r="B388" s="198" t="s">
        <v>364</v>
      </c>
      <c r="C388" s="128"/>
      <c r="D388" s="104">
        <f t="shared" si="41"/>
        <v>21113</v>
      </c>
      <c r="E388" s="104">
        <f t="shared" si="41"/>
        <v>0</v>
      </c>
      <c r="F388" s="105">
        <f t="shared" si="44"/>
        <v>0</v>
      </c>
      <c r="G388" s="128">
        <v>21113</v>
      </c>
      <c r="H388" s="129"/>
      <c r="I388" s="256">
        <f t="shared" si="45"/>
        <v>0</v>
      </c>
      <c r="J388" s="193"/>
      <c r="K388" s="129"/>
      <c r="L388" s="108"/>
      <c r="M388" s="129"/>
      <c r="N388" s="129"/>
      <c r="O388" s="194"/>
      <c r="P388" s="129"/>
      <c r="Q388" s="129"/>
      <c r="R388" s="108"/>
    </row>
    <row r="389" spans="1:18" s="362" customFormat="1" ht="19.5" customHeight="1">
      <c r="A389" s="363">
        <v>4309</v>
      </c>
      <c r="B389" s="198" t="s">
        <v>364</v>
      </c>
      <c r="C389" s="128"/>
      <c r="D389" s="104">
        <f>G389+J389+P389+M389</f>
        <v>7038</v>
      </c>
      <c r="E389" s="104">
        <f>H389+K389+Q389+N389</f>
        <v>0</v>
      </c>
      <c r="F389" s="105">
        <f t="shared" si="44"/>
        <v>0</v>
      </c>
      <c r="G389" s="128">
        <v>7038</v>
      </c>
      <c r="H389" s="129"/>
      <c r="I389" s="256">
        <f t="shared" si="45"/>
        <v>0</v>
      </c>
      <c r="J389" s="193"/>
      <c r="K389" s="129"/>
      <c r="L389" s="108"/>
      <c r="M389" s="129"/>
      <c r="N389" s="129"/>
      <c r="O389" s="194"/>
      <c r="P389" s="129"/>
      <c r="Q389" s="129"/>
      <c r="R389" s="108"/>
    </row>
    <row r="390" spans="1:18" s="362" customFormat="1" ht="27.75" customHeight="1">
      <c r="A390" s="363">
        <v>4388</v>
      </c>
      <c r="B390" s="198" t="s">
        <v>479</v>
      </c>
      <c r="C390" s="128"/>
      <c r="D390" s="104">
        <f>G390+J390+P390+M390</f>
        <v>5025</v>
      </c>
      <c r="E390" s="104">
        <f>H390+K390+Q390+N390</f>
        <v>0</v>
      </c>
      <c r="F390" s="105">
        <f t="shared" si="44"/>
        <v>0</v>
      </c>
      <c r="G390" s="128">
        <v>5025</v>
      </c>
      <c r="H390" s="129"/>
      <c r="I390" s="256">
        <f t="shared" si="45"/>
        <v>0</v>
      </c>
      <c r="J390" s="193"/>
      <c r="K390" s="129"/>
      <c r="L390" s="108"/>
      <c r="M390" s="129"/>
      <c r="N390" s="129"/>
      <c r="O390" s="194"/>
      <c r="P390" s="129"/>
      <c r="Q390" s="129"/>
      <c r="R390" s="108"/>
    </row>
    <row r="391" spans="1:18" s="362" customFormat="1" ht="27.75" customHeight="1">
      <c r="A391" s="363">
        <v>4389</v>
      </c>
      <c r="B391" s="198" t="s">
        <v>479</v>
      </c>
      <c r="C391" s="128"/>
      <c r="D391" s="104">
        <f t="shared" si="41"/>
        <v>1675</v>
      </c>
      <c r="E391" s="104">
        <f t="shared" si="41"/>
        <v>0</v>
      </c>
      <c r="F391" s="105">
        <f t="shared" si="44"/>
        <v>0</v>
      </c>
      <c r="G391" s="128">
        <v>1675</v>
      </c>
      <c r="H391" s="129"/>
      <c r="I391" s="108">
        <f t="shared" si="45"/>
        <v>0</v>
      </c>
      <c r="J391" s="193"/>
      <c r="K391" s="129"/>
      <c r="L391" s="108"/>
      <c r="M391" s="129"/>
      <c r="N391" s="129"/>
      <c r="O391" s="194"/>
      <c r="P391" s="129"/>
      <c r="Q391" s="129"/>
      <c r="R391" s="108"/>
    </row>
    <row r="392" spans="1:18" s="367" customFormat="1" ht="48" hidden="1">
      <c r="A392" s="209"/>
      <c r="B392" s="371" t="s">
        <v>589</v>
      </c>
      <c r="C392" s="211">
        <f>SUM(C393:C398)</f>
        <v>0</v>
      </c>
      <c r="D392" s="213">
        <f t="shared" si="41"/>
        <v>0</v>
      </c>
      <c r="E392" s="213">
        <f t="shared" si="41"/>
        <v>0</v>
      </c>
      <c r="F392" s="105" t="e">
        <f t="shared" si="44"/>
        <v>#DIV/0!</v>
      </c>
      <c r="G392" s="211">
        <f>SUM(G393:G398)</f>
        <v>0</v>
      </c>
      <c r="H392" s="213">
        <f>SUM(H393:H398)</f>
        <v>0</v>
      </c>
      <c r="I392" s="108" t="e">
        <f t="shared" si="45"/>
        <v>#DIV/0!</v>
      </c>
      <c r="J392" s="215"/>
      <c r="K392" s="213"/>
      <c r="L392" s="217"/>
      <c r="M392" s="213"/>
      <c r="N392" s="213"/>
      <c r="O392" s="219"/>
      <c r="P392" s="213"/>
      <c r="Q392" s="213"/>
      <c r="R392" s="217"/>
    </row>
    <row r="393" spans="1:18" s="368" customFormat="1" ht="24" hidden="1">
      <c r="A393" s="267">
        <v>4112</v>
      </c>
      <c r="B393" s="198" t="s">
        <v>352</v>
      </c>
      <c r="C393" s="160"/>
      <c r="D393" s="104">
        <f t="shared" si="41"/>
        <v>0</v>
      </c>
      <c r="E393" s="104">
        <f t="shared" si="41"/>
        <v>0</v>
      </c>
      <c r="F393" s="105" t="e">
        <f t="shared" si="44"/>
        <v>#DIV/0!</v>
      </c>
      <c r="G393" s="160"/>
      <c r="H393" s="104"/>
      <c r="I393" s="108" t="e">
        <f t="shared" si="45"/>
        <v>#DIV/0!</v>
      </c>
      <c r="J393" s="109"/>
      <c r="K393" s="104"/>
      <c r="L393" s="108"/>
      <c r="M393" s="104"/>
      <c r="N393" s="104"/>
      <c r="O393" s="194"/>
      <c r="P393" s="104"/>
      <c r="Q393" s="104"/>
      <c r="R393" s="108"/>
    </row>
    <row r="394" spans="1:18" s="368" customFormat="1" ht="12.75" hidden="1">
      <c r="A394" s="267">
        <v>4122</v>
      </c>
      <c r="B394" s="198" t="s">
        <v>504</v>
      </c>
      <c r="C394" s="160"/>
      <c r="D394" s="104">
        <f t="shared" si="41"/>
        <v>0</v>
      </c>
      <c r="E394" s="104">
        <f t="shared" si="41"/>
        <v>0</v>
      </c>
      <c r="F394" s="105" t="e">
        <f t="shared" si="44"/>
        <v>#DIV/0!</v>
      </c>
      <c r="G394" s="160"/>
      <c r="H394" s="104"/>
      <c r="I394" s="108" t="e">
        <f t="shared" si="45"/>
        <v>#DIV/0!</v>
      </c>
      <c r="J394" s="109"/>
      <c r="K394" s="104"/>
      <c r="L394" s="108"/>
      <c r="M394" s="104"/>
      <c r="N394" s="104"/>
      <c r="O394" s="194"/>
      <c r="P394" s="104"/>
      <c r="Q394" s="104"/>
      <c r="R394" s="108"/>
    </row>
    <row r="395" spans="1:18" s="368" customFormat="1" ht="24" hidden="1">
      <c r="A395" s="363">
        <v>4171</v>
      </c>
      <c r="B395" s="198" t="s">
        <v>392</v>
      </c>
      <c r="C395" s="160"/>
      <c r="D395" s="104">
        <f>G395+J395+P395+M395</f>
        <v>0</v>
      </c>
      <c r="E395" s="104">
        <f>H395+K395+Q395+N395</f>
        <v>0</v>
      </c>
      <c r="F395" s="105" t="e">
        <f>E395/D395*100</f>
        <v>#DIV/0!</v>
      </c>
      <c r="G395" s="160"/>
      <c r="H395" s="104"/>
      <c r="I395" s="108" t="e">
        <f t="shared" si="45"/>
        <v>#DIV/0!</v>
      </c>
      <c r="J395" s="109"/>
      <c r="K395" s="104"/>
      <c r="L395" s="108"/>
      <c r="M395" s="104"/>
      <c r="N395" s="104"/>
      <c r="O395" s="194"/>
      <c r="P395" s="104"/>
      <c r="Q395" s="104"/>
      <c r="R395" s="108"/>
    </row>
    <row r="396" spans="1:18" s="368" customFormat="1" ht="24" hidden="1">
      <c r="A396" s="363">
        <v>4172</v>
      </c>
      <c r="B396" s="198" t="s">
        <v>392</v>
      </c>
      <c r="C396" s="160"/>
      <c r="D396" s="104">
        <f>G396+J396+P396+M396</f>
        <v>0</v>
      </c>
      <c r="E396" s="104">
        <f>H396+K396+Q396+N396</f>
        <v>0</v>
      </c>
      <c r="F396" s="105" t="e">
        <f>E396/D396*100</f>
        <v>#DIV/0!</v>
      </c>
      <c r="G396" s="160"/>
      <c r="H396" s="104"/>
      <c r="I396" s="108" t="e">
        <f t="shared" si="45"/>
        <v>#DIV/0!</v>
      </c>
      <c r="J396" s="109"/>
      <c r="K396" s="104"/>
      <c r="L396" s="108"/>
      <c r="M396" s="104"/>
      <c r="N396" s="104"/>
      <c r="O396" s="194"/>
      <c r="P396" s="104"/>
      <c r="Q396" s="104"/>
      <c r="R396" s="108"/>
    </row>
    <row r="397" spans="1:18" s="367" customFormat="1" ht="24" hidden="1">
      <c r="A397" s="363">
        <v>4301</v>
      </c>
      <c r="B397" s="198" t="s">
        <v>364</v>
      </c>
      <c r="C397" s="160"/>
      <c r="D397" s="104">
        <f t="shared" si="41"/>
        <v>0</v>
      </c>
      <c r="E397" s="104">
        <f t="shared" si="41"/>
        <v>0</v>
      </c>
      <c r="F397" s="105" t="e">
        <f t="shared" si="44"/>
        <v>#DIV/0!</v>
      </c>
      <c r="G397" s="160"/>
      <c r="H397" s="104"/>
      <c r="I397" s="108" t="e">
        <f t="shared" si="45"/>
        <v>#DIV/0!</v>
      </c>
      <c r="J397" s="215"/>
      <c r="K397" s="213"/>
      <c r="L397" s="217"/>
      <c r="M397" s="213"/>
      <c r="N397" s="213"/>
      <c r="O397" s="219"/>
      <c r="P397" s="213"/>
      <c r="Q397" s="213"/>
      <c r="R397" s="217"/>
    </row>
    <row r="398" spans="1:18" s="367" customFormat="1" ht="24" hidden="1">
      <c r="A398" s="363">
        <v>4302</v>
      </c>
      <c r="B398" s="198" t="s">
        <v>364</v>
      </c>
      <c r="C398" s="160"/>
      <c r="D398" s="104">
        <f t="shared" si="41"/>
        <v>0</v>
      </c>
      <c r="E398" s="104">
        <f t="shared" si="41"/>
        <v>0</v>
      </c>
      <c r="F398" s="105" t="e">
        <f t="shared" si="44"/>
        <v>#DIV/0!</v>
      </c>
      <c r="G398" s="160"/>
      <c r="H398" s="104"/>
      <c r="I398" s="108" t="e">
        <f t="shared" si="45"/>
        <v>#DIV/0!</v>
      </c>
      <c r="J398" s="215"/>
      <c r="K398" s="213"/>
      <c r="L398" s="217"/>
      <c r="M398" s="213"/>
      <c r="N398" s="213"/>
      <c r="O398" s="219"/>
      <c r="P398" s="213"/>
      <c r="Q398" s="213"/>
      <c r="R398" s="217"/>
    </row>
    <row r="399" spans="1:18" s="367" customFormat="1" ht="36" hidden="1">
      <c r="A399" s="209"/>
      <c r="B399" s="371" t="s">
        <v>590</v>
      </c>
      <c r="C399" s="211">
        <f>SUM(C400:C407)</f>
        <v>0</v>
      </c>
      <c r="D399" s="213">
        <f t="shared" si="41"/>
        <v>0</v>
      </c>
      <c r="E399" s="213">
        <f t="shared" si="41"/>
        <v>0</v>
      </c>
      <c r="F399" s="105" t="e">
        <f t="shared" si="44"/>
        <v>#DIV/0!</v>
      </c>
      <c r="G399" s="211">
        <f>SUM(G400:G407)</f>
        <v>0</v>
      </c>
      <c r="H399" s="213">
        <f>SUM(H400:H407)</f>
        <v>0</v>
      </c>
      <c r="I399" s="108" t="e">
        <f t="shared" si="45"/>
        <v>#DIV/0!</v>
      </c>
      <c r="J399" s="215"/>
      <c r="K399" s="213"/>
      <c r="L399" s="217"/>
      <c r="M399" s="213"/>
      <c r="N399" s="213"/>
      <c r="O399" s="219"/>
      <c r="P399" s="213"/>
      <c r="Q399" s="213"/>
      <c r="R399" s="217"/>
    </row>
    <row r="400" spans="1:18" s="368" customFormat="1" ht="24" hidden="1">
      <c r="A400" s="267">
        <v>4112</v>
      </c>
      <c r="B400" s="198" t="s">
        <v>352</v>
      </c>
      <c r="C400" s="160"/>
      <c r="D400" s="104">
        <f t="shared" si="41"/>
        <v>0</v>
      </c>
      <c r="E400" s="104">
        <f t="shared" si="41"/>
        <v>0</v>
      </c>
      <c r="F400" s="105" t="e">
        <f t="shared" si="44"/>
        <v>#DIV/0!</v>
      </c>
      <c r="G400" s="160"/>
      <c r="H400" s="104"/>
      <c r="I400" s="108" t="e">
        <f t="shared" si="45"/>
        <v>#DIV/0!</v>
      </c>
      <c r="J400" s="109"/>
      <c r="K400" s="104"/>
      <c r="L400" s="108"/>
      <c r="M400" s="104"/>
      <c r="N400" s="104"/>
      <c r="O400" s="194"/>
      <c r="P400" s="104"/>
      <c r="Q400" s="104"/>
      <c r="R400" s="108"/>
    </row>
    <row r="401" spans="1:18" s="368" customFormat="1" ht="12.75" hidden="1">
      <c r="A401" s="267">
        <v>4122</v>
      </c>
      <c r="B401" s="198" t="s">
        <v>591</v>
      </c>
      <c r="C401" s="160"/>
      <c r="D401" s="104">
        <f t="shared" si="41"/>
        <v>0</v>
      </c>
      <c r="E401" s="104">
        <f t="shared" si="41"/>
        <v>0</v>
      </c>
      <c r="F401" s="105" t="e">
        <f>E401/D401*100</f>
        <v>#DIV/0!</v>
      </c>
      <c r="G401" s="160"/>
      <c r="H401" s="104"/>
      <c r="I401" s="108" t="e">
        <f t="shared" si="45"/>
        <v>#DIV/0!</v>
      </c>
      <c r="J401" s="109"/>
      <c r="K401" s="104"/>
      <c r="L401" s="108"/>
      <c r="M401" s="104"/>
      <c r="N401" s="104"/>
      <c r="O401" s="194"/>
      <c r="P401" s="104"/>
      <c r="Q401" s="104"/>
      <c r="R401" s="108"/>
    </row>
    <row r="402" spans="1:18" s="368" customFormat="1" ht="24" hidden="1">
      <c r="A402" s="363">
        <v>4171</v>
      </c>
      <c r="B402" s="198" t="s">
        <v>392</v>
      </c>
      <c r="C402" s="160"/>
      <c r="D402" s="104">
        <f t="shared" si="41"/>
        <v>0</v>
      </c>
      <c r="E402" s="104">
        <f t="shared" si="41"/>
        <v>0</v>
      </c>
      <c r="F402" s="105" t="e">
        <f>E402/D402*100</f>
        <v>#DIV/0!</v>
      </c>
      <c r="G402" s="160"/>
      <c r="H402" s="104"/>
      <c r="I402" s="108" t="e">
        <f t="shared" si="45"/>
        <v>#DIV/0!</v>
      </c>
      <c r="J402" s="109"/>
      <c r="K402" s="104"/>
      <c r="L402" s="108"/>
      <c r="M402" s="104"/>
      <c r="N402" s="104"/>
      <c r="O402" s="194"/>
      <c r="P402" s="104"/>
      <c r="Q402" s="104"/>
      <c r="R402" s="108"/>
    </row>
    <row r="403" spans="1:18" s="368" customFormat="1" ht="24" hidden="1">
      <c r="A403" s="363">
        <v>4172</v>
      </c>
      <c r="B403" s="198" t="s">
        <v>392</v>
      </c>
      <c r="C403" s="160"/>
      <c r="D403" s="104">
        <f t="shared" si="41"/>
        <v>0</v>
      </c>
      <c r="E403" s="104">
        <f t="shared" si="41"/>
        <v>0</v>
      </c>
      <c r="F403" s="105" t="e">
        <f>E403/D403*100</f>
        <v>#DIV/0!</v>
      </c>
      <c r="G403" s="160"/>
      <c r="H403" s="104"/>
      <c r="I403" s="108" t="e">
        <f t="shared" si="45"/>
        <v>#DIV/0!</v>
      </c>
      <c r="J403" s="109"/>
      <c r="K403" s="104"/>
      <c r="L403" s="108"/>
      <c r="M403" s="104"/>
      <c r="N403" s="104"/>
      <c r="O403" s="194"/>
      <c r="P403" s="104"/>
      <c r="Q403" s="104"/>
      <c r="R403" s="108"/>
    </row>
    <row r="404" spans="1:18" s="368" customFormat="1" ht="24" hidden="1">
      <c r="A404" s="267">
        <v>4211</v>
      </c>
      <c r="B404" s="198" t="s">
        <v>356</v>
      </c>
      <c r="C404" s="160"/>
      <c r="D404" s="104">
        <f t="shared" si="41"/>
        <v>0</v>
      </c>
      <c r="E404" s="104">
        <f t="shared" si="41"/>
        <v>0</v>
      </c>
      <c r="F404" s="105" t="e">
        <f t="shared" si="44"/>
        <v>#DIV/0!</v>
      </c>
      <c r="G404" s="160"/>
      <c r="H404" s="104"/>
      <c r="I404" s="108" t="e">
        <f t="shared" si="45"/>
        <v>#DIV/0!</v>
      </c>
      <c r="J404" s="109"/>
      <c r="K404" s="104"/>
      <c r="L404" s="108"/>
      <c r="M404" s="104"/>
      <c r="N404" s="104"/>
      <c r="O404" s="194"/>
      <c r="P404" s="104"/>
      <c r="Q404" s="104"/>
      <c r="R404" s="108"/>
    </row>
    <row r="405" spans="1:18" s="362" customFormat="1" ht="24" hidden="1">
      <c r="A405" s="191">
        <v>4212</v>
      </c>
      <c r="B405" s="198" t="s">
        <v>356</v>
      </c>
      <c r="C405" s="128"/>
      <c r="D405" s="104">
        <f t="shared" si="41"/>
        <v>0</v>
      </c>
      <c r="E405" s="104">
        <f t="shared" si="41"/>
        <v>0</v>
      </c>
      <c r="F405" s="105" t="e">
        <f t="shared" si="44"/>
        <v>#DIV/0!</v>
      </c>
      <c r="G405" s="128"/>
      <c r="H405" s="129"/>
      <c r="I405" s="108" t="e">
        <f t="shared" si="45"/>
        <v>#DIV/0!</v>
      </c>
      <c r="J405" s="193"/>
      <c r="K405" s="129"/>
      <c r="L405" s="108"/>
      <c r="M405" s="129"/>
      <c r="N405" s="129"/>
      <c r="O405" s="194"/>
      <c r="P405" s="129"/>
      <c r="Q405" s="129"/>
      <c r="R405" s="108"/>
    </row>
    <row r="406" spans="1:18" s="362" customFormat="1" ht="24" hidden="1">
      <c r="A406" s="363">
        <v>4301</v>
      </c>
      <c r="B406" s="198" t="s">
        <v>364</v>
      </c>
      <c r="C406" s="128"/>
      <c r="D406" s="104">
        <f t="shared" si="41"/>
        <v>0</v>
      </c>
      <c r="E406" s="104">
        <f t="shared" si="41"/>
        <v>0</v>
      </c>
      <c r="F406" s="105" t="e">
        <f t="shared" si="44"/>
        <v>#DIV/0!</v>
      </c>
      <c r="G406" s="128"/>
      <c r="H406" s="129"/>
      <c r="I406" s="108" t="e">
        <f t="shared" si="45"/>
        <v>#DIV/0!</v>
      </c>
      <c r="J406" s="193"/>
      <c r="K406" s="129"/>
      <c r="L406" s="108"/>
      <c r="M406" s="129"/>
      <c r="N406" s="129"/>
      <c r="O406" s="194"/>
      <c r="P406" s="129"/>
      <c r="Q406" s="129"/>
      <c r="R406" s="108"/>
    </row>
    <row r="407" spans="1:18" s="362" customFormat="1" ht="24" hidden="1">
      <c r="A407" s="363">
        <v>4302</v>
      </c>
      <c r="B407" s="198" t="s">
        <v>364</v>
      </c>
      <c r="C407" s="229"/>
      <c r="D407" s="104">
        <f t="shared" si="41"/>
        <v>0</v>
      </c>
      <c r="E407" s="104">
        <f t="shared" si="41"/>
        <v>0</v>
      </c>
      <c r="F407" s="105" t="e">
        <f t="shared" si="44"/>
        <v>#DIV/0!</v>
      </c>
      <c r="G407" s="229"/>
      <c r="H407" s="236"/>
      <c r="I407" s="108" t="e">
        <f t="shared" si="45"/>
        <v>#DIV/0!</v>
      </c>
      <c r="J407" s="233"/>
      <c r="K407" s="236"/>
      <c r="L407" s="170"/>
      <c r="M407" s="236"/>
      <c r="N407" s="236"/>
      <c r="O407" s="237"/>
      <c r="P407" s="236"/>
      <c r="Q407" s="236"/>
      <c r="R407" s="170"/>
    </row>
    <row r="408" spans="1:18" ht="24">
      <c r="A408" s="186">
        <v>75095</v>
      </c>
      <c r="B408" s="294" t="s">
        <v>592</v>
      </c>
      <c r="C408" s="188">
        <f>SUM(C409:C420)</f>
        <v>137610</v>
      </c>
      <c r="D408" s="137">
        <f t="shared" si="41"/>
        <v>137610</v>
      </c>
      <c r="E408" s="119">
        <f>SUM(E409:E420)</f>
        <v>21934</v>
      </c>
      <c r="F408" s="120">
        <f t="shared" si="44"/>
        <v>15.939248601119104</v>
      </c>
      <c r="G408" s="188">
        <f>SUM(G409:G420)</f>
        <v>137610</v>
      </c>
      <c r="H408" s="119">
        <f>SUM(H409:H420)</f>
        <v>21934</v>
      </c>
      <c r="I408" s="127">
        <f t="shared" si="45"/>
        <v>15.939248601119104</v>
      </c>
      <c r="J408" s="124"/>
      <c r="K408" s="119"/>
      <c r="L408" s="125"/>
      <c r="M408" s="119"/>
      <c r="N408" s="119"/>
      <c r="O408" s="190"/>
      <c r="P408" s="119"/>
      <c r="Q408" s="119"/>
      <c r="R408" s="127"/>
    </row>
    <row r="409" spans="1:18" ht="36" hidden="1">
      <c r="A409" s="191">
        <v>3020</v>
      </c>
      <c r="B409" s="198" t="s">
        <v>593</v>
      </c>
      <c r="C409" s="128"/>
      <c r="D409" s="104">
        <f t="shared" si="41"/>
        <v>0</v>
      </c>
      <c r="E409" s="129">
        <f aca="true" t="shared" si="46" ref="E409:E416">SUM(H409+K409+N409+Q409)</f>
        <v>0</v>
      </c>
      <c r="F409" s="105" t="e">
        <f t="shared" si="44"/>
        <v>#DIV/0!</v>
      </c>
      <c r="G409" s="132"/>
      <c r="H409" s="150"/>
      <c r="I409" s="108" t="e">
        <f t="shared" si="45"/>
        <v>#DIV/0!</v>
      </c>
      <c r="J409" s="193"/>
      <c r="K409" s="129"/>
      <c r="L409" s="110"/>
      <c r="M409" s="129"/>
      <c r="N409" s="129"/>
      <c r="O409" s="194"/>
      <c r="P409" s="129"/>
      <c r="Q409" s="129"/>
      <c r="R409" s="200"/>
    </row>
    <row r="410" spans="1:18" ht="24">
      <c r="A410" s="191">
        <v>4110</v>
      </c>
      <c r="B410" s="198" t="s">
        <v>352</v>
      </c>
      <c r="C410" s="128">
        <v>2050</v>
      </c>
      <c r="D410" s="104">
        <f t="shared" si="41"/>
        <v>2163</v>
      </c>
      <c r="E410" s="129">
        <f t="shared" si="46"/>
        <v>177</v>
      </c>
      <c r="F410" s="105">
        <f t="shared" si="44"/>
        <v>8.183079056865465</v>
      </c>
      <c r="G410" s="128">
        <f>2050+113</f>
        <v>2163</v>
      </c>
      <c r="H410" s="129">
        <v>177</v>
      </c>
      <c r="I410" s="108">
        <f t="shared" si="45"/>
        <v>8.183079056865465</v>
      </c>
      <c r="J410" s="193"/>
      <c r="K410" s="129"/>
      <c r="L410" s="110"/>
      <c r="M410" s="129"/>
      <c r="N410" s="129"/>
      <c r="O410" s="194"/>
      <c r="P410" s="129"/>
      <c r="Q410" s="129"/>
      <c r="R410" s="200"/>
    </row>
    <row r="411" spans="1:18" ht="12.75" hidden="1">
      <c r="A411" s="191">
        <v>4120</v>
      </c>
      <c r="B411" s="198" t="s">
        <v>504</v>
      </c>
      <c r="C411" s="128"/>
      <c r="D411" s="104">
        <f>G411+J411+P411+M411</f>
        <v>0</v>
      </c>
      <c r="E411" s="129">
        <f>SUM(H411+K411+N411+Q411)</f>
        <v>0</v>
      </c>
      <c r="F411" s="105" t="e">
        <f>E411/D411*100</f>
        <v>#DIV/0!</v>
      </c>
      <c r="G411" s="128"/>
      <c r="H411" s="129"/>
      <c r="I411" s="108" t="e">
        <f t="shared" si="45"/>
        <v>#DIV/0!</v>
      </c>
      <c r="J411" s="193"/>
      <c r="K411" s="129"/>
      <c r="L411" s="110"/>
      <c r="M411" s="129"/>
      <c r="N411" s="129"/>
      <c r="O411" s="194"/>
      <c r="P411" s="129"/>
      <c r="Q411" s="129"/>
      <c r="R411" s="200"/>
    </row>
    <row r="412" spans="1:18" ht="24">
      <c r="A412" s="191">
        <v>4170</v>
      </c>
      <c r="B412" s="198" t="s">
        <v>392</v>
      </c>
      <c r="C412" s="128">
        <v>36300</v>
      </c>
      <c r="D412" s="104">
        <f t="shared" si="41"/>
        <v>36187</v>
      </c>
      <c r="E412" s="129">
        <f t="shared" si="46"/>
        <v>4996</v>
      </c>
      <c r="F412" s="105">
        <f t="shared" si="44"/>
        <v>13.80606295078343</v>
      </c>
      <c r="G412" s="128">
        <f>36300-113</f>
        <v>36187</v>
      </c>
      <c r="H412" s="129">
        <v>4996</v>
      </c>
      <c r="I412" s="108">
        <f t="shared" si="45"/>
        <v>13.80606295078343</v>
      </c>
      <c r="J412" s="193"/>
      <c r="K412" s="129"/>
      <c r="L412" s="110"/>
      <c r="M412" s="129"/>
      <c r="N412" s="129"/>
      <c r="O412" s="194"/>
      <c r="P412" s="129"/>
      <c r="Q412" s="129"/>
      <c r="R412" s="200"/>
    </row>
    <row r="413" spans="1:18" ht="24">
      <c r="A413" s="191">
        <v>4210</v>
      </c>
      <c r="B413" s="198" t="s">
        <v>356</v>
      </c>
      <c r="C413" s="128">
        <v>27815</v>
      </c>
      <c r="D413" s="104">
        <f t="shared" si="41"/>
        <v>27185</v>
      </c>
      <c r="E413" s="129">
        <f t="shared" si="46"/>
        <v>4513</v>
      </c>
      <c r="F413" s="105">
        <f t="shared" si="44"/>
        <v>16.601066764759977</v>
      </c>
      <c r="G413" s="128">
        <f>27815-100-130-400</f>
        <v>27185</v>
      </c>
      <c r="H413" s="129">
        <v>4513</v>
      </c>
      <c r="I413" s="108">
        <f t="shared" si="45"/>
        <v>16.601066764759977</v>
      </c>
      <c r="J413" s="193"/>
      <c r="K413" s="129"/>
      <c r="L413" s="110"/>
      <c r="M413" s="129"/>
      <c r="N413" s="129"/>
      <c r="O413" s="194"/>
      <c r="P413" s="129"/>
      <c r="Q413" s="129"/>
      <c r="R413" s="200"/>
    </row>
    <row r="414" spans="1:18" ht="12.75">
      <c r="A414" s="191">
        <v>4260</v>
      </c>
      <c r="B414" s="198" t="s">
        <v>360</v>
      </c>
      <c r="C414" s="128">
        <v>5550</v>
      </c>
      <c r="D414" s="104">
        <f t="shared" si="41"/>
        <v>11700</v>
      </c>
      <c r="E414" s="129">
        <f t="shared" si="46"/>
        <v>2763</v>
      </c>
      <c r="F414" s="105">
        <f t="shared" si="44"/>
        <v>23.615384615384617</v>
      </c>
      <c r="G414" s="128">
        <f>5550+4000+1150+1000</f>
        <v>11700</v>
      </c>
      <c r="H414" s="129">
        <v>2763</v>
      </c>
      <c r="I414" s="108">
        <f t="shared" si="45"/>
        <v>23.615384615384617</v>
      </c>
      <c r="J414" s="193"/>
      <c r="K414" s="129"/>
      <c r="L414" s="110"/>
      <c r="M414" s="129"/>
      <c r="N414" s="129"/>
      <c r="O414" s="194"/>
      <c r="P414" s="129"/>
      <c r="Q414" s="129"/>
      <c r="R414" s="200"/>
    </row>
    <row r="415" spans="1:18" ht="24" hidden="1">
      <c r="A415" s="191">
        <v>4270</v>
      </c>
      <c r="B415" s="198" t="s">
        <v>362</v>
      </c>
      <c r="C415" s="128"/>
      <c r="D415" s="104">
        <f t="shared" si="41"/>
        <v>0</v>
      </c>
      <c r="E415" s="129">
        <f t="shared" si="46"/>
        <v>0</v>
      </c>
      <c r="F415" s="105" t="e">
        <f t="shared" si="44"/>
        <v>#DIV/0!</v>
      </c>
      <c r="G415" s="128"/>
      <c r="H415" s="129"/>
      <c r="I415" s="108" t="e">
        <f t="shared" si="45"/>
        <v>#DIV/0!</v>
      </c>
      <c r="J415" s="193"/>
      <c r="K415" s="129"/>
      <c r="L415" s="110"/>
      <c r="M415" s="129"/>
      <c r="N415" s="129"/>
      <c r="O415" s="194"/>
      <c r="P415" s="129"/>
      <c r="Q415" s="129"/>
      <c r="R415" s="200"/>
    </row>
    <row r="416" spans="1:18" ht="24">
      <c r="A416" s="191">
        <v>4300</v>
      </c>
      <c r="B416" s="198" t="s">
        <v>594</v>
      </c>
      <c r="C416" s="128">
        <v>16550</v>
      </c>
      <c r="D416" s="104">
        <f t="shared" si="41"/>
        <v>19575</v>
      </c>
      <c r="E416" s="129">
        <f t="shared" si="46"/>
        <v>1484</v>
      </c>
      <c r="F416" s="105">
        <f t="shared" si="44"/>
        <v>7.58109833971903</v>
      </c>
      <c r="G416" s="128">
        <f>16550-50+1300+475+400+900</f>
        <v>19575</v>
      </c>
      <c r="H416" s="129">
        <v>1484</v>
      </c>
      <c r="I416" s="108">
        <f t="shared" si="45"/>
        <v>7.58109833971903</v>
      </c>
      <c r="J416" s="193"/>
      <c r="K416" s="129"/>
      <c r="L416" s="110"/>
      <c r="M416" s="129"/>
      <c r="N416" s="129"/>
      <c r="O416" s="194"/>
      <c r="P416" s="129"/>
      <c r="Q416" s="129"/>
      <c r="R416" s="200"/>
    </row>
    <row r="417" spans="1:18" ht="48">
      <c r="A417" s="191">
        <v>4370</v>
      </c>
      <c r="B417" s="198" t="s">
        <v>462</v>
      </c>
      <c r="C417" s="128">
        <v>5430</v>
      </c>
      <c r="D417" s="104">
        <f t="shared" si="41"/>
        <v>5430</v>
      </c>
      <c r="E417" s="129">
        <f>SUM(H417+K417+N417+Q417)</f>
        <v>1280</v>
      </c>
      <c r="F417" s="105">
        <f>E417/D417*100</f>
        <v>23.572744014732965</v>
      </c>
      <c r="G417" s="128">
        <v>5430</v>
      </c>
      <c r="H417" s="129">
        <v>1280</v>
      </c>
      <c r="I417" s="108">
        <f t="shared" si="45"/>
        <v>23.572744014732965</v>
      </c>
      <c r="J417" s="193"/>
      <c r="K417" s="129"/>
      <c r="L417" s="110"/>
      <c r="M417" s="129"/>
      <c r="N417" s="129"/>
      <c r="O417" s="194"/>
      <c r="P417" s="129"/>
      <c r="Q417" s="129"/>
      <c r="R417" s="200"/>
    </row>
    <row r="418" spans="1:18" ht="24">
      <c r="A418" s="267">
        <v>4400</v>
      </c>
      <c r="B418" s="291" t="s">
        <v>463</v>
      </c>
      <c r="C418" s="128">
        <v>42355</v>
      </c>
      <c r="D418" s="104">
        <f t="shared" si="41"/>
        <v>33630</v>
      </c>
      <c r="E418" s="129">
        <f>SUM(H418+K418+N418+Q418)</f>
        <v>6664</v>
      </c>
      <c r="F418" s="105">
        <f t="shared" si="44"/>
        <v>19.815640796907523</v>
      </c>
      <c r="G418" s="128">
        <f>42355+100-5300-1625-1900</f>
        <v>33630</v>
      </c>
      <c r="H418" s="104">
        <v>6664</v>
      </c>
      <c r="I418" s="108">
        <f t="shared" si="45"/>
        <v>19.815640796907523</v>
      </c>
      <c r="J418" s="193"/>
      <c r="K418" s="129"/>
      <c r="L418" s="110"/>
      <c r="M418" s="129"/>
      <c r="N418" s="129"/>
      <c r="O418" s="194"/>
      <c r="P418" s="129"/>
      <c r="Q418" s="129"/>
      <c r="R418" s="200"/>
    </row>
    <row r="419" spans="1:18" ht="36">
      <c r="A419" s="267">
        <v>4750</v>
      </c>
      <c r="B419" s="305" t="s">
        <v>595</v>
      </c>
      <c r="C419" s="128">
        <v>1200</v>
      </c>
      <c r="D419" s="104">
        <f t="shared" si="41"/>
        <v>1330</v>
      </c>
      <c r="E419" s="129">
        <f>SUM(H419+K419+N419+Q419)</f>
        <v>55</v>
      </c>
      <c r="F419" s="105">
        <f>E419/D419*100</f>
        <v>4.135338345864661</v>
      </c>
      <c r="G419" s="128">
        <f>1200+130</f>
        <v>1330</v>
      </c>
      <c r="H419" s="104">
        <v>55</v>
      </c>
      <c r="I419" s="108">
        <f t="shared" si="45"/>
        <v>4.135338345864661</v>
      </c>
      <c r="J419" s="193"/>
      <c r="K419" s="129"/>
      <c r="L419" s="110"/>
      <c r="M419" s="129"/>
      <c r="N419" s="129"/>
      <c r="O419" s="194"/>
      <c r="P419" s="129"/>
      <c r="Q419" s="129"/>
      <c r="R419" s="200"/>
    </row>
    <row r="420" spans="1:18" ht="60">
      <c r="A420" s="227">
        <v>4740</v>
      </c>
      <c r="B420" s="228" t="s">
        <v>380</v>
      </c>
      <c r="C420" s="229">
        <v>360</v>
      </c>
      <c r="D420" s="230">
        <f t="shared" si="41"/>
        <v>410</v>
      </c>
      <c r="E420" s="236">
        <f>SUM(H420+K420+N420+Q420)</f>
        <v>2</v>
      </c>
      <c r="F420" s="168">
        <f t="shared" si="44"/>
        <v>0.4878048780487805</v>
      </c>
      <c r="G420" s="229">
        <f>360+50</f>
        <v>410</v>
      </c>
      <c r="H420" s="236">
        <v>2</v>
      </c>
      <c r="I420" s="170">
        <f t="shared" si="45"/>
        <v>0.4878048780487805</v>
      </c>
      <c r="J420" s="233"/>
      <c r="K420" s="236"/>
      <c r="L420" s="319"/>
      <c r="M420" s="236"/>
      <c r="N420" s="236"/>
      <c r="O420" s="237"/>
      <c r="P420" s="236"/>
      <c r="Q420" s="236"/>
      <c r="R420" s="238"/>
    </row>
    <row r="421" spans="1:18" ht="12.75" customHeight="1">
      <c r="A421" s="186">
        <v>75095</v>
      </c>
      <c r="B421" s="294" t="s">
        <v>378</v>
      </c>
      <c r="C421" s="188">
        <f>SUM(C422:C434)</f>
        <v>2911500</v>
      </c>
      <c r="D421" s="137">
        <f t="shared" si="41"/>
        <v>2929500</v>
      </c>
      <c r="E421" s="137">
        <f>H421+K421+Q421+N421</f>
        <v>541090</v>
      </c>
      <c r="F421" s="120">
        <f t="shared" si="44"/>
        <v>18.470387438129375</v>
      </c>
      <c r="G421" s="136">
        <f>SUM(G422:G434)</f>
        <v>2929500</v>
      </c>
      <c r="H421" s="137">
        <f>SUM(H422:H434)</f>
        <v>541090</v>
      </c>
      <c r="I421" s="127">
        <f t="shared" si="45"/>
        <v>18.470387438129375</v>
      </c>
      <c r="J421" s="124"/>
      <c r="K421" s="119"/>
      <c r="L421" s="125"/>
      <c r="M421" s="119"/>
      <c r="N421" s="119"/>
      <c r="O421" s="190"/>
      <c r="P421" s="119"/>
      <c r="Q421" s="119"/>
      <c r="R421" s="283"/>
    </row>
    <row r="422" spans="1:18" ht="48" hidden="1">
      <c r="A422" s="191">
        <v>3040</v>
      </c>
      <c r="B422" s="198" t="s">
        <v>596</v>
      </c>
      <c r="C422" s="128"/>
      <c r="D422" s="104">
        <f t="shared" si="41"/>
        <v>0</v>
      </c>
      <c r="E422" s="129">
        <f aca="true" t="shared" si="47" ref="E422:E436">SUM(H422+K422+N422+Q422)</f>
        <v>0</v>
      </c>
      <c r="F422" s="105" t="e">
        <f t="shared" si="44"/>
        <v>#DIV/0!</v>
      </c>
      <c r="G422" s="128"/>
      <c r="H422" s="104"/>
      <c r="I422" s="108" t="e">
        <f t="shared" si="45"/>
        <v>#DIV/0!</v>
      </c>
      <c r="J422" s="193"/>
      <c r="K422" s="129"/>
      <c r="L422" s="110"/>
      <c r="M422" s="129"/>
      <c r="N422" s="129"/>
      <c r="O422" s="194"/>
      <c r="P422" s="129"/>
      <c r="Q422" s="129"/>
      <c r="R422" s="200"/>
    </row>
    <row r="423" spans="1:18" ht="24">
      <c r="A423" s="191">
        <v>4110</v>
      </c>
      <c r="B423" s="198" t="s">
        <v>597</v>
      </c>
      <c r="C423" s="128">
        <v>4000</v>
      </c>
      <c r="D423" s="104">
        <f t="shared" si="41"/>
        <v>4000</v>
      </c>
      <c r="E423" s="129">
        <f t="shared" si="47"/>
        <v>0</v>
      </c>
      <c r="F423" s="105">
        <f t="shared" si="44"/>
        <v>0</v>
      </c>
      <c r="G423" s="128">
        <v>4000</v>
      </c>
      <c r="H423" s="104"/>
      <c r="I423" s="108">
        <f t="shared" si="45"/>
        <v>0</v>
      </c>
      <c r="J423" s="193"/>
      <c r="K423" s="129"/>
      <c r="L423" s="110"/>
      <c r="M423" s="129"/>
      <c r="N423" s="129"/>
      <c r="O423" s="194"/>
      <c r="P423" s="129"/>
      <c r="Q423" s="129"/>
      <c r="R423" s="200"/>
    </row>
    <row r="424" spans="1:18" ht="12.75">
      <c r="A424" s="191">
        <v>4120</v>
      </c>
      <c r="B424" s="198" t="s">
        <v>598</v>
      </c>
      <c r="C424" s="128">
        <v>2500</v>
      </c>
      <c r="D424" s="104">
        <f t="shared" si="41"/>
        <v>2500</v>
      </c>
      <c r="E424" s="129">
        <f t="shared" si="47"/>
        <v>0</v>
      </c>
      <c r="F424" s="105">
        <f t="shared" si="44"/>
        <v>0</v>
      </c>
      <c r="G424" s="128">
        <v>2500</v>
      </c>
      <c r="H424" s="104"/>
      <c r="I424" s="108">
        <f t="shared" si="45"/>
        <v>0</v>
      </c>
      <c r="J424" s="193"/>
      <c r="K424" s="129"/>
      <c r="L424" s="110"/>
      <c r="M424" s="129"/>
      <c r="N424" s="129"/>
      <c r="O424" s="194"/>
      <c r="P424" s="129"/>
      <c r="Q424" s="129"/>
      <c r="R424" s="200"/>
    </row>
    <row r="425" spans="1:18" ht="24">
      <c r="A425" s="191">
        <v>4170</v>
      </c>
      <c r="B425" s="198" t="s">
        <v>599</v>
      </c>
      <c r="C425" s="128">
        <v>10000</v>
      </c>
      <c r="D425" s="104">
        <f t="shared" si="41"/>
        <v>10000</v>
      </c>
      <c r="E425" s="129">
        <f t="shared" si="47"/>
        <v>4532</v>
      </c>
      <c r="F425" s="105">
        <f t="shared" si="44"/>
        <v>45.32</v>
      </c>
      <c r="G425" s="128">
        <v>10000</v>
      </c>
      <c r="H425" s="104">
        <v>4532</v>
      </c>
      <c r="I425" s="108">
        <f t="shared" si="45"/>
        <v>45.32</v>
      </c>
      <c r="J425" s="193"/>
      <c r="K425" s="129"/>
      <c r="L425" s="110"/>
      <c r="M425" s="129"/>
      <c r="N425" s="129"/>
      <c r="O425" s="194"/>
      <c r="P425" s="129"/>
      <c r="Q425" s="129"/>
      <c r="R425" s="200"/>
    </row>
    <row r="426" spans="1:18" ht="24">
      <c r="A426" s="191">
        <v>4210</v>
      </c>
      <c r="B426" s="198" t="s">
        <v>600</v>
      </c>
      <c r="C426" s="128">
        <v>9000</v>
      </c>
      <c r="D426" s="104">
        <f aca="true" t="shared" si="48" ref="D426:D491">G426+J426+P426+M426</f>
        <v>9000</v>
      </c>
      <c r="E426" s="129">
        <f t="shared" si="47"/>
        <v>2749</v>
      </c>
      <c r="F426" s="105">
        <f t="shared" si="44"/>
        <v>30.544444444444448</v>
      </c>
      <c r="G426" s="128">
        <v>9000</v>
      </c>
      <c r="H426" s="104">
        <v>2749</v>
      </c>
      <c r="I426" s="108">
        <f t="shared" si="45"/>
        <v>30.544444444444448</v>
      </c>
      <c r="J426" s="193"/>
      <c r="K426" s="129"/>
      <c r="L426" s="110"/>
      <c r="M426" s="129"/>
      <c r="N426" s="129"/>
      <c r="O426" s="194"/>
      <c r="P426" s="129"/>
      <c r="Q426" s="129"/>
      <c r="R426" s="200"/>
    </row>
    <row r="427" spans="1:18" ht="24">
      <c r="A427" s="191">
        <v>4300</v>
      </c>
      <c r="B427" s="198" t="s">
        <v>601</v>
      </c>
      <c r="C427" s="128">
        <v>150000</v>
      </c>
      <c r="D427" s="104">
        <f t="shared" si="48"/>
        <v>150000</v>
      </c>
      <c r="E427" s="129">
        <f>SUM(H427+K427+N427+Q427)</f>
        <v>15194</v>
      </c>
      <c r="F427" s="105">
        <f aca="true" t="shared" si="49" ref="F427:F432">E427/D427*100</f>
        <v>10.129333333333333</v>
      </c>
      <c r="G427" s="128">
        <v>150000</v>
      </c>
      <c r="H427" s="104">
        <v>15194</v>
      </c>
      <c r="I427" s="108">
        <f t="shared" si="45"/>
        <v>10.129333333333333</v>
      </c>
      <c r="J427" s="193"/>
      <c r="K427" s="129"/>
      <c r="L427" s="110"/>
      <c r="M427" s="129"/>
      <c r="N427" s="129"/>
      <c r="O427" s="194"/>
      <c r="P427" s="129"/>
      <c r="Q427" s="129"/>
      <c r="R427" s="200"/>
    </row>
    <row r="428" spans="1:18" ht="24">
      <c r="A428" s="369">
        <v>4350</v>
      </c>
      <c r="B428" s="305" t="s">
        <v>602</v>
      </c>
      <c r="C428" s="128">
        <v>3000</v>
      </c>
      <c r="D428" s="104">
        <f t="shared" si="48"/>
        <v>3000</v>
      </c>
      <c r="E428" s="129">
        <f>SUM(H428+K428+N428+Q428)</f>
        <v>49</v>
      </c>
      <c r="F428" s="105">
        <f t="shared" si="49"/>
        <v>1.633333333333333</v>
      </c>
      <c r="G428" s="128">
        <v>3000</v>
      </c>
      <c r="H428" s="104">
        <v>49</v>
      </c>
      <c r="I428" s="108">
        <f t="shared" si="45"/>
        <v>1.633333333333333</v>
      </c>
      <c r="J428" s="193"/>
      <c r="K428" s="129"/>
      <c r="L428" s="110"/>
      <c r="M428" s="129"/>
      <c r="N428" s="129"/>
      <c r="O428" s="194"/>
      <c r="P428" s="129"/>
      <c r="Q428" s="129"/>
      <c r="R428" s="200"/>
    </row>
    <row r="429" spans="1:18" ht="36">
      <c r="A429" s="191">
        <v>4380</v>
      </c>
      <c r="B429" s="198" t="s">
        <v>603</v>
      </c>
      <c r="C429" s="128">
        <v>35000</v>
      </c>
      <c r="D429" s="104">
        <f t="shared" si="48"/>
        <v>35000</v>
      </c>
      <c r="E429" s="129">
        <f>SUM(H429+K429+N429+Q429)</f>
        <v>1632</v>
      </c>
      <c r="F429" s="105">
        <f t="shared" si="49"/>
        <v>4.662857142857143</v>
      </c>
      <c r="G429" s="128">
        <v>35000</v>
      </c>
      <c r="H429" s="104">
        <v>1632</v>
      </c>
      <c r="I429" s="108">
        <f t="shared" si="45"/>
        <v>4.662857142857143</v>
      </c>
      <c r="J429" s="193"/>
      <c r="K429" s="129"/>
      <c r="L429" s="110"/>
      <c r="M429" s="129"/>
      <c r="N429" s="129"/>
      <c r="O429" s="194"/>
      <c r="P429" s="129"/>
      <c r="Q429" s="129"/>
      <c r="R429" s="200"/>
    </row>
    <row r="430" spans="1:18" ht="48">
      <c r="A430" s="191">
        <v>4390</v>
      </c>
      <c r="B430" s="305" t="s">
        <v>604</v>
      </c>
      <c r="C430" s="128"/>
      <c r="D430" s="104">
        <f t="shared" si="48"/>
        <v>200000</v>
      </c>
      <c r="E430" s="129">
        <f>SUM(H430+K430+N430+Q430)</f>
        <v>40992</v>
      </c>
      <c r="F430" s="105">
        <f t="shared" si="49"/>
        <v>20.496</v>
      </c>
      <c r="G430" s="128">
        <v>200000</v>
      </c>
      <c r="H430" s="104">
        <v>40992</v>
      </c>
      <c r="I430" s="108">
        <f t="shared" si="45"/>
        <v>20.496</v>
      </c>
      <c r="J430" s="193"/>
      <c r="K430" s="129"/>
      <c r="L430" s="110"/>
      <c r="M430" s="129"/>
      <c r="N430" s="129"/>
      <c r="O430" s="194"/>
      <c r="P430" s="129"/>
      <c r="Q430" s="129"/>
      <c r="R430" s="200"/>
    </row>
    <row r="431" spans="1:18" ht="24">
      <c r="A431" s="191">
        <v>4430</v>
      </c>
      <c r="B431" s="198" t="s">
        <v>605</v>
      </c>
      <c r="C431" s="128">
        <v>1656000</v>
      </c>
      <c r="D431" s="104">
        <f t="shared" si="48"/>
        <v>1656000</v>
      </c>
      <c r="E431" s="129">
        <f t="shared" si="47"/>
        <v>251942</v>
      </c>
      <c r="F431" s="105">
        <f t="shared" si="49"/>
        <v>15.213888888888889</v>
      </c>
      <c r="G431" s="128">
        <v>1656000</v>
      </c>
      <c r="H431" s="104">
        <v>251942</v>
      </c>
      <c r="I431" s="108">
        <f>H431/G431*100</f>
        <v>15.213888888888889</v>
      </c>
      <c r="J431" s="193"/>
      <c r="K431" s="129"/>
      <c r="L431" s="110"/>
      <c r="M431" s="129"/>
      <c r="N431" s="129"/>
      <c r="O431" s="194"/>
      <c r="P431" s="129"/>
      <c r="Q431" s="129"/>
      <c r="R431" s="200"/>
    </row>
    <row r="432" spans="1:18" ht="60">
      <c r="A432" s="191">
        <v>2819</v>
      </c>
      <c r="B432" s="198" t="s">
        <v>606</v>
      </c>
      <c r="C432" s="128">
        <v>250000</v>
      </c>
      <c r="D432" s="104">
        <f t="shared" si="48"/>
        <v>250000</v>
      </c>
      <c r="E432" s="129">
        <f>SUM(H432+K432+N432+Q432)</f>
        <v>0</v>
      </c>
      <c r="F432" s="105">
        <f t="shared" si="49"/>
        <v>0</v>
      </c>
      <c r="G432" s="247">
        <v>250000</v>
      </c>
      <c r="H432" s="104"/>
      <c r="I432" s="108">
        <f>H432/G432*100</f>
        <v>0</v>
      </c>
      <c r="J432" s="193"/>
      <c r="K432" s="129"/>
      <c r="L432" s="110"/>
      <c r="M432" s="193"/>
      <c r="N432" s="193"/>
      <c r="O432" s="194"/>
      <c r="P432" s="129"/>
      <c r="Q432" s="129"/>
      <c r="R432" s="200"/>
    </row>
    <row r="433" spans="1:18" ht="60">
      <c r="A433" s="191">
        <v>2810</v>
      </c>
      <c r="B433" s="198" t="s">
        <v>606</v>
      </c>
      <c r="C433" s="128"/>
      <c r="D433" s="104">
        <f>G433+J433+P433+M433</f>
        <v>610000</v>
      </c>
      <c r="E433" s="129">
        <f>SUM(H433+K433+N433+Q433)</f>
        <v>224000</v>
      </c>
      <c r="F433" s="105">
        <f>E433/D433*100</f>
        <v>36.721311475409834</v>
      </c>
      <c r="G433" s="247">
        <v>610000</v>
      </c>
      <c r="H433" s="104">
        <v>224000</v>
      </c>
      <c r="I433" s="108">
        <f>H433/G433*100</f>
        <v>36.721311475409834</v>
      </c>
      <c r="J433" s="193"/>
      <c r="K433" s="129"/>
      <c r="L433" s="110"/>
      <c r="M433" s="193"/>
      <c r="N433" s="193"/>
      <c r="O433" s="194"/>
      <c r="P433" s="129"/>
      <c r="Q433" s="129"/>
      <c r="R433" s="200"/>
    </row>
    <row r="434" spans="1:18" ht="72.75" thickBot="1">
      <c r="A434" s="191">
        <v>2820</v>
      </c>
      <c r="B434" s="198" t="s">
        <v>579</v>
      </c>
      <c r="C434" s="128">
        <v>792000</v>
      </c>
      <c r="D434" s="104">
        <f t="shared" si="48"/>
        <v>0</v>
      </c>
      <c r="E434" s="129">
        <f t="shared" si="47"/>
        <v>0</v>
      </c>
      <c r="F434" s="105" t="e">
        <f aca="true" t="shared" si="50" ref="F434:F497">E434/D434*100</f>
        <v>#DIV/0!</v>
      </c>
      <c r="G434" s="247">
        <f>792000-182000-610000</f>
        <v>0</v>
      </c>
      <c r="H434" s="129"/>
      <c r="I434" s="108"/>
      <c r="J434" s="193"/>
      <c r="K434" s="129"/>
      <c r="L434" s="110"/>
      <c r="M434" s="128"/>
      <c r="N434" s="193"/>
      <c r="O434" s="194"/>
      <c r="P434" s="129"/>
      <c r="Q434" s="129"/>
      <c r="R434" s="200"/>
    </row>
    <row r="435" spans="1:18" s="254" customFormat="1" ht="48.75" hidden="1" thickBot="1">
      <c r="A435" s="248"/>
      <c r="B435" s="249" t="s">
        <v>607</v>
      </c>
      <c r="C435" s="355"/>
      <c r="D435" s="356">
        <f t="shared" si="48"/>
        <v>0</v>
      </c>
      <c r="E435" s="356">
        <f t="shared" si="47"/>
        <v>0</v>
      </c>
      <c r="F435" s="105" t="e">
        <f t="shared" si="50"/>
        <v>#DIV/0!</v>
      </c>
      <c r="G435" s="355"/>
      <c r="H435" s="356"/>
      <c r="I435" s="108" t="e">
        <f t="shared" si="45"/>
        <v>#DIV/0!</v>
      </c>
      <c r="J435" s="357"/>
      <c r="K435" s="356"/>
      <c r="L435" s="110"/>
      <c r="M435" s="355"/>
      <c r="N435" s="357"/>
      <c r="O435" s="110"/>
      <c r="P435" s="356"/>
      <c r="Q435" s="356"/>
      <c r="R435" s="262"/>
    </row>
    <row r="436" spans="1:18" s="254" customFormat="1" ht="25.5" customHeight="1" hidden="1">
      <c r="A436" s="248"/>
      <c r="B436" s="249" t="s">
        <v>608</v>
      </c>
      <c r="C436" s="355"/>
      <c r="D436" s="356">
        <f t="shared" si="48"/>
        <v>0</v>
      </c>
      <c r="E436" s="356">
        <f t="shared" si="47"/>
        <v>0</v>
      </c>
      <c r="F436" s="105" t="e">
        <f t="shared" si="50"/>
        <v>#DIV/0!</v>
      </c>
      <c r="G436" s="355"/>
      <c r="H436" s="356"/>
      <c r="I436" s="108" t="e">
        <f t="shared" si="45"/>
        <v>#DIV/0!</v>
      </c>
      <c r="J436" s="357"/>
      <c r="K436" s="356"/>
      <c r="L436" s="110"/>
      <c r="M436" s="355"/>
      <c r="N436" s="357"/>
      <c r="O436" s="110"/>
      <c r="P436" s="356"/>
      <c r="Q436" s="356"/>
      <c r="R436" s="262"/>
    </row>
    <row r="437" spans="1:18" s="185" customFormat="1" ht="81.75" customHeight="1" thickBot="1" thickTop="1">
      <c r="A437" s="181">
        <v>751</v>
      </c>
      <c r="B437" s="182" t="s">
        <v>609</v>
      </c>
      <c r="C437" s="183">
        <f>C438+C464</f>
        <v>17910</v>
      </c>
      <c r="D437" s="78">
        <f t="shared" si="48"/>
        <v>15917</v>
      </c>
      <c r="E437" s="83">
        <f>H437+K437+Q437+N437</f>
        <v>0</v>
      </c>
      <c r="F437" s="79">
        <f t="shared" si="50"/>
        <v>0</v>
      </c>
      <c r="G437" s="183"/>
      <c r="H437" s="83"/>
      <c r="I437" s="184"/>
      <c r="J437" s="83">
        <f>SUM(J438+J464)+J452+J445</f>
        <v>15917</v>
      </c>
      <c r="K437" s="82">
        <f>K438+K464+K452+K445</f>
        <v>0</v>
      </c>
      <c r="L437" s="81">
        <f aca="true" t="shared" si="51" ref="L437:L469">K437/J437*100</f>
        <v>0</v>
      </c>
      <c r="M437" s="183"/>
      <c r="N437" s="82"/>
      <c r="O437" s="184"/>
      <c r="P437" s="83"/>
      <c r="Q437" s="83"/>
      <c r="R437" s="293"/>
    </row>
    <row r="438" spans="1:18" s="185" customFormat="1" ht="48.75" thickTop="1">
      <c r="A438" s="307">
        <v>75101</v>
      </c>
      <c r="B438" s="308" t="s">
        <v>610</v>
      </c>
      <c r="C438" s="309">
        <f>SUM(C439:C444)</f>
        <v>17910</v>
      </c>
      <c r="D438" s="189">
        <f t="shared" si="48"/>
        <v>15917</v>
      </c>
      <c r="E438" s="311">
        <f>SUM(E439:E444)</f>
        <v>0</v>
      </c>
      <c r="F438" s="168">
        <f t="shared" si="50"/>
        <v>0</v>
      </c>
      <c r="G438" s="309"/>
      <c r="H438" s="311"/>
      <c r="I438" s="237"/>
      <c r="J438" s="311">
        <f>SUM(J439:J444)</f>
        <v>15917</v>
      </c>
      <c r="K438" s="311">
        <f>SUM(K439:K444)</f>
        <v>0</v>
      </c>
      <c r="L438" s="232">
        <f t="shared" si="51"/>
        <v>0</v>
      </c>
      <c r="M438" s="309"/>
      <c r="N438" s="312"/>
      <c r="O438" s="237"/>
      <c r="P438" s="311"/>
      <c r="Q438" s="311"/>
      <c r="R438" s="238"/>
    </row>
    <row r="439" spans="1:18" s="269" customFormat="1" ht="24">
      <c r="A439" s="267">
        <v>4110</v>
      </c>
      <c r="B439" s="198" t="s">
        <v>352</v>
      </c>
      <c r="C439" s="160">
        <v>2320</v>
      </c>
      <c r="D439" s="104">
        <f t="shared" si="48"/>
        <v>2012</v>
      </c>
      <c r="E439" s="129">
        <f aca="true" t="shared" si="52" ref="E439:E475">SUM(H439+K439+N439+Q439)</f>
        <v>0</v>
      </c>
      <c r="F439" s="105">
        <f t="shared" si="50"/>
        <v>0</v>
      </c>
      <c r="G439" s="160"/>
      <c r="H439" s="104"/>
      <c r="I439" s="194"/>
      <c r="J439" s="348">
        <f>2320-308</f>
        <v>2012</v>
      </c>
      <c r="K439" s="104"/>
      <c r="L439" s="256">
        <f t="shared" si="51"/>
        <v>0</v>
      </c>
      <c r="M439" s="160"/>
      <c r="N439" s="109"/>
      <c r="O439" s="194"/>
      <c r="P439" s="104"/>
      <c r="Q439" s="104"/>
      <c r="R439" s="200"/>
    </row>
    <row r="440" spans="1:18" s="269" customFormat="1" ht="12.75">
      <c r="A440" s="267">
        <v>4120</v>
      </c>
      <c r="B440" s="198" t="s">
        <v>611</v>
      </c>
      <c r="C440" s="160">
        <v>330</v>
      </c>
      <c r="D440" s="104">
        <f t="shared" si="48"/>
        <v>286</v>
      </c>
      <c r="E440" s="129">
        <f t="shared" si="52"/>
        <v>0</v>
      </c>
      <c r="F440" s="105">
        <f t="shared" si="50"/>
        <v>0</v>
      </c>
      <c r="G440" s="160"/>
      <c r="H440" s="104"/>
      <c r="I440" s="194"/>
      <c r="J440" s="348">
        <f>330-44</f>
        <v>286</v>
      </c>
      <c r="K440" s="104"/>
      <c r="L440" s="256">
        <f t="shared" si="51"/>
        <v>0</v>
      </c>
      <c r="M440" s="160"/>
      <c r="N440" s="109"/>
      <c r="O440" s="194"/>
      <c r="P440" s="104"/>
      <c r="Q440" s="104"/>
      <c r="R440" s="200"/>
    </row>
    <row r="441" spans="1:18" s="269" customFormat="1" ht="24">
      <c r="A441" s="267">
        <v>4170</v>
      </c>
      <c r="B441" s="198" t="s">
        <v>392</v>
      </c>
      <c r="C441" s="160">
        <v>13500</v>
      </c>
      <c r="D441" s="104">
        <f t="shared" si="48"/>
        <v>11700</v>
      </c>
      <c r="E441" s="129">
        <f t="shared" si="52"/>
        <v>0</v>
      </c>
      <c r="F441" s="105">
        <f t="shared" si="50"/>
        <v>0</v>
      </c>
      <c r="G441" s="160"/>
      <c r="H441" s="104"/>
      <c r="I441" s="194"/>
      <c r="J441" s="348">
        <f>13500-1800</f>
        <v>11700</v>
      </c>
      <c r="K441" s="104"/>
      <c r="L441" s="256">
        <f t="shared" si="51"/>
        <v>0</v>
      </c>
      <c r="M441" s="160"/>
      <c r="N441" s="109"/>
      <c r="O441" s="194"/>
      <c r="P441" s="104"/>
      <c r="Q441" s="104"/>
      <c r="R441" s="200"/>
    </row>
    <row r="442" spans="1:18" s="269" customFormat="1" ht="24.75" thickBot="1">
      <c r="A442" s="191">
        <v>4210</v>
      </c>
      <c r="B442" s="198" t="s">
        <v>612</v>
      </c>
      <c r="C442" s="160">
        <v>1760</v>
      </c>
      <c r="D442" s="104">
        <f t="shared" si="48"/>
        <v>1919</v>
      </c>
      <c r="E442" s="129">
        <f t="shared" si="52"/>
        <v>0</v>
      </c>
      <c r="F442" s="105">
        <f t="shared" si="50"/>
        <v>0</v>
      </c>
      <c r="G442" s="160"/>
      <c r="H442" s="104"/>
      <c r="I442" s="194"/>
      <c r="J442" s="348">
        <f>1760+159</f>
        <v>1919</v>
      </c>
      <c r="K442" s="104"/>
      <c r="L442" s="256">
        <f t="shared" si="51"/>
        <v>0</v>
      </c>
      <c r="M442" s="160"/>
      <c r="N442" s="109"/>
      <c r="O442" s="194"/>
      <c r="P442" s="104"/>
      <c r="Q442" s="104"/>
      <c r="R442" s="200"/>
    </row>
    <row r="443" spans="1:18" s="269" customFormat="1" ht="60.75" hidden="1" thickBot="1">
      <c r="A443" s="267">
        <v>4740</v>
      </c>
      <c r="B443" s="291" t="s">
        <v>380</v>
      </c>
      <c r="C443" s="160"/>
      <c r="D443" s="104">
        <f>G443+J443+P443+M443</f>
        <v>0</v>
      </c>
      <c r="E443" s="129">
        <f>SUM(H443+K443+N443+Q443)</f>
        <v>0</v>
      </c>
      <c r="F443" s="105" t="e">
        <f>E443/D443*100</f>
        <v>#DIV/0!</v>
      </c>
      <c r="G443" s="160"/>
      <c r="H443" s="104"/>
      <c r="I443" s="194"/>
      <c r="J443" s="348"/>
      <c r="K443" s="104"/>
      <c r="L443" s="256" t="e">
        <f t="shared" si="51"/>
        <v>#DIV/0!</v>
      </c>
      <c r="M443" s="160"/>
      <c r="N443" s="109"/>
      <c r="O443" s="194"/>
      <c r="P443" s="104"/>
      <c r="Q443" s="104"/>
      <c r="R443" s="200"/>
    </row>
    <row r="444" spans="1:18" s="185" customFormat="1" ht="36.75" hidden="1" thickBot="1">
      <c r="A444" s="267">
        <v>4750</v>
      </c>
      <c r="B444" s="291" t="s">
        <v>467</v>
      </c>
      <c r="C444" s="128"/>
      <c r="D444" s="104">
        <f t="shared" si="48"/>
        <v>0</v>
      </c>
      <c r="E444" s="129">
        <f t="shared" si="52"/>
        <v>0</v>
      </c>
      <c r="F444" s="105" t="e">
        <f t="shared" si="50"/>
        <v>#DIV/0!</v>
      </c>
      <c r="G444" s="128"/>
      <c r="H444" s="129"/>
      <c r="I444" s="194"/>
      <c r="J444" s="247"/>
      <c r="K444" s="129"/>
      <c r="L444" s="256" t="e">
        <f t="shared" si="51"/>
        <v>#DIV/0!</v>
      </c>
      <c r="M444" s="128"/>
      <c r="N444" s="193"/>
      <c r="O444" s="194"/>
      <c r="P444" s="129"/>
      <c r="Q444" s="129"/>
      <c r="R444" s="200"/>
    </row>
    <row r="445" spans="1:18" s="185" customFormat="1" ht="36.75" hidden="1" thickBot="1">
      <c r="A445" s="239">
        <v>75107</v>
      </c>
      <c r="B445" s="296" t="s">
        <v>613</v>
      </c>
      <c r="C445" s="136"/>
      <c r="D445" s="137">
        <f t="shared" si="48"/>
        <v>0</v>
      </c>
      <c r="E445" s="137">
        <f t="shared" si="52"/>
        <v>0</v>
      </c>
      <c r="F445" s="214" t="e">
        <f t="shared" si="50"/>
        <v>#DIV/0!</v>
      </c>
      <c r="G445" s="136"/>
      <c r="H445" s="137"/>
      <c r="I445" s="190"/>
      <c r="J445" s="338">
        <f>SUM(J446:J451)</f>
        <v>0</v>
      </c>
      <c r="K445" s="137">
        <f>SUM(K446:K451)</f>
        <v>0</v>
      </c>
      <c r="L445" s="214" t="e">
        <f t="shared" si="51"/>
        <v>#DIV/0!</v>
      </c>
      <c r="M445" s="136"/>
      <c r="N445" s="140"/>
      <c r="O445" s="265"/>
      <c r="P445" s="140"/>
      <c r="Q445" s="137"/>
      <c r="R445" s="266"/>
    </row>
    <row r="446" spans="1:18" s="185" customFormat="1" ht="24.75" hidden="1" thickBot="1">
      <c r="A446" s="267">
        <v>3030</v>
      </c>
      <c r="B446" s="305" t="s">
        <v>344</v>
      </c>
      <c r="C446" s="128"/>
      <c r="D446" s="104">
        <f t="shared" si="48"/>
        <v>0</v>
      </c>
      <c r="E446" s="129">
        <f t="shared" si="52"/>
        <v>0</v>
      </c>
      <c r="F446" s="105" t="e">
        <f t="shared" si="50"/>
        <v>#DIV/0!</v>
      </c>
      <c r="G446" s="128"/>
      <c r="H446" s="129"/>
      <c r="I446" s="194"/>
      <c r="J446" s="337"/>
      <c r="K446" s="129"/>
      <c r="L446" s="256" t="e">
        <f t="shared" si="51"/>
        <v>#DIV/0!</v>
      </c>
      <c r="M446" s="128"/>
      <c r="N446" s="193"/>
      <c r="O446" s="194"/>
      <c r="P446" s="193"/>
      <c r="Q446" s="129"/>
      <c r="R446" s="200"/>
    </row>
    <row r="447" spans="1:18" s="185" customFormat="1" ht="24.75" hidden="1" thickBot="1">
      <c r="A447" s="267">
        <v>4110</v>
      </c>
      <c r="B447" s="305" t="s">
        <v>352</v>
      </c>
      <c r="C447" s="128"/>
      <c r="D447" s="104">
        <f t="shared" si="48"/>
        <v>0</v>
      </c>
      <c r="E447" s="129">
        <f t="shared" si="52"/>
        <v>0</v>
      </c>
      <c r="F447" s="105" t="e">
        <f t="shared" si="50"/>
        <v>#DIV/0!</v>
      </c>
      <c r="G447" s="128"/>
      <c r="H447" s="129"/>
      <c r="I447" s="194"/>
      <c r="J447" s="337"/>
      <c r="K447" s="129"/>
      <c r="L447" s="256" t="e">
        <f t="shared" si="51"/>
        <v>#DIV/0!</v>
      </c>
      <c r="M447" s="128"/>
      <c r="N447" s="193"/>
      <c r="O447" s="194"/>
      <c r="P447" s="193"/>
      <c r="Q447" s="129"/>
      <c r="R447" s="200"/>
    </row>
    <row r="448" spans="1:18" s="185" customFormat="1" ht="13.5" hidden="1" thickBot="1">
      <c r="A448" s="267">
        <v>4120</v>
      </c>
      <c r="B448" s="305" t="s">
        <v>504</v>
      </c>
      <c r="C448" s="128"/>
      <c r="D448" s="104">
        <f t="shared" si="48"/>
        <v>0</v>
      </c>
      <c r="E448" s="129">
        <f t="shared" si="52"/>
        <v>0</v>
      </c>
      <c r="F448" s="105" t="e">
        <f t="shared" si="50"/>
        <v>#DIV/0!</v>
      </c>
      <c r="G448" s="128"/>
      <c r="H448" s="129"/>
      <c r="I448" s="194"/>
      <c r="J448" s="337"/>
      <c r="K448" s="129"/>
      <c r="L448" s="256" t="e">
        <f t="shared" si="51"/>
        <v>#DIV/0!</v>
      </c>
      <c r="M448" s="128"/>
      <c r="N448" s="193"/>
      <c r="O448" s="194"/>
      <c r="P448" s="193"/>
      <c r="Q448" s="129"/>
      <c r="R448" s="200"/>
    </row>
    <row r="449" spans="1:18" s="185" customFormat="1" ht="24.75" hidden="1" thickBot="1">
      <c r="A449" s="191">
        <v>4170</v>
      </c>
      <c r="B449" s="198" t="s">
        <v>392</v>
      </c>
      <c r="C449" s="128"/>
      <c r="D449" s="104">
        <f t="shared" si="48"/>
        <v>0</v>
      </c>
      <c r="E449" s="129">
        <f t="shared" si="52"/>
        <v>0</v>
      </c>
      <c r="F449" s="105" t="e">
        <f t="shared" si="50"/>
        <v>#DIV/0!</v>
      </c>
      <c r="G449" s="128"/>
      <c r="H449" s="129"/>
      <c r="I449" s="194"/>
      <c r="J449" s="337"/>
      <c r="K449" s="129"/>
      <c r="L449" s="256" t="e">
        <f t="shared" si="51"/>
        <v>#DIV/0!</v>
      </c>
      <c r="M449" s="128"/>
      <c r="N449" s="193"/>
      <c r="O449" s="194"/>
      <c r="P449" s="193"/>
      <c r="Q449" s="129"/>
      <c r="R449" s="200"/>
    </row>
    <row r="450" spans="1:18" s="185" customFormat="1" ht="24.75" hidden="1" thickBot="1">
      <c r="A450" s="191">
        <v>4210</v>
      </c>
      <c r="B450" s="198" t="s">
        <v>356</v>
      </c>
      <c r="C450" s="128"/>
      <c r="D450" s="104">
        <f t="shared" si="48"/>
        <v>0</v>
      </c>
      <c r="E450" s="129">
        <f t="shared" si="52"/>
        <v>0</v>
      </c>
      <c r="F450" s="105" t="e">
        <f t="shared" si="50"/>
        <v>#DIV/0!</v>
      </c>
      <c r="G450" s="128"/>
      <c r="H450" s="129"/>
      <c r="I450" s="194"/>
      <c r="J450" s="337"/>
      <c r="K450" s="129"/>
      <c r="L450" s="256" t="e">
        <f t="shared" si="51"/>
        <v>#DIV/0!</v>
      </c>
      <c r="M450" s="128"/>
      <c r="N450" s="193"/>
      <c r="O450" s="194"/>
      <c r="P450" s="193"/>
      <c r="Q450" s="129"/>
      <c r="R450" s="200"/>
    </row>
    <row r="451" spans="1:18" s="185" customFormat="1" ht="24.75" hidden="1" thickBot="1">
      <c r="A451" s="191">
        <v>4300</v>
      </c>
      <c r="B451" s="198" t="s">
        <v>364</v>
      </c>
      <c r="C451" s="128"/>
      <c r="D451" s="104">
        <f t="shared" si="48"/>
        <v>0</v>
      </c>
      <c r="E451" s="129">
        <f t="shared" si="52"/>
        <v>0</v>
      </c>
      <c r="F451" s="105" t="e">
        <f t="shared" si="50"/>
        <v>#DIV/0!</v>
      </c>
      <c r="G451" s="128"/>
      <c r="H451" s="129"/>
      <c r="I451" s="194"/>
      <c r="J451" s="337"/>
      <c r="K451" s="129"/>
      <c r="L451" s="256" t="e">
        <f t="shared" si="51"/>
        <v>#DIV/0!</v>
      </c>
      <c r="M451" s="128"/>
      <c r="N451" s="193"/>
      <c r="O451" s="194"/>
      <c r="P451" s="193"/>
      <c r="Q451" s="129"/>
      <c r="R451" s="200"/>
    </row>
    <row r="452" spans="1:18" s="221" customFormat="1" ht="24.75" hidden="1" thickBot="1">
      <c r="A452" s="239">
        <v>75108</v>
      </c>
      <c r="B452" s="296" t="s">
        <v>614</v>
      </c>
      <c r="C452" s="136"/>
      <c r="D452" s="137">
        <f t="shared" si="48"/>
        <v>0</v>
      </c>
      <c r="E452" s="137">
        <f t="shared" si="52"/>
        <v>0</v>
      </c>
      <c r="F452" s="138" t="e">
        <f t="shared" si="50"/>
        <v>#DIV/0!</v>
      </c>
      <c r="G452" s="136"/>
      <c r="H452" s="137"/>
      <c r="I452" s="190"/>
      <c r="J452" s="373">
        <f>SUM(J453:J463)</f>
        <v>0</v>
      </c>
      <c r="K452" s="137">
        <f>SUM(K453:K463)</f>
        <v>0</v>
      </c>
      <c r="L452" s="214" t="e">
        <f t="shared" si="51"/>
        <v>#DIV/0!</v>
      </c>
      <c r="M452" s="136"/>
      <c r="N452" s="140"/>
      <c r="O452" s="265"/>
      <c r="P452" s="140"/>
      <c r="Q452" s="137"/>
      <c r="R452" s="266"/>
    </row>
    <row r="453" spans="1:18" s="269" customFormat="1" ht="35.25" customHeight="1" hidden="1">
      <c r="A453" s="267">
        <v>3020</v>
      </c>
      <c r="B453" s="305" t="s">
        <v>615</v>
      </c>
      <c r="C453" s="160"/>
      <c r="D453" s="104">
        <f t="shared" si="48"/>
        <v>0</v>
      </c>
      <c r="E453" s="129">
        <f t="shared" si="52"/>
        <v>0</v>
      </c>
      <c r="F453" s="105" t="e">
        <f t="shared" si="50"/>
        <v>#DIV/0!</v>
      </c>
      <c r="G453" s="160"/>
      <c r="H453" s="104"/>
      <c r="I453" s="194"/>
      <c r="J453" s="104"/>
      <c r="K453" s="109">
        <v>0</v>
      </c>
      <c r="L453" s="256" t="e">
        <f t="shared" si="51"/>
        <v>#DIV/0!</v>
      </c>
      <c r="M453" s="160"/>
      <c r="N453" s="109"/>
      <c r="O453" s="194"/>
      <c r="P453" s="109"/>
      <c r="Q453" s="104"/>
      <c r="R453" s="200"/>
    </row>
    <row r="454" spans="1:18" s="269" customFormat="1" ht="24.75" customHeight="1" hidden="1">
      <c r="A454" s="267">
        <v>3030</v>
      </c>
      <c r="B454" s="305" t="s">
        <v>344</v>
      </c>
      <c r="C454" s="160"/>
      <c r="D454" s="104">
        <f t="shared" si="48"/>
        <v>0</v>
      </c>
      <c r="E454" s="129">
        <f t="shared" si="52"/>
        <v>0</v>
      </c>
      <c r="F454" s="105" t="e">
        <f t="shared" si="50"/>
        <v>#DIV/0!</v>
      </c>
      <c r="G454" s="160"/>
      <c r="H454" s="104"/>
      <c r="I454" s="194"/>
      <c r="J454" s="104"/>
      <c r="K454" s="109"/>
      <c r="L454" s="256" t="e">
        <f t="shared" si="51"/>
        <v>#DIV/0!</v>
      </c>
      <c r="M454" s="160"/>
      <c r="N454" s="109"/>
      <c r="O454" s="194"/>
      <c r="P454" s="109"/>
      <c r="Q454" s="104"/>
      <c r="R454" s="200"/>
    </row>
    <row r="455" spans="1:18" s="269" customFormat="1" ht="24.75" customHeight="1" hidden="1">
      <c r="A455" s="267">
        <v>4110</v>
      </c>
      <c r="B455" s="305" t="s">
        <v>352</v>
      </c>
      <c r="C455" s="160"/>
      <c r="D455" s="104">
        <f t="shared" si="48"/>
        <v>0</v>
      </c>
      <c r="E455" s="129">
        <f t="shared" si="52"/>
        <v>0</v>
      </c>
      <c r="F455" s="105" t="e">
        <f t="shared" si="50"/>
        <v>#DIV/0!</v>
      </c>
      <c r="G455" s="160"/>
      <c r="H455" s="104"/>
      <c r="I455" s="194"/>
      <c r="J455" s="104"/>
      <c r="K455" s="109"/>
      <c r="L455" s="256" t="e">
        <f t="shared" si="51"/>
        <v>#DIV/0!</v>
      </c>
      <c r="M455" s="160"/>
      <c r="N455" s="109"/>
      <c r="O455" s="194"/>
      <c r="P455" s="109"/>
      <c r="Q455" s="104"/>
      <c r="R455" s="200"/>
    </row>
    <row r="456" spans="1:18" s="269" customFormat="1" ht="15" customHeight="1" hidden="1">
      <c r="A456" s="267">
        <v>4120</v>
      </c>
      <c r="B456" s="305" t="s">
        <v>504</v>
      </c>
      <c r="C456" s="160"/>
      <c r="D456" s="104">
        <f t="shared" si="48"/>
        <v>0</v>
      </c>
      <c r="E456" s="129">
        <f t="shared" si="52"/>
        <v>0</v>
      </c>
      <c r="F456" s="105" t="e">
        <f t="shared" si="50"/>
        <v>#DIV/0!</v>
      </c>
      <c r="G456" s="160"/>
      <c r="H456" s="104"/>
      <c r="I456" s="194"/>
      <c r="J456" s="104"/>
      <c r="K456" s="109"/>
      <c r="L456" s="256" t="e">
        <f t="shared" si="51"/>
        <v>#DIV/0!</v>
      </c>
      <c r="M456" s="160"/>
      <c r="N456" s="109"/>
      <c r="O456" s="194"/>
      <c r="P456" s="109"/>
      <c r="Q456" s="104"/>
      <c r="R456" s="200"/>
    </row>
    <row r="457" spans="1:18" s="185" customFormat="1" ht="26.25" customHeight="1" hidden="1">
      <c r="A457" s="191">
        <v>4170</v>
      </c>
      <c r="B457" s="198" t="s">
        <v>392</v>
      </c>
      <c r="C457" s="128"/>
      <c r="D457" s="104">
        <f t="shared" si="48"/>
        <v>0</v>
      </c>
      <c r="E457" s="129">
        <f t="shared" si="52"/>
        <v>0</v>
      </c>
      <c r="F457" s="105" t="e">
        <f t="shared" si="50"/>
        <v>#DIV/0!</v>
      </c>
      <c r="G457" s="128"/>
      <c r="H457" s="129"/>
      <c r="I457" s="194"/>
      <c r="J457" s="129"/>
      <c r="K457" s="193"/>
      <c r="L457" s="256" t="e">
        <f t="shared" si="51"/>
        <v>#DIV/0!</v>
      </c>
      <c r="M457" s="128"/>
      <c r="N457" s="193"/>
      <c r="O457" s="194"/>
      <c r="P457" s="193"/>
      <c r="Q457" s="129"/>
      <c r="R457" s="200"/>
    </row>
    <row r="458" spans="1:18" s="185" customFormat="1" ht="24.75" customHeight="1" hidden="1">
      <c r="A458" s="191">
        <v>4210</v>
      </c>
      <c r="B458" s="198" t="s">
        <v>356</v>
      </c>
      <c r="C458" s="128"/>
      <c r="D458" s="104">
        <f t="shared" si="48"/>
        <v>0</v>
      </c>
      <c r="E458" s="129">
        <f t="shared" si="52"/>
        <v>0</v>
      </c>
      <c r="F458" s="105" t="e">
        <f t="shared" si="50"/>
        <v>#DIV/0!</v>
      </c>
      <c r="G458" s="128"/>
      <c r="H458" s="129"/>
      <c r="I458" s="194"/>
      <c r="J458" s="129"/>
      <c r="K458" s="193"/>
      <c r="L458" s="256" t="e">
        <f t="shared" si="51"/>
        <v>#DIV/0!</v>
      </c>
      <c r="M458" s="128"/>
      <c r="N458" s="193"/>
      <c r="O458" s="194"/>
      <c r="P458" s="193"/>
      <c r="Q458" s="129"/>
      <c r="R458" s="200"/>
    </row>
    <row r="459" spans="1:18" s="185" customFormat="1" ht="13.5" hidden="1" thickBot="1">
      <c r="A459" s="191">
        <v>4260</v>
      </c>
      <c r="B459" s="198" t="s">
        <v>360</v>
      </c>
      <c r="C459" s="128"/>
      <c r="D459" s="104">
        <f t="shared" si="48"/>
        <v>0</v>
      </c>
      <c r="E459" s="129">
        <f>SUM(H459+K459+N459+Q459)</f>
        <v>0</v>
      </c>
      <c r="F459" s="105" t="e">
        <f>E459/D459*100</f>
        <v>#DIV/0!</v>
      </c>
      <c r="G459" s="128"/>
      <c r="H459" s="129"/>
      <c r="I459" s="194"/>
      <c r="J459" s="129">
        <f>50-50</f>
        <v>0</v>
      </c>
      <c r="K459" s="193"/>
      <c r="L459" s="256" t="e">
        <f t="shared" si="51"/>
        <v>#DIV/0!</v>
      </c>
      <c r="M459" s="128"/>
      <c r="N459" s="193"/>
      <c r="O459" s="194"/>
      <c r="P459" s="193"/>
      <c r="Q459" s="129"/>
      <c r="R459" s="200"/>
    </row>
    <row r="460" spans="1:18" s="185" customFormat="1" ht="24.75" hidden="1" thickBot="1">
      <c r="A460" s="191">
        <v>4300</v>
      </c>
      <c r="B460" s="198" t="s">
        <v>459</v>
      </c>
      <c r="C460" s="128"/>
      <c r="D460" s="104">
        <f t="shared" si="48"/>
        <v>0</v>
      </c>
      <c r="E460" s="129">
        <f>SUM(H460+K460+N460+Q460)</f>
        <v>0</v>
      </c>
      <c r="F460" s="105" t="e">
        <f>E460/D460*100</f>
        <v>#DIV/0!</v>
      </c>
      <c r="G460" s="128"/>
      <c r="H460" s="129"/>
      <c r="I460" s="194"/>
      <c r="J460" s="129"/>
      <c r="K460" s="193"/>
      <c r="L460" s="256" t="e">
        <f t="shared" si="51"/>
        <v>#DIV/0!</v>
      </c>
      <c r="M460" s="128"/>
      <c r="N460" s="193"/>
      <c r="O460" s="194"/>
      <c r="P460" s="193"/>
      <c r="Q460" s="129"/>
      <c r="R460" s="200"/>
    </row>
    <row r="461" spans="1:18" s="185" customFormat="1" ht="48.75" hidden="1" thickBot="1">
      <c r="A461" s="363">
        <v>4370</v>
      </c>
      <c r="B461" s="291" t="s">
        <v>577</v>
      </c>
      <c r="C461" s="128"/>
      <c r="D461" s="104">
        <f t="shared" si="48"/>
        <v>0</v>
      </c>
      <c r="E461" s="129">
        <f>SUM(H461+K461+N461+Q461)</f>
        <v>0</v>
      </c>
      <c r="F461" s="105" t="e">
        <f>E461/D461*100</f>
        <v>#DIV/0!</v>
      </c>
      <c r="G461" s="128"/>
      <c r="H461" s="129"/>
      <c r="I461" s="194"/>
      <c r="J461" s="129"/>
      <c r="K461" s="193"/>
      <c r="L461" s="256" t="e">
        <f t="shared" si="51"/>
        <v>#DIV/0!</v>
      </c>
      <c r="M461" s="128"/>
      <c r="N461" s="193"/>
      <c r="O461" s="194"/>
      <c r="P461" s="193"/>
      <c r="Q461" s="129"/>
      <c r="R461" s="200"/>
    </row>
    <row r="462" spans="1:18" s="185" customFormat="1" ht="60.75" hidden="1" thickBot="1">
      <c r="A462" s="267">
        <v>4740</v>
      </c>
      <c r="B462" s="291" t="s">
        <v>380</v>
      </c>
      <c r="C462" s="128"/>
      <c r="D462" s="104">
        <f t="shared" si="48"/>
        <v>0</v>
      </c>
      <c r="E462" s="129">
        <f>SUM(H462+K462+N462+Q462)</f>
        <v>0</v>
      </c>
      <c r="F462" s="105" t="e">
        <f>E462/D462*100</f>
        <v>#DIV/0!</v>
      </c>
      <c r="G462" s="128"/>
      <c r="H462" s="129"/>
      <c r="I462" s="194"/>
      <c r="J462" s="129"/>
      <c r="K462" s="193"/>
      <c r="L462" s="256" t="e">
        <f t="shared" si="51"/>
        <v>#DIV/0!</v>
      </c>
      <c r="M462" s="128"/>
      <c r="N462" s="193"/>
      <c r="O462" s="194"/>
      <c r="P462" s="193"/>
      <c r="Q462" s="129"/>
      <c r="R462" s="200"/>
    </row>
    <row r="463" spans="1:18" s="185" customFormat="1" ht="36.75" hidden="1" thickBot="1">
      <c r="A463" s="267">
        <v>4750</v>
      </c>
      <c r="B463" s="291" t="s">
        <v>467</v>
      </c>
      <c r="C463" s="128"/>
      <c r="D463" s="230">
        <f t="shared" si="48"/>
        <v>0</v>
      </c>
      <c r="E463" s="236">
        <f t="shared" si="52"/>
        <v>0</v>
      </c>
      <c r="F463" s="105" t="e">
        <f t="shared" si="50"/>
        <v>#DIV/0!</v>
      </c>
      <c r="G463" s="229"/>
      <c r="H463" s="236"/>
      <c r="I463" s="237"/>
      <c r="J463" s="236"/>
      <c r="K463" s="233"/>
      <c r="L463" s="256" t="e">
        <f t="shared" si="51"/>
        <v>#DIV/0!</v>
      </c>
      <c r="M463" s="229"/>
      <c r="N463" s="233"/>
      <c r="O463" s="237"/>
      <c r="P463" s="233"/>
      <c r="Q463" s="236"/>
      <c r="R463" s="238"/>
    </row>
    <row r="464" spans="1:18" s="221" customFormat="1" ht="27.75" customHeight="1" hidden="1">
      <c r="A464" s="239">
        <v>75110</v>
      </c>
      <c r="B464" s="296" t="s">
        <v>616</v>
      </c>
      <c r="C464" s="374"/>
      <c r="D464" s="104">
        <f t="shared" si="48"/>
        <v>0</v>
      </c>
      <c r="E464" s="129">
        <f t="shared" si="52"/>
        <v>0</v>
      </c>
      <c r="F464" s="120" t="e">
        <f t="shared" si="50"/>
        <v>#DIV/0!</v>
      </c>
      <c r="G464" s="374"/>
      <c r="H464" s="375"/>
      <c r="I464" s="190"/>
      <c r="J464" s="137">
        <f>SUM(J465:J469)</f>
        <v>0</v>
      </c>
      <c r="K464" s="137">
        <f>SUM(K465:K469)</f>
        <v>0</v>
      </c>
      <c r="L464" s="243" t="e">
        <f t="shared" si="51"/>
        <v>#DIV/0!</v>
      </c>
      <c r="M464" s="136"/>
      <c r="N464" s="140"/>
      <c r="O464" s="265"/>
      <c r="P464" s="140"/>
      <c r="Q464" s="137"/>
      <c r="R464" s="266"/>
    </row>
    <row r="465" spans="1:18" s="269" customFormat="1" ht="27.75" customHeight="1" hidden="1">
      <c r="A465" s="267">
        <v>3030</v>
      </c>
      <c r="B465" s="305" t="s">
        <v>344</v>
      </c>
      <c r="C465" s="160"/>
      <c r="D465" s="104">
        <f t="shared" si="48"/>
        <v>0</v>
      </c>
      <c r="E465" s="129">
        <f t="shared" si="52"/>
        <v>0</v>
      </c>
      <c r="F465" s="105" t="e">
        <f t="shared" si="50"/>
        <v>#DIV/0!</v>
      </c>
      <c r="G465" s="148"/>
      <c r="H465" s="149"/>
      <c r="I465" s="225"/>
      <c r="J465" s="149"/>
      <c r="K465" s="153"/>
      <c r="L465" s="113" t="e">
        <f t="shared" si="51"/>
        <v>#DIV/0!</v>
      </c>
      <c r="M465" s="148"/>
      <c r="N465" s="153"/>
      <c r="O465" s="194"/>
      <c r="P465" s="109"/>
      <c r="Q465" s="104"/>
      <c r="R465" s="200"/>
    </row>
    <row r="466" spans="1:18" s="269" customFormat="1" ht="27.75" customHeight="1" hidden="1">
      <c r="A466" s="267">
        <v>4110</v>
      </c>
      <c r="B466" s="305" t="s">
        <v>352</v>
      </c>
      <c r="C466" s="160"/>
      <c r="D466" s="104">
        <f t="shared" si="48"/>
        <v>0</v>
      </c>
      <c r="E466" s="129">
        <f t="shared" si="52"/>
        <v>0</v>
      </c>
      <c r="F466" s="105" t="e">
        <f t="shared" si="50"/>
        <v>#DIV/0!</v>
      </c>
      <c r="G466" s="160"/>
      <c r="H466" s="104"/>
      <c r="I466" s="194"/>
      <c r="J466" s="104"/>
      <c r="K466" s="109"/>
      <c r="L466" s="108" t="e">
        <f t="shared" si="51"/>
        <v>#DIV/0!</v>
      </c>
      <c r="M466" s="160"/>
      <c r="N466" s="109"/>
      <c r="O466" s="194"/>
      <c r="P466" s="109"/>
      <c r="Q466" s="104"/>
      <c r="R466" s="200"/>
    </row>
    <row r="467" spans="1:18" s="269" customFormat="1" ht="27.75" customHeight="1" hidden="1">
      <c r="A467" s="267">
        <v>4120</v>
      </c>
      <c r="B467" s="305" t="s">
        <v>509</v>
      </c>
      <c r="C467" s="160"/>
      <c r="D467" s="104">
        <f t="shared" si="48"/>
        <v>0</v>
      </c>
      <c r="E467" s="129">
        <f t="shared" si="52"/>
        <v>0</v>
      </c>
      <c r="F467" s="105" t="e">
        <f t="shared" si="50"/>
        <v>#DIV/0!</v>
      </c>
      <c r="G467" s="160"/>
      <c r="H467" s="104"/>
      <c r="I467" s="194"/>
      <c r="J467" s="104"/>
      <c r="K467" s="109"/>
      <c r="L467" s="108" t="e">
        <f t="shared" si="51"/>
        <v>#DIV/0!</v>
      </c>
      <c r="M467" s="160"/>
      <c r="N467" s="109"/>
      <c r="O467" s="194"/>
      <c r="P467" s="109"/>
      <c r="Q467" s="104"/>
      <c r="R467" s="200"/>
    </row>
    <row r="468" spans="1:18" s="185" customFormat="1" ht="25.5" customHeight="1" hidden="1">
      <c r="A468" s="191">
        <v>4210</v>
      </c>
      <c r="B468" s="198" t="s">
        <v>356</v>
      </c>
      <c r="C468" s="128"/>
      <c r="D468" s="104">
        <f t="shared" si="48"/>
        <v>0</v>
      </c>
      <c r="E468" s="129">
        <f t="shared" si="52"/>
        <v>0</v>
      </c>
      <c r="F468" s="105" t="e">
        <f t="shared" si="50"/>
        <v>#DIV/0!</v>
      </c>
      <c r="G468" s="128"/>
      <c r="H468" s="129"/>
      <c r="I468" s="194"/>
      <c r="J468" s="129"/>
      <c r="K468" s="193"/>
      <c r="L468" s="108" t="e">
        <f t="shared" si="51"/>
        <v>#DIV/0!</v>
      </c>
      <c r="M468" s="128"/>
      <c r="N468" s="193"/>
      <c r="O468" s="194"/>
      <c r="P468" s="193"/>
      <c r="Q468" s="129"/>
      <c r="R468" s="200"/>
    </row>
    <row r="469" spans="1:18" s="185" customFormat="1" ht="26.25" customHeight="1" hidden="1">
      <c r="A469" s="191">
        <v>4300</v>
      </c>
      <c r="B469" s="198" t="s">
        <v>364</v>
      </c>
      <c r="C469" s="128"/>
      <c r="D469" s="104">
        <f t="shared" si="48"/>
        <v>0</v>
      </c>
      <c r="E469" s="129">
        <f t="shared" si="52"/>
        <v>0</v>
      </c>
      <c r="F469" s="105" t="e">
        <f t="shared" si="50"/>
        <v>#DIV/0!</v>
      </c>
      <c r="G469" s="128"/>
      <c r="H469" s="129"/>
      <c r="I469" s="194"/>
      <c r="J469" s="129"/>
      <c r="K469" s="193"/>
      <c r="L469" s="108" t="e">
        <f t="shared" si="51"/>
        <v>#DIV/0!</v>
      </c>
      <c r="M469" s="128"/>
      <c r="N469" s="193"/>
      <c r="O469" s="194"/>
      <c r="P469" s="193"/>
      <c r="Q469" s="129"/>
      <c r="R469" s="200"/>
    </row>
    <row r="470" spans="1:18" s="221" customFormat="1" ht="17.25" customHeight="1" hidden="1">
      <c r="A470" s="201">
        <v>752</v>
      </c>
      <c r="B470" s="202" t="s">
        <v>617</v>
      </c>
      <c r="C470" s="203">
        <f>C471</f>
        <v>0</v>
      </c>
      <c r="D470" s="78">
        <f t="shared" si="48"/>
        <v>0</v>
      </c>
      <c r="E470" s="78">
        <f t="shared" si="52"/>
        <v>0</v>
      </c>
      <c r="F470" s="204" t="e">
        <f t="shared" si="50"/>
        <v>#DIV/0!</v>
      </c>
      <c r="G470" s="203"/>
      <c r="H470" s="78"/>
      <c r="I470" s="184"/>
      <c r="J470" s="78"/>
      <c r="K470" s="206"/>
      <c r="L470" s="207"/>
      <c r="M470" s="376"/>
      <c r="N470" s="78"/>
      <c r="O470" s="377"/>
      <c r="P470" s="206">
        <f>P471</f>
        <v>0</v>
      </c>
      <c r="Q470" s="78">
        <f>Q471</f>
        <v>0</v>
      </c>
      <c r="R470" s="208" t="e">
        <f aca="true" t="shared" si="53" ref="R470:R476">Q470/P470*100</f>
        <v>#DIV/0!</v>
      </c>
    </row>
    <row r="471" spans="1:18" s="221" customFormat="1" ht="25.5" hidden="1" thickBot="1" thickTop="1">
      <c r="A471" s="329">
        <v>75212</v>
      </c>
      <c r="B471" s="330" t="s">
        <v>618</v>
      </c>
      <c r="C471" s="331">
        <f>SUM(C472:C475)</f>
        <v>0</v>
      </c>
      <c r="D471" s="91">
        <f t="shared" si="48"/>
        <v>0</v>
      </c>
      <c r="E471" s="91">
        <f t="shared" si="52"/>
        <v>0</v>
      </c>
      <c r="F471" s="378" t="e">
        <f t="shared" si="50"/>
        <v>#DIV/0!</v>
      </c>
      <c r="G471" s="331"/>
      <c r="H471" s="91"/>
      <c r="I471" s="379"/>
      <c r="J471" s="91"/>
      <c r="K471" s="333"/>
      <c r="L471" s="334"/>
      <c r="M471" s="332"/>
      <c r="N471" s="91"/>
      <c r="O471" s="380"/>
      <c r="P471" s="333">
        <f>SUM(P472:P475)</f>
        <v>0</v>
      </c>
      <c r="Q471" s="91">
        <f>SUM(Q472:Q475)</f>
        <v>0</v>
      </c>
      <c r="R471" s="381" t="e">
        <f t="shared" si="53"/>
        <v>#DIV/0!</v>
      </c>
    </row>
    <row r="472" spans="1:18" s="269" customFormat="1" ht="24.75" hidden="1" thickBot="1">
      <c r="A472" s="267">
        <v>4170</v>
      </c>
      <c r="B472" s="305" t="s">
        <v>392</v>
      </c>
      <c r="C472" s="160"/>
      <c r="D472" s="104">
        <f t="shared" si="48"/>
        <v>0</v>
      </c>
      <c r="E472" s="129">
        <f t="shared" si="52"/>
        <v>0</v>
      </c>
      <c r="F472" s="105" t="e">
        <f t="shared" si="50"/>
        <v>#DIV/0!</v>
      </c>
      <c r="G472" s="160"/>
      <c r="H472" s="104"/>
      <c r="I472" s="194"/>
      <c r="J472" s="104"/>
      <c r="K472" s="109"/>
      <c r="L472" s="108"/>
      <c r="M472" s="335"/>
      <c r="N472" s="104"/>
      <c r="O472" s="194"/>
      <c r="P472" s="109">
        <f>300-300</f>
        <v>0</v>
      </c>
      <c r="Q472" s="104"/>
      <c r="R472" s="200" t="e">
        <f t="shared" si="53"/>
        <v>#DIV/0!</v>
      </c>
    </row>
    <row r="473" spans="1:18" s="269" customFormat="1" ht="24.75" hidden="1" thickBot="1">
      <c r="A473" s="267">
        <v>4210</v>
      </c>
      <c r="B473" s="305" t="s">
        <v>356</v>
      </c>
      <c r="C473" s="160"/>
      <c r="D473" s="104">
        <f t="shared" si="48"/>
        <v>0</v>
      </c>
      <c r="E473" s="129">
        <f t="shared" si="52"/>
        <v>0</v>
      </c>
      <c r="F473" s="105" t="e">
        <f t="shared" si="50"/>
        <v>#DIV/0!</v>
      </c>
      <c r="G473" s="160"/>
      <c r="H473" s="104"/>
      <c r="I473" s="194"/>
      <c r="J473" s="104"/>
      <c r="K473" s="109"/>
      <c r="L473" s="108"/>
      <c r="M473" s="335"/>
      <c r="N473" s="104"/>
      <c r="O473" s="194"/>
      <c r="P473" s="109"/>
      <c r="Q473" s="104"/>
      <c r="R473" s="200" t="e">
        <f t="shared" si="53"/>
        <v>#DIV/0!</v>
      </c>
    </row>
    <row r="474" spans="1:18" s="269" customFormat="1" ht="24.75" hidden="1" thickBot="1">
      <c r="A474" s="267">
        <v>4240</v>
      </c>
      <c r="B474" s="305" t="s">
        <v>619</v>
      </c>
      <c r="C474" s="160"/>
      <c r="D474" s="104">
        <f t="shared" si="48"/>
        <v>0</v>
      </c>
      <c r="E474" s="129">
        <f t="shared" si="52"/>
        <v>0</v>
      </c>
      <c r="F474" s="105" t="e">
        <f t="shared" si="50"/>
        <v>#DIV/0!</v>
      </c>
      <c r="G474" s="160"/>
      <c r="H474" s="104"/>
      <c r="I474" s="194"/>
      <c r="J474" s="104"/>
      <c r="K474" s="109"/>
      <c r="L474" s="108"/>
      <c r="M474" s="335"/>
      <c r="N474" s="104"/>
      <c r="O474" s="194"/>
      <c r="P474" s="109">
        <f>200-200</f>
        <v>0</v>
      </c>
      <c r="Q474" s="104"/>
      <c r="R474" s="200" t="e">
        <f t="shared" si="53"/>
        <v>#DIV/0!</v>
      </c>
    </row>
    <row r="475" spans="1:18" s="185" customFormat="1" ht="24.75" hidden="1" thickBot="1">
      <c r="A475" s="191">
        <v>4300</v>
      </c>
      <c r="B475" s="198" t="s">
        <v>364</v>
      </c>
      <c r="C475" s="128"/>
      <c r="D475" s="104">
        <f t="shared" si="48"/>
        <v>0</v>
      </c>
      <c r="E475" s="129">
        <f t="shared" si="52"/>
        <v>0</v>
      </c>
      <c r="F475" s="105" t="e">
        <f t="shared" si="50"/>
        <v>#DIV/0!</v>
      </c>
      <c r="G475" s="128"/>
      <c r="H475" s="129"/>
      <c r="I475" s="194"/>
      <c r="J475" s="129"/>
      <c r="K475" s="193"/>
      <c r="L475" s="108"/>
      <c r="M475" s="247"/>
      <c r="N475" s="129"/>
      <c r="O475" s="194"/>
      <c r="P475" s="193">
        <f>200-200</f>
        <v>0</v>
      </c>
      <c r="Q475" s="129"/>
      <c r="R475" s="200"/>
    </row>
    <row r="476" spans="1:18" s="185" customFormat="1" ht="55.5" customHeight="1" thickBot="1" thickTop="1">
      <c r="A476" s="181">
        <v>754</v>
      </c>
      <c r="B476" s="182" t="s">
        <v>620</v>
      </c>
      <c r="C476" s="183">
        <f>C518+C481+C516+C477+C527+C525</f>
        <v>8483600</v>
      </c>
      <c r="D476" s="78">
        <f t="shared" si="48"/>
        <v>10085186</v>
      </c>
      <c r="E476" s="78">
        <f>H476+K476+Q476+N476</f>
        <v>2533567</v>
      </c>
      <c r="F476" s="79">
        <f t="shared" si="50"/>
        <v>25.121668554253734</v>
      </c>
      <c r="G476" s="183">
        <f>G518+G481+G516+G477+G527+G525</f>
        <v>678000</v>
      </c>
      <c r="H476" s="83">
        <f>SUM(H477+H481+H516+H518)+H527+H525</f>
        <v>8943</v>
      </c>
      <c r="I476" s="81">
        <f>H476/G476*100</f>
        <v>1.3190265486725663</v>
      </c>
      <c r="J476" s="83">
        <f>J518</f>
        <v>8000</v>
      </c>
      <c r="K476" s="83">
        <f>K518</f>
        <v>1319</v>
      </c>
      <c r="L476" s="207">
        <f>K476/J476*100</f>
        <v>16.4875</v>
      </c>
      <c r="M476" s="341">
        <f>M477+M481</f>
        <v>1600000</v>
      </c>
      <c r="N476" s="83">
        <f>N477+N481</f>
        <v>700000</v>
      </c>
      <c r="O476" s="81">
        <f aca="true" t="shared" si="54" ref="O476:O481">N476/M476*100</f>
        <v>43.75</v>
      </c>
      <c r="P476" s="183">
        <f>P518+P481+P516+P477</f>
        <v>7799186</v>
      </c>
      <c r="Q476" s="83">
        <f>Q518+Q481+Q516+Q477</f>
        <v>1823305</v>
      </c>
      <c r="R476" s="81">
        <f t="shared" si="53"/>
        <v>23.37814484742382</v>
      </c>
    </row>
    <row r="477" spans="1:18" s="185" customFormat="1" ht="26.25" customHeight="1" thickTop="1">
      <c r="A477" s="382">
        <v>75405</v>
      </c>
      <c r="B477" s="383" t="s">
        <v>621</v>
      </c>
      <c r="C477" s="384">
        <f>SUM(C480)</f>
        <v>250000</v>
      </c>
      <c r="D477" s="91">
        <f t="shared" si="48"/>
        <v>250000</v>
      </c>
      <c r="E477" s="97">
        <f>H477+K477+Q477+N477</f>
        <v>0</v>
      </c>
      <c r="F477" s="92">
        <f t="shared" si="50"/>
        <v>0</v>
      </c>
      <c r="G477" s="384"/>
      <c r="H477" s="311"/>
      <c r="I477" s="237"/>
      <c r="J477" s="312"/>
      <c r="K477" s="311"/>
      <c r="L477" s="313"/>
      <c r="M477" s="311">
        <f>SUM(M478:M480)</f>
        <v>250000</v>
      </c>
      <c r="N477" s="311">
        <f>SUM(N478:N480)</f>
        <v>0</v>
      </c>
      <c r="O477" s="232">
        <f t="shared" si="54"/>
        <v>0</v>
      </c>
      <c r="P477" s="311"/>
      <c r="Q477" s="311"/>
      <c r="R477" s="170"/>
    </row>
    <row r="478" spans="1:18" s="185" customFormat="1" ht="24" hidden="1">
      <c r="A478" s="191">
        <v>3000</v>
      </c>
      <c r="B478" s="305" t="s">
        <v>622</v>
      </c>
      <c r="C478" s="128"/>
      <c r="D478" s="149">
        <f t="shared" si="48"/>
        <v>0</v>
      </c>
      <c r="E478" s="149">
        <f>H478+K478+Q478+N478</f>
        <v>0</v>
      </c>
      <c r="F478" s="130" t="e">
        <f t="shared" si="50"/>
        <v>#DIV/0!</v>
      </c>
      <c r="G478" s="286"/>
      <c r="H478" s="287"/>
      <c r="I478" s="194"/>
      <c r="J478" s="288"/>
      <c r="K478" s="287"/>
      <c r="L478" s="289"/>
      <c r="M478" s="129"/>
      <c r="N478" s="129"/>
      <c r="O478" s="256" t="e">
        <f t="shared" si="54"/>
        <v>#DIV/0!</v>
      </c>
      <c r="P478" s="128"/>
      <c r="Q478" s="129"/>
      <c r="R478" s="108"/>
    </row>
    <row r="479" spans="1:18" s="185" customFormat="1" ht="24" hidden="1">
      <c r="A479" s="191">
        <v>4300</v>
      </c>
      <c r="B479" s="305" t="s">
        <v>364</v>
      </c>
      <c r="C479" s="128"/>
      <c r="D479" s="104">
        <f t="shared" si="48"/>
        <v>0</v>
      </c>
      <c r="E479" s="104">
        <f>H479+K479+Q479+N479</f>
        <v>0</v>
      </c>
      <c r="F479" s="105" t="e">
        <f t="shared" si="50"/>
        <v>#DIV/0!</v>
      </c>
      <c r="G479" s="286"/>
      <c r="H479" s="288"/>
      <c r="I479" s="194"/>
      <c r="J479" s="288"/>
      <c r="K479" s="287"/>
      <c r="L479" s="289"/>
      <c r="M479" s="129"/>
      <c r="N479" s="129"/>
      <c r="O479" s="256" t="e">
        <f t="shared" si="54"/>
        <v>#DIV/0!</v>
      </c>
      <c r="P479" s="128"/>
      <c r="Q479" s="129"/>
      <c r="R479" s="108"/>
    </row>
    <row r="480" spans="1:18" s="185" customFormat="1" ht="60">
      <c r="A480" s="227">
        <v>6170</v>
      </c>
      <c r="B480" s="385" t="s">
        <v>623</v>
      </c>
      <c r="C480" s="229">
        <v>250000</v>
      </c>
      <c r="D480" s="230">
        <f t="shared" si="48"/>
        <v>250000</v>
      </c>
      <c r="E480" s="230">
        <f>H480+K480+Q480+N480</f>
        <v>0</v>
      </c>
      <c r="F480" s="168">
        <f t="shared" si="50"/>
        <v>0</v>
      </c>
      <c r="G480" s="309"/>
      <c r="H480" s="312"/>
      <c r="I480" s="237"/>
      <c r="J480" s="312"/>
      <c r="K480" s="311"/>
      <c r="L480" s="313"/>
      <c r="M480" s="236">
        <f>250000-100000+100000</f>
        <v>250000</v>
      </c>
      <c r="N480" s="236"/>
      <c r="O480" s="256">
        <f t="shared" si="54"/>
        <v>0</v>
      </c>
      <c r="P480" s="229"/>
      <c r="Q480" s="236"/>
      <c r="R480" s="170"/>
    </row>
    <row r="481" spans="1:18" s="185" customFormat="1" ht="36.75" customHeight="1">
      <c r="A481" s="307">
        <v>75411</v>
      </c>
      <c r="B481" s="308" t="s">
        <v>624</v>
      </c>
      <c r="C481" s="274">
        <f>SUM(C482:C515)</f>
        <v>7559600</v>
      </c>
      <c r="D481" s="189">
        <f t="shared" si="48"/>
        <v>9149186</v>
      </c>
      <c r="E481" s="189">
        <f aca="true" t="shared" si="55" ref="E481:E515">SUM(H481+K481+N481+Q481)</f>
        <v>2523305</v>
      </c>
      <c r="F481" s="168">
        <f t="shared" si="50"/>
        <v>27.579557350785088</v>
      </c>
      <c r="G481" s="309"/>
      <c r="H481" s="124"/>
      <c r="I481" s="190"/>
      <c r="J481" s="124"/>
      <c r="K481" s="119"/>
      <c r="L481" s="125"/>
      <c r="M481" s="119">
        <f>SUM(M482:M515)</f>
        <v>1350000</v>
      </c>
      <c r="N481" s="119">
        <f>SUM(N482:N515)</f>
        <v>700000</v>
      </c>
      <c r="O481" s="127">
        <f t="shared" si="54"/>
        <v>51.85185185185185</v>
      </c>
      <c r="P481" s="188">
        <f>SUM(P482:P515)</f>
        <v>7799186</v>
      </c>
      <c r="Q481" s="119">
        <f>SUM(Q482:Q515)</f>
        <v>1823305</v>
      </c>
      <c r="R481" s="214">
        <f aca="true" t="shared" si="56" ref="R481:R513">Q481/P481*100</f>
        <v>23.37814484742382</v>
      </c>
    </row>
    <row r="482" spans="1:18" s="185" customFormat="1" ht="48">
      <c r="A482" s="267">
        <v>3070</v>
      </c>
      <c r="B482" s="198" t="s">
        <v>625</v>
      </c>
      <c r="C482" s="128">
        <v>326886</v>
      </c>
      <c r="D482" s="104">
        <f t="shared" si="48"/>
        <v>326886</v>
      </c>
      <c r="E482" s="129">
        <f t="shared" si="55"/>
        <v>114201</v>
      </c>
      <c r="F482" s="105">
        <f t="shared" si="50"/>
        <v>34.93603274536077</v>
      </c>
      <c r="G482" s="286"/>
      <c r="H482" s="287"/>
      <c r="I482" s="194"/>
      <c r="J482" s="386"/>
      <c r="K482" s="287"/>
      <c r="L482" s="289"/>
      <c r="M482" s="287"/>
      <c r="N482" s="288"/>
      <c r="O482" s="194"/>
      <c r="P482" s="128">
        <v>326886</v>
      </c>
      <c r="Q482" s="129">
        <v>114201</v>
      </c>
      <c r="R482" s="256">
        <f t="shared" si="56"/>
        <v>34.93603274536077</v>
      </c>
    </row>
    <row r="483" spans="1:18" s="185" customFormat="1" ht="27.75" customHeight="1">
      <c r="A483" s="267">
        <v>4010</v>
      </c>
      <c r="B483" s="198" t="s">
        <v>626</v>
      </c>
      <c r="C483" s="128">
        <v>158054</v>
      </c>
      <c r="D483" s="104">
        <f t="shared" si="48"/>
        <v>165640</v>
      </c>
      <c r="E483" s="129">
        <f t="shared" si="55"/>
        <v>28124</v>
      </c>
      <c r="F483" s="105">
        <f t="shared" si="50"/>
        <v>16.97899058198503</v>
      </c>
      <c r="G483" s="286"/>
      <c r="H483" s="287"/>
      <c r="I483" s="194"/>
      <c r="J483" s="386"/>
      <c r="K483" s="287"/>
      <c r="L483" s="289"/>
      <c r="M483" s="287"/>
      <c r="N483" s="288"/>
      <c r="O483" s="194"/>
      <c r="P483" s="128">
        <f>158054+7586</f>
        <v>165640</v>
      </c>
      <c r="Q483" s="129">
        <v>28124</v>
      </c>
      <c r="R483" s="256">
        <f t="shared" si="56"/>
        <v>16.97899058198503</v>
      </c>
    </row>
    <row r="484" spans="1:18" s="185" customFormat="1" ht="36">
      <c r="A484" s="267">
        <v>4020</v>
      </c>
      <c r="B484" s="198" t="s">
        <v>348</v>
      </c>
      <c r="C484" s="128">
        <v>131066</v>
      </c>
      <c r="D484" s="104">
        <f t="shared" si="48"/>
        <v>137379</v>
      </c>
      <c r="E484" s="129">
        <f t="shared" si="55"/>
        <v>23577</v>
      </c>
      <c r="F484" s="105">
        <f t="shared" si="50"/>
        <v>17.16201166117092</v>
      </c>
      <c r="G484" s="286"/>
      <c r="H484" s="287"/>
      <c r="I484" s="194"/>
      <c r="J484" s="387"/>
      <c r="K484" s="287"/>
      <c r="L484" s="289"/>
      <c r="M484" s="287"/>
      <c r="N484" s="288"/>
      <c r="O484" s="194"/>
      <c r="P484" s="128">
        <f>131066+6313</f>
        <v>137379</v>
      </c>
      <c r="Q484" s="129">
        <v>23577</v>
      </c>
      <c r="R484" s="256">
        <f t="shared" si="56"/>
        <v>17.16201166117092</v>
      </c>
    </row>
    <row r="485" spans="1:18" s="185" customFormat="1" ht="24">
      <c r="A485" s="267">
        <v>4040</v>
      </c>
      <c r="B485" s="198" t="s">
        <v>350</v>
      </c>
      <c r="C485" s="128">
        <v>15852</v>
      </c>
      <c r="D485" s="104">
        <f t="shared" si="48"/>
        <v>15852</v>
      </c>
      <c r="E485" s="129">
        <f t="shared" si="55"/>
        <v>12411</v>
      </c>
      <c r="F485" s="105">
        <f t="shared" si="50"/>
        <v>78.29295987887964</v>
      </c>
      <c r="G485" s="286"/>
      <c r="H485" s="287"/>
      <c r="I485" s="194"/>
      <c r="J485" s="386"/>
      <c r="K485" s="287"/>
      <c r="L485" s="289"/>
      <c r="M485" s="287"/>
      <c r="N485" s="288"/>
      <c r="O485" s="194"/>
      <c r="P485" s="128">
        <v>15852</v>
      </c>
      <c r="Q485" s="129">
        <v>12411</v>
      </c>
      <c r="R485" s="256">
        <f t="shared" si="56"/>
        <v>78.29295987887964</v>
      </c>
    </row>
    <row r="486" spans="1:18" s="185" customFormat="1" ht="48">
      <c r="A486" s="267">
        <v>4050</v>
      </c>
      <c r="B486" s="198" t="s">
        <v>627</v>
      </c>
      <c r="C486" s="128">
        <v>4001321</v>
      </c>
      <c r="D486" s="104">
        <f t="shared" si="48"/>
        <v>4809210</v>
      </c>
      <c r="E486" s="129">
        <f t="shared" si="55"/>
        <v>1101271</v>
      </c>
      <c r="F486" s="105">
        <f t="shared" si="50"/>
        <v>22.899207978025498</v>
      </c>
      <c r="G486" s="286"/>
      <c r="H486" s="287"/>
      <c r="I486" s="194"/>
      <c r="J486" s="387"/>
      <c r="K486" s="287"/>
      <c r="L486" s="289"/>
      <c r="M486" s="287"/>
      <c r="N486" s="288"/>
      <c r="O486" s="194"/>
      <c r="P486" s="128">
        <f>4001321+807889</f>
        <v>4809210</v>
      </c>
      <c r="Q486" s="129">
        <v>1101271</v>
      </c>
      <c r="R486" s="256">
        <f t="shared" si="56"/>
        <v>22.899207978025498</v>
      </c>
    </row>
    <row r="487" spans="1:18" s="185" customFormat="1" ht="48">
      <c r="A487" s="267">
        <v>4060</v>
      </c>
      <c r="B487" s="198" t="s">
        <v>628</v>
      </c>
      <c r="C487" s="128">
        <v>326970</v>
      </c>
      <c r="D487" s="104">
        <f t="shared" si="48"/>
        <v>326970</v>
      </c>
      <c r="E487" s="129">
        <f t="shared" si="55"/>
        <v>5774</v>
      </c>
      <c r="F487" s="105">
        <f t="shared" si="50"/>
        <v>1.7659112456800317</v>
      </c>
      <c r="G487" s="286"/>
      <c r="H487" s="287"/>
      <c r="I487" s="194"/>
      <c r="J487" s="386"/>
      <c r="K487" s="287"/>
      <c r="L487" s="289"/>
      <c r="M487" s="287"/>
      <c r="N487" s="288"/>
      <c r="O487" s="194"/>
      <c r="P487" s="128">
        <v>326970</v>
      </c>
      <c r="Q487" s="129">
        <v>5774</v>
      </c>
      <c r="R487" s="256">
        <f t="shared" si="56"/>
        <v>1.7659112456800317</v>
      </c>
    </row>
    <row r="488" spans="1:18" s="185" customFormat="1" ht="60">
      <c r="A488" s="267">
        <v>4070</v>
      </c>
      <c r="B488" s="198" t="s">
        <v>629</v>
      </c>
      <c r="C488" s="128">
        <v>333310</v>
      </c>
      <c r="D488" s="104">
        <f t="shared" si="48"/>
        <v>400607</v>
      </c>
      <c r="E488" s="129">
        <f t="shared" si="55"/>
        <v>314010</v>
      </c>
      <c r="F488" s="105">
        <f t="shared" si="50"/>
        <v>78.38355295838565</v>
      </c>
      <c r="G488" s="286"/>
      <c r="H488" s="287"/>
      <c r="I488" s="194"/>
      <c r="J488" s="386"/>
      <c r="K488" s="287"/>
      <c r="L488" s="289"/>
      <c r="M488" s="287"/>
      <c r="N488" s="288"/>
      <c r="O488" s="194"/>
      <c r="P488" s="128">
        <f>333310+67297</f>
        <v>400607</v>
      </c>
      <c r="Q488" s="129">
        <v>314010</v>
      </c>
      <c r="R488" s="256">
        <f t="shared" si="56"/>
        <v>78.38355295838565</v>
      </c>
    </row>
    <row r="489" spans="1:18" s="185" customFormat="1" ht="60">
      <c r="A489" s="267">
        <v>4080</v>
      </c>
      <c r="B489" s="198" t="s">
        <v>630</v>
      </c>
      <c r="C489" s="128">
        <v>27855</v>
      </c>
      <c r="D489" s="104">
        <f t="shared" si="48"/>
        <v>27855</v>
      </c>
      <c r="E489" s="129">
        <f t="shared" si="55"/>
        <v>13928</v>
      </c>
      <c r="F489" s="105">
        <f t="shared" si="50"/>
        <v>50.00179500987255</v>
      </c>
      <c r="G489" s="286"/>
      <c r="H489" s="287"/>
      <c r="I489" s="194"/>
      <c r="J489" s="386"/>
      <c r="K489" s="287"/>
      <c r="L489" s="289"/>
      <c r="M489" s="287"/>
      <c r="N489" s="288"/>
      <c r="O489" s="194"/>
      <c r="P489" s="128">
        <v>27855</v>
      </c>
      <c r="Q489" s="129">
        <v>13928</v>
      </c>
      <c r="R489" s="256">
        <f t="shared" si="56"/>
        <v>50.00179500987255</v>
      </c>
    </row>
    <row r="490" spans="1:18" s="185" customFormat="1" ht="24">
      <c r="A490" s="267">
        <v>4110</v>
      </c>
      <c r="B490" s="198" t="s">
        <v>352</v>
      </c>
      <c r="C490" s="128">
        <v>56072</v>
      </c>
      <c r="D490" s="104">
        <f t="shared" si="48"/>
        <v>56072</v>
      </c>
      <c r="E490" s="129">
        <f t="shared" si="55"/>
        <v>10855</v>
      </c>
      <c r="F490" s="105">
        <f t="shared" si="50"/>
        <v>19.35903837922671</v>
      </c>
      <c r="G490" s="286"/>
      <c r="H490" s="287"/>
      <c r="I490" s="194"/>
      <c r="J490" s="387"/>
      <c r="K490" s="287"/>
      <c r="L490" s="289"/>
      <c r="M490" s="287"/>
      <c r="N490" s="288"/>
      <c r="O490" s="194"/>
      <c r="P490" s="128">
        <v>56072</v>
      </c>
      <c r="Q490" s="129">
        <v>10855</v>
      </c>
      <c r="R490" s="256">
        <f t="shared" si="56"/>
        <v>19.35903837922671</v>
      </c>
    </row>
    <row r="491" spans="1:18" s="185" customFormat="1" ht="24">
      <c r="A491" s="267">
        <v>4120</v>
      </c>
      <c r="B491" s="198" t="s">
        <v>509</v>
      </c>
      <c r="C491" s="128">
        <v>6640</v>
      </c>
      <c r="D491" s="104">
        <f t="shared" si="48"/>
        <v>6640</v>
      </c>
      <c r="E491" s="129">
        <f t="shared" si="55"/>
        <v>1562</v>
      </c>
      <c r="F491" s="105">
        <f t="shared" si="50"/>
        <v>23.52409638554217</v>
      </c>
      <c r="G491" s="286"/>
      <c r="H491" s="287"/>
      <c r="I491" s="194"/>
      <c r="J491" s="386"/>
      <c r="K491" s="287"/>
      <c r="L491" s="289"/>
      <c r="M491" s="287"/>
      <c r="N491" s="288"/>
      <c r="O491" s="194"/>
      <c r="P491" s="128">
        <v>6640</v>
      </c>
      <c r="Q491" s="129">
        <v>1562</v>
      </c>
      <c r="R491" s="256">
        <f t="shared" si="56"/>
        <v>23.52409638554217</v>
      </c>
    </row>
    <row r="492" spans="1:18" s="185" customFormat="1" ht="24">
      <c r="A492" s="267">
        <v>4170</v>
      </c>
      <c r="B492" s="198" t="s">
        <v>392</v>
      </c>
      <c r="C492" s="128">
        <v>3000</v>
      </c>
      <c r="D492" s="104">
        <f aca="true" t="shared" si="57" ref="D492:D529">G492+J492+P492+M492</f>
        <v>3000</v>
      </c>
      <c r="E492" s="129">
        <f t="shared" si="55"/>
        <v>1651</v>
      </c>
      <c r="F492" s="105">
        <f t="shared" si="50"/>
        <v>55.03333333333333</v>
      </c>
      <c r="G492" s="160"/>
      <c r="H492" s="104"/>
      <c r="I492" s="194"/>
      <c r="J492" s="386"/>
      <c r="K492" s="287"/>
      <c r="L492" s="289"/>
      <c r="M492" s="287"/>
      <c r="N492" s="288"/>
      <c r="O492" s="194"/>
      <c r="P492" s="128">
        <v>3000</v>
      </c>
      <c r="Q492" s="129">
        <v>1651</v>
      </c>
      <c r="R492" s="256">
        <f t="shared" si="56"/>
        <v>55.03333333333333</v>
      </c>
    </row>
    <row r="493" spans="1:18" s="185" customFormat="1" ht="48">
      <c r="A493" s="267">
        <v>4180</v>
      </c>
      <c r="B493" s="198" t="s">
        <v>631</v>
      </c>
      <c r="C493" s="128">
        <v>230246</v>
      </c>
      <c r="D493" s="104">
        <f t="shared" si="57"/>
        <v>230246</v>
      </c>
      <c r="E493" s="129">
        <f t="shared" si="55"/>
        <v>0</v>
      </c>
      <c r="F493" s="105">
        <f t="shared" si="50"/>
        <v>0</v>
      </c>
      <c r="G493" s="160"/>
      <c r="H493" s="104"/>
      <c r="I493" s="194"/>
      <c r="J493" s="386"/>
      <c r="K493" s="287"/>
      <c r="L493" s="289"/>
      <c r="M493" s="287"/>
      <c r="N493" s="288"/>
      <c r="O493" s="194"/>
      <c r="P493" s="128">
        <v>230246</v>
      </c>
      <c r="Q493" s="129"/>
      <c r="R493" s="256">
        <f t="shared" si="56"/>
        <v>0</v>
      </c>
    </row>
    <row r="494" spans="1:18" s="185" customFormat="1" ht="24">
      <c r="A494" s="191">
        <v>4210</v>
      </c>
      <c r="B494" s="198" t="s">
        <v>356</v>
      </c>
      <c r="C494" s="128">
        <v>210000</v>
      </c>
      <c r="D494" s="104">
        <f>G494+J494+P494+M494</f>
        <v>230000</v>
      </c>
      <c r="E494" s="129">
        <f t="shared" si="55"/>
        <v>45641</v>
      </c>
      <c r="F494" s="105">
        <f t="shared" si="50"/>
        <v>19.843913043478263</v>
      </c>
      <c r="G494" s="160"/>
      <c r="H494" s="104"/>
      <c r="I494" s="194"/>
      <c r="J494" s="386"/>
      <c r="K494" s="287"/>
      <c r="L494" s="289"/>
      <c r="M494" s="104">
        <f>30000+20000</f>
        <v>50000</v>
      </c>
      <c r="N494" s="109"/>
      <c r="O494" s="256">
        <f>N494/M494*100</f>
        <v>0</v>
      </c>
      <c r="P494" s="128">
        <v>180000</v>
      </c>
      <c r="Q494" s="129">
        <v>45641</v>
      </c>
      <c r="R494" s="256">
        <f t="shared" si="56"/>
        <v>25.35611111111111</v>
      </c>
    </row>
    <row r="495" spans="1:18" s="185" customFormat="1" ht="24" hidden="1">
      <c r="A495" s="191">
        <v>4250</v>
      </c>
      <c r="B495" s="198" t="s">
        <v>632</v>
      </c>
      <c r="C495" s="128"/>
      <c r="D495" s="104">
        <f t="shared" si="57"/>
        <v>0</v>
      </c>
      <c r="E495" s="129">
        <f t="shared" si="55"/>
        <v>0</v>
      </c>
      <c r="F495" s="105" t="e">
        <f t="shared" si="50"/>
        <v>#DIV/0!</v>
      </c>
      <c r="G495" s="160"/>
      <c r="H495" s="104"/>
      <c r="I495" s="194" t="e">
        <f>H495/G495*100</f>
        <v>#DIV/0!</v>
      </c>
      <c r="J495" s="386"/>
      <c r="K495" s="287"/>
      <c r="L495" s="289"/>
      <c r="M495" s="104"/>
      <c r="N495" s="109"/>
      <c r="O495" s="108" t="e">
        <f>N495/M495*100</f>
        <v>#DIV/0!</v>
      </c>
      <c r="P495" s="128"/>
      <c r="Q495" s="129"/>
      <c r="R495" s="256" t="e">
        <f t="shared" si="56"/>
        <v>#DIV/0!</v>
      </c>
    </row>
    <row r="496" spans="1:18" s="185" customFormat="1" ht="24" hidden="1">
      <c r="A496" s="191">
        <v>4220</v>
      </c>
      <c r="B496" s="198" t="s">
        <v>633</v>
      </c>
      <c r="C496" s="128"/>
      <c r="D496" s="104">
        <f t="shared" si="57"/>
        <v>0</v>
      </c>
      <c r="E496" s="129">
        <f t="shared" si="55"/>
        <v>0</v>
      </c>
      <c r="F496" s="105" t="e">
        <f t="shared" si="50"/>
        <v>#DIV/0!</v>
      </c>
      <c r="G496" s="160"/>
      <c r="H496" s="104"/>
      <c r="I496" s="194"/>
      <c r="J496" s="386"/>
      <c r="K496" s="287"/>
      <c r="L496" s="289"/>
      <c r="M496" s="104"/>
      <c r="N496" s="109"/>
      <c r="O496" s="108"/>
      <c r="P496" s="128"/>
      <c r="Q496" s="129"/>
      <c r="R496" s="256" t="e">
        <f t="shared" si="56"/>
        <v>#DIV/0!</v>
      </c>
    </row>
    <row r="497" spans="1:18" s="185" customFormat="1" ht="19.5" customHeight="1" hidden="1">
      <c r="A497" s="191">
        <v>4230</v>
      </c>
      <c r="B497" s="198" t="s">
        <v>358</v>
      </c>
      <c r="C497" s="128"/>
      <c r="D497" s="104">
        <f t="shared" si="57"/>
        <v>0</v>
      </c>
      <c r="E497" s="129">
        <f t="shared" si="55"/>
        <v>0</v>
      </c>
      <c r="F497" s="105" t="e">
        <f t="shared" si="50"/>
        <v>#DIV/0!</v>
      </c>
      <c r="G497" s="160"/>
      <c r="H497" s="104"/>
      <c r="I497" s="194"/>
      <c r="J497" s="386"/>
      <c r="K497" s="287"/>
      <c r="L497" s="289"/>
      <c r="M497" s="104"/>
      <c r="N497" s="109"/>
      <c r="O497" s="108"/>
      <c r="P497" s="128"/>
      <c r="Q497" s="129"/>
      <c r="R497" s="256" t="e">
        <f t="shared" si="56"/>
        <v>#DIV/0!</v>
      </c>
    </row>
    <row r="498" spans="1:18" s="185" customFormat="1" ht="24" hidden="1">
      <c r="A498" s="191">
        <v>4250</v>
      </c>
      <c r="B498" s="198" t="s">
        <v>634</v>
      </c>
      <c r="C498" s="128"/>
      <c r="D498" s="104">
        <f t="shared" si="57"/>
        <v>0</v>
      </c>
      <c r="E498" s="129">
        <f t="shared" si="55"/>
        <v>0</v>
      </c>
      <c r="F498" s="105"/>
      <c r="G498" s="160"/>
      <c r="H498" s="104"/>
      <c r="I498" s="194"/>
      <c r="J498" s="386"/>
      <c r="K498" s="287"/>
      <c r="L498" s="289"/>
      <c r="M498" s="104"/>
      <c r="N498" s="109"/>
      <c r="O498" s="108"/>
      <c r="P498" s="128"/>
      <c r="Q498" s="129"/>
      <c r="R498" s="256" t="e">
        <f t="shared" si="56"/>
        <v>#DIV/0!</v>
      </c>
    </row>
    <row r="499" spans="1:18" s="185" customFormat="1" ht="12.75">
      <c r="A499" s="191">
        <v>4260</v>
      </c>
      <c r="B499" s="198" t="s">
        <v>360</v>
      </c>
      <c r="C499" s="128">
        <v>190000</v>
      </c>
      <c r="D499" s="104">
        <f t="shared" si="57"/>
        <v>190000</v>
      </c>
      <c r="E499" s="129">
        <f t="shared" si="55"/>
        <v>82384</v>
      </c>
      <c r="F499" s="105">
        <f aca="true" t="shared" si="58" ref="F499:F510">E499/D499*100</f>
        <v>43.36</v>
      </c>
      <c r="G499" s="160"/>
      <c r="H499" s="104"/>
      <c r="I499" s="194"/>
      <c r="J499" s="387"/>
      <c r="K499" s="287"/>
      <c r="L499" s="289"/>
      <c r="M499" s="104"/>
      <c r="N499" s="109"/>
      <c r="O499" s="108"/>
      <c r="P499" s="128">
        <v>190000</v>
      </c>
      <c r="Q499" s="129">
        <v>82384</v>
      </c>
      <c r="R499" s="256">
        <f t="shared" si="56"/>
        <v>43.36</v>
      </c>
    </row>
    <row r="500" spans="1:18" s="185" customFormat="1" ht="24">
      <c r="A500" s="191">
        <v>4270</v>
      </c>
      <c r="B500" s="198" t="s">
        <v>362</v>
      </c>
      <c r="C500" s="128">
        <v>30000</v>
      </c>
      <c r="D500" s="104">
        <f t="shared" si="57"/>
        <v>30000</v>
      </c>
      <c r="E500" s="129">
        <f t="shared" si="55"/>
        <v>20566</v>
      </c>
      <c r="F500" s="105">
        <f t="shared" si="58"/>
        <v>68.55333333333333</v>
      </c>
      <c r="G500" s="160"/>
      <c r="H500" s="104"/>
      <c r="I500" s="194"/>
      <c r="J500" s="386"/>
      <c r="K500" s="287"/>
      <c r="L500" s="289"/>
      <c r="M500" s="104"/>
      <c r="N500" s="109"/>
      <c r="O500" s="256"/>
      <c r="P500" s="128">
        <v>30000</v>
      </c>
      <c r="Q500" s="129">
        <v>20566</v>
      </c>
      <c r="R500" s="256">
        <f t="shared" si="56"/>
        <v>68.55333333333333</v>
      </c>
    </row>
    <row r="501" spans="1:18" s="185" customFormat="1" ht="24">
      <c r="A501" s="191">
        <v>4280</v>
      </c>
      <c r="B501" s="198" t="s">
        <v>458</v>
      </c>
      <c r="C501" s="128">
        <v>20000</v>
      </c>
      <c r="D501" s="104">
        <f t="shared" si="57"/>
        <v>20000</v>
      </c>
      <c r="E501" s="129">
        <f t="shared" si="55"/>
        <v>2803</v>
      </c>
      <c r="F501" s="105">
        <f t="shared" si="58"/>
        <v>14.015</v>
      </c>
      <c r="G501" s="160"/>
      <c r="H501" s="104"/>
      <c r="I501" s="194"/>
      <c r="J501" s="386"/>
      <c r="K501" s="287"/>
      <c r="L501" s="289"/>
      <c r="M501" s="104"/>
      <c r="N501" s="109"/>
      <c r="O501" s="108"/>
      <c r="P501" s="128">
        <v>20000</v>
      </c>
      <c r="Q501" s="129">
        <v>2803</v>
      </c>
      <c r="R501" s="256">
        <f t="shared" si="56"/>
        <v>14.015</v>
      </c>
    </row>
    <row r="502" spans="1:18" s="185" customFormat="1" ht="24">
      <c r="A502" s="191">
        <v>4300</v>
      </c>
      <c r="B502" s="198" t="s">
        <v>364</v>
      </c>
      <c r="C502" s="128">
        <v>141514</v>
      </c>
      <c r="D502" s="104">
        <f t="shared" si="57"/>
        <v>121514</v>
      </c>
      <c r="E502" s="129">
        <f t="shared" si="55"/>
        <v>22852</v>
      </c>
      <c r="F502" s="105">
        <f t="shared" si="58"/>
        <v>18.806063498856098</v>
      </c>
      <c r="G502" s="160"/>
      <c r="H502" s="104"/>
      <c r="I502" s="194"/>
      <c r="J502" s="386"/>
      <c r="K502" s="287"/>
      <c r="L502" s="289"/>
      <c r="M502" s="104"/>
      <c r="N502" s="109"/>
      <c r="O502" s="256"/>
      <c r="P502" s="128">
        <v>121514</v>
      </c>
      <c r="Q502" s="129">
        <v>22852</v>
      </c>
      <c r="R502" s="256">
        <f t="shared" si="56"/>
        <v>18.806063498856098</v>
      </c>
    </row>
    <row r="503" spans="1:18" s="185" customFormat="1" ht="24">
      <c r="A503" s="191">
        <v>4350</v>
      </c>
      <c r="B503" s="198" t="s">
        <v>460</v>
      </c>
      <c r="C503" s="128">
        <v>500</v>
      </c>
      <c r="D503" s="104">
        <f t="shared" si="57"/>
        <v>500</v>
      </c>
      <c r="E503" s="129">
        <f t="shared" si="55"/>
        <v>429</v>
      </c>
      <c r="F503" s="105">
        <f t="shared" si="58"/>
        <v>85.8</v>
      </c>
      <c r="G503" s="160"/>
      <c r="H503" s="104"/>
      <c r="I503" s="194"/>
      <c r="J503" s="386"/>
      <c r="K503" s="287"/>
      <c r="L503" s="289"/>
      <c r="M503" s="104"/>
      <c r="N503" s="109"/>
      <c r="O503" s="108"/>
      <c r="P503" s="128">
        <v>500</v>
      </c>
      <c r="Q503" s="129">
        <v>429</v>
      </c>
      <c r="R503" s="256">
        <f t="shared" si="56"/>
        <v>85.8</v>
      </c>
    </row>
    <row r="504" spans="1:18" s="185" customFormat="1" ht="48">
      <c r="A504" s="267">
        <v>4360</v>
      </c>
      <c r="B504" s="291" t="s">
        <v>635</v>
      </c>
      <c r="C504" s="128">
        <v>8000</v>
      </c>
      <c r="D504" s="104">
        <f t="shared" si="57"/>
        <v>8000</v>
      </c>
      <c r="E504" s="129">
        <f t="shared" si="55"/>
        <v>1796</v>
      </c>
      <c r="F504" s="105">
        <f t="shared" si="58"/>
        <v>22.45</v>
      </c>
      <c r="G504" s="160"/>
      <c r="H504" s="104"/>
      <c r="I504" s="194"/>
      <c r="J504" s="386"/>
      <c r="K504" s="287"/>
      <c r="L504" s="289"/>
      <c r="M504" s="287"/>
      <c r="N504" s="288"/>
      <c r="O504" s="108"/>
      <c r="P504" s="128">
        <v>8000</v>
      </c>
      <c r="Q504" s="129">
        <v>1796</v>
      </c>
      <c r="R504" s="256">
        <f t="shared" si="56"/>
        <v>22.45</v>
      </c>
    </row>
    <row r="505" spans="1:18" s="185" customFormat="1" ht="48">
      <c r="A505" s="267">
        <v>4370</v>
      </c>
      <c r="B505" s="291" t="s">
        <v>577</v>
      </c>
      <c r="C505" s="128">
        <v>22000</v>
      </c>
      <c r="D505" s="104">
        <f t="shared" si="57"/>
        <v>22000</v>
      </c>
      <c r="E505" s="129">
        <f t="shared" si="55"/>
        <v>5739</v>
      </c>
      <c r="F505" s="105">
        <f t="shared" si="58"/>
        <v>26.086363636363636</v>
      </c>
      <c r="G505" s="160"/>
      <c r="H505" s="104"/>
      <c r="I505" s="194"/>
      <c r="J505" s="386"/>
      <c r="K505" s="287"/>
      <c r="L505" s="289"/>
      <c r="M505" s="287"/>
      <c r="N505" s="288"/>
      <c r="O505" s="108"/>
      <c r="P505" s="128">
        <v>22000</v>
      </c>
      <c r="Q505" s="129">
        <v>5739</v>
      </c>
      <c r="R505" s="256">
        <f t="shared" si="56"/>
        <v>26.086363636363636</v>
      </c>
    </row>
    <row r="506" spans="1:18" s="185" customFormat="1" ht="21" customHeight="1">
      <c r="A506" s="191">
        <v>4410</v>
      </c>
      <c r="B506" s="198" t="s">
        <v>338</v>
      </c>
      <c r="C506" s="128">
        <v>11000</v>
      </c>
      <c r="D506" s="104">
        <f t="shared" si="57"/>
        <v>11000</v>
      </c>
      <c r="E506" s="129">
        <f t="shared" si="55"/>
        <v>1762</v>
      </c>
      <c r="F506" s="105">
        <f t="shared" si="58"/>
        <v>16.018181818181816</v>
      </c>
      <c r="G506" s="160"/>
      <c r="H506" s="104"/>
      <c r="I506" s="194"/>
      <c r="J506" s="386"/>
      <c r="K506" s="287"/>
      <c r="L506" s="289"/>
      <c r="M506" s="287"/>
      <c r="N506" s="288"/>
      <c r="O506" s="108"/>
      <c r="P506" s="128">
        <v>11000</v>
      </c>
      <c r="Q506" s="129">
        <v>1762</v>
      </c>
      <c r="R506" s="256">
        <f t="shared" si="56"/>
        <v>16.018181818181816</v>
      </c>
    </row>
    <row r="507" spans="1:18" s="185" customFormat="1" ht="11.25" customHeight="1">
      <c r="A507" s="191">
        <v>4430</v>
      </c>
      <c r="B507" s="198" t="s">
        <v>366</v>
      </c>
      <c r="C507" s="128">
        <v>500</v>
      </c>
      <c r="D507" s="104">
        <f t="shared" si="57"/>
        <v>500</v>
      </c>
      <c r="E507" s="129">
        <f t="shared" si="55"/>
        <v>0</v>
      </c>
      <c r="F507" s="105">
        <f t="shared" si="58"/>
        <v>0</v>
      </c>
      <c r="G507" s="160"/>
      <c r="H507" s="104"/>
      <c r="I507" s="194"/>
      <c r="J507" s="386"/>
      <c r="K507" s="287"/>
      <c r="L507" s="289"/>
      <c r="M507" s="287"/>
      <c r="N507" s="288"/>
      <c r="O507" s="108"/>
      <c r="P507" s="128">
        <v>500</v>
      </c>
      <c r="Q507" s="129"/>
      <c r="R507" s="256">
        <f t="shared" si="56"/>
        <v>0</v>
      </c>
    </row>
    <row r="508" spans="1:18" s="185" customFormat="1" ht="11.25" customHeight="1">
      <c r="A508" s="191">
        <v>4440</v>
      </c>
      <c r="B508" s="198" t="s">
        <v>636</v>
      </c>
      <c r="C508" s="128">
        <v>4939</v>
      </c>
      <c r="D508" s="104">
        <f t="shared" si="57"/>
        <v>5440</v>
      </c>
      <c r="E508" s="129">
        <f t="shared" si="55"/>
        <v>0</v>
      </c>
      <c r="F508" s="105">
        <f t="shared" si="58"/>
        <v>0</v>
      </c>
      <c r="G508" s="160"/>
      <c r="H508" s="104"/>
      <c r="I508" s="194"/>
      <c r="J508" s="386"/>
      <c r="K508" s="287"/>
      <c r="L508" s="289"/>
      <c r="M508" s="287"/>
      <c r="N508" s="288"/>
      <c r="O508" s="108"/>
      <c r="P508" s="128">
        <f>4939+501</f>
        <v>5440</v>
      </c>
      <c r="Q508" s="388"/>
      <c r="R508" s="256">
        <f t="shared" si="56"/>
        <v>0</v>
      </c>
    </row>
    <row r="509" spans="1:18" s="185" customFormat="1" ht="48">
      <c r="A509" s="191">
        <v>4500</v>
      </c>
      <c r="B509" s="198" t="s">
        <v>492</v>
      </c>
      <c r="C509" s="128">
        <v>39642</v>
      </c>
      <c r="D509" s="104">
        <f t="shared" si="57"/>
        <v>39642</v>
      </c>
      <c r="E509" s="129">
        <f>SUM(H509+K509+N509+Q509)</f>
        <v>7528</v>
      </c>
      <c r="F509" s="105">
        <f t="shared" si="58"/>
        <v>18.989960143282378</v>
      </c>
      <c r="G509" s="160"/>
      <c r="H509" s="104"/>
      <c r="I509" s="194"/>
      <c r="J509" s="386"/>
      <c r="K509" s="287"/>
      <c r="L509" s="289"/>
      <c r="M509" s="287"/>
      <c r="N509" s="288"/>
      <c r="O509" s="108"/>
      <c r="P509" s="128">
        <v>39642</v>
      </c>
      <c r="Q509" s="388">
        <v>7528</v>
      </c>
      <c r="R509" s="256">
        <f t="shared" si="56"/>
        <v>18.989960143282378</v>
      </c>
    </row>
    <row r="510" spans="1:18" s="185" customFormat="1" ht="24">
      <c r="A510" s="191">
        <v>4510</v>
      </c>
      <c r="B510" s="259" t="s">
        <v>637</v>
      </c>
      <c r="C510" s="128">
        <v>1233</v>
      </c>
      <c r="D510" s="104">
        <f t="shared" si="57"/>
        <v>1233</v>
      </c>
      <c r="E510" s="129">
        <f t="shared" si="55"/>
        <v>1233</v>
      </c>
      <c r="F510" s="105">
        <f t="shared" si="58"/>
        <v>100</v>
      </c>
      <c r="G510" s="160"/>
      <c r="H510" s="104"/>
      <c r="I510" s="194"/>
      <c r="J510" s="386"/>
      <c r="K510" s="287"/>
      <c r="L510" s="289"/>
      <c r="M510" s="104"/>
      <c r="N510" s="109"/>
      <c r="O510" s="108"/>
      <c r="P510" s="128">
        <v>1233</v>
      </c>
      <c r="Q510" s="388">
        <v>1233</v>
      </c>
      <c r="R510" s="256">
        <f t="shared" si="56"/>
        <v>100</v>
      </c>
    </row>
    <row r="511" spans="1:18" s="185" customFormat="1" ht="60">
      <c r="A511" s="267">
        <v>4740</v>
      </c>
      <c r="B511" s="291" t="s">
        <v>380</v>
      </c>
      <c r="C511" s="128">
        <v>3000</v>
      </c>
      <c r="D511" s="104">
        <f t="shared" si="57"/>
        <v>3000</v>
      </c>
      <c r="E511" s="129">
        <f>SUM(H511+K511+N511+Q511)</f>
        <v>0</v>
      </c>
      <c r="F511" s="105">
        <f>E511/D511*100</f>
        <v>0</v>
      </c>
      <c r="G511" s="160"/>
      <c r="H511" s="104"/>
      <c r="I511" s="194"/>
      <c r="J511" s="386"/>
      <c r="K511" s="287"/>
      <c r="L511" s="289"/>
      <c r="M511" s="104"/>
      <c r="N511" s="109"/>
      <c r="O511" s="108"/>
      <c r="P511" s="128">
        <v>3000</v>
      </c>
      <c r="Q511" s="388"/>
      <c r="R511" s="256">
        <f t="shared" si="56"/>
        <v>0</v>
      </c>
    </row>
    <row r="512" spans="1:18" s="185" customFormat="1" ht="34.5" customHeight="1">
      <c r="A512" s="267">
        <v>4750</v>
      </c>
      <c r="B512" s="291" t="s">
        <v>467</v>
      </c>
      <c r="C512" s="128">
        <v>10000</v>
      </c>
      <c r="D512" s="104">
        <f t="shared" si="57"/>
        <v>10000</v>
      </c>
      <c r="E512" s="129">
        <f t="shared" si="55"/>
        <v>3208</v>
      </c>
      <c r="F512" s="105">
        <f>E512/D512*100</f>
        <v>32.08</v>
      </c>
      <c r="G512" s="160"/>
      <c r="H512" s="104"/>
      <c r="I512" s="194"/>
      <c r="J512" s="386"/>
      <c r="K512" s="287"/>
      <c r="L512" s="289"/>
      <c r="M512" s="287"/>
      <c r="N512" s="109"/>
      <c r="O512" s="108"/>
      <c r="P512" s="128">
        <v>10000</v>
      </c>
      <c r="Q512" s="388">
        <v>3208</v>
      </c>
      <c r="R512" s="256">
        <f t="shared" si="56"/>
        <v>32.08</v>
      </c>
    </row>
    <row r="513" spans="1:18" s="185" customFormat="1" ht="24">
      <c r="A513" s="191">
        <v>6050</v>
      </c>
      <c r="B513" s="198" t="s">
        <v>396</v>
      </c>
      <c r="C513" s="128">
        <v>650000</v>
      </c>
      <c r="D513" s="104">
        <f t="shared" si="57"/>
        <v>650000</v>
      </c>
      <c r="E513" s="129">
        <f t="shared" si="55"/>
        <v>0</v>
      </c>
      <c r="F513" s="105">
        <f>E513/D513*100</f>
        <v>0</v>
      </c>
      <c r="G513" s="286"/>
      <c r="H513" s="287"/>
      <c r="I513" s="194"/>
      <c r="J513" s="386"/>
      <c r="K513" s="287"/>
      <c r="L513" s="289"/>
      <c r="M513" s="104"/>
      <c r="N513" s="109"/>
      <c r="O513" s="108"/>
      <c r="P513" s="128">
        <v>650000</v>
      </c>
      <c r="Q513" s="388"/>
      <c r="R513" s="256">
        <f t="shared" si="56"/>
        <v>0</v>
      </c>
    </row>
    <row r="514" spans="1:18" s="185" customFormat="1" ht="96">
      <c r="A514" s="191">
        <v>6220</v>
      </c>
      <c r="B514" s="198" t="s">
        <v>638</v>
      </c>
      <c r="C514" s="128"/>
      <c r="D514" s="104">
        <f>G514+J514+P514+M514</f>
        <v>1300000</v>
      </c>
      <c r="E514" s="129">
        <f>SUM(H514+K514+N514+Q514)</f>
        <v>700000</v>
      </c>
      <c r="F514" s="105">
        <f>E514/D514*100</f>
        <v>53.84615384615385</v>
      </c>
      <c r="G514" s="286"/>
      <c r="H514" s="287"/>
      <c r="I514" s="194"/>
      <c r="J514" s="386"/>
      <c r="K514" s="287"/>
      <c r="L514" s="289"/>
      <c r="M514" s="104">
        <v>1300000</v>
      </c>
      <c r="N514" s="109">
        <v>700000</v>
      </c>
      <c r="O514" s="256">
        <f>N514/M514*100</f>
        <v>53.84615384615385</v>
      </c>
      <c r="P514" s="128"/>
      <c r="Q514" s="388"/>
      <c r="R514" s="256"/>
    </row>
    <row r="515" spans="1:18" s="185" customFormat="1" ht="22.5" customHeight="1">
      <c r="A515" s="227">
        <v>6060</v>
      </c>
      <c r="B515" s="389" t="s">
        <v>468</v>
      </c>
      <c r="C515" s="229">
        <v>600000</v>
      </c>
      <c r="D515" s="230">
        <f t="shared" si="57"/>
        <v>0</v>
      </c>
      <c r="E515" s="236">
        <f t="shared" si="55"/>
        <v>0</v>
      </c>
      <c r="F515" s="168"/>
      <c r="G515" s="309"/>
      <c r="H515" s="311"/>
      <c r="I515" s="237"/>
      <c r="J515" s="390"/>
      <c r="K515" s="311"/>
      <c r="L515" s="313"/>
      <c r="M515" s="230">
        <f>600000+100000-600000-100000</f>
        <v>0</v>
      </c>
      <c r="N515" s="231"/>
      <c r="O515" s="256"/>
      <c r="P515" s="270"/>
      <c r="Q515" s="236"/>
      <c r="R515" s="108"/>
    </row>
    <row r="516" spans="1:18" ht="24" customHeight="1">
      <c r="A516" s="186">
        <v>75412</v>
      </c>
      <c r="B516" s="294" t="s">
        <v>639</v>
      </c>
      <c r="C516" s="188">
        <f>SUM(C517)</f>
        <v>10000</v>
      </c>
      <c r="D516" s="137">
        <f t="shared" si="57"/>
        <v>22000</v>
      </c>
      <c r="E516" s="119">
        <f>SUM(E517)</f>
        <v>6000</v>
      </c>
      <c r="F516" s="120">
        <f aca="true" t="shared" si="59" ref="F516:F579">E516/D516*100</f>
        <v>27.27272727272727</v>
      </c>
      <c r="G516" s="188">
        <f>SUM(G517)</f>
        <v>22000</v>
      </c>
      <c r="H516" s="137">
        <f>SUM(H517)</f>
        <v>6000</v>
      </c>
      <c r="I516" s="127">
        <f aca="true" t="shared" si="60" ref="I516:I579">H516/G516*100</f>
        <v>27.27272727272727</v>
      </c>
      <c r="J516" s="124"/>
      <c r="K516" s="119"/>
      <c r="L516" s="125"/>
      <c r="M516" s="375"/>
      <c r="N516" s="119"/>
      <c r="O516" s="190"/>
      <c r="P516" s="188"/>
      <c r="Q516" s="119"/>
      <c r="R516" s="283"/>
    </row>
    <row r="517" spans="1:18" ht="48.75" customHeight="1">
      <c r="A517" s="227">
        <v>2820</v>
      </c>
      <c r="B517" s="228" t="s">
        <v>640</v>
      </c>
      <c r="C517" s="128">
        <v>10000</v>
      </c>
      <c r="D517" s="104">
        <f t="shared" si="57"/>
        <v>22000</v>
      </c>
      <c r="E517" s="129">
        <f>SUM(H517+K517+N517+Q517)</f>
        <v>6000</v>
      </c>
      <c r="F517" s="105">
        <f t="shared" si="59"/>
        <v>27.27272727272727</v>
      </c>
      <c r="G517" s="391">
        <f>10000+12000</f>
        <v>22000</v>
      </c>
      <c r="H517" s="234">
        <v>6000</v>
      </c>
      <c r="I517" s="108">
        <f t="shared" si="60"/>
        <v>27.27272727272727</v>
      </c>
      <c r="J517" s="392"/>
      <c r="K517" s="234"/>
      <c r="L517" s="170"/>
      <c r="M517" s="234"/>
      <c r="N517" s="234"/>
      <c r="O517" s="393"/>
      <c r="P517" s="391"/>
      <c r="Q517" s="234"/>
      <c r="R517" s="394"/>
    </row>
    <row r="518" spans="1:18" ht="12.75" customHeight="1">
      <c r="A518" s="186">
        <v>75414</v>
      </c>
      <c r="B518" s="294" t="s">
        <v>641</v>
      </c>
      <c r="C518" s="188">
        <f>SUM(C519:C524)</f>
        <v>49000</v>
      </c>
      <c r="D518" s="137">
        <f t="shared" si="57"/>
        <v>49000</v>
      </c>
      <c r="E518" s="137">
        <f>H518+K518+Q518+N518</f>
        <v>4262</v>
      </c>
      <c r="F518" s="120">
        <f t="shared" si="59"/>
        <v>8.697959183673468</v>
      </c>
      <c r="G518" s="188">
        <f>SUM(G519:G524)</f>
        <v>41000</v>
      </c>
      <c r="H518" s="119">
        <f>SUM(H519:H524)</f>
        <v>2943</v>
      </c>
      <c r="I518" s="214">
        <f t="shared" si="60"/>
        <v>7.178048780487805</v>
      </c>
      <c r="J518" s="119">
        <f>SUM(J522:J524)</f>
        <v>8000</v>
      </c>
      <c r="K518" s="119">
        <f>SUM(K522:K524)</f>
        <v>1319</v>
      </c>
      <c r="L518" s="214">
        <f>K518/J518*100</f>
        <v>16.4875</v>
      </c>
      <c r="M518" s="119"/>
      <c r="N518" s="119"/>
      <c r="O518" s="190"/>
      <c r="P518" s="188"/>
      <c r="Q518" s="119"/>
      <c r="R518" s="283"/>
    </row>
    <row r="519" spans="1:18" ht="36" hidden="1">
      <c r="A519" s="191">
        <v>3020</v>
      </c>
      <c r="B519" s="198" t="s">
        <v>593</v>
      </c>
      <c r="C519" s="128">
        <v>0</v>
      </c>
      <c r="D519" s="104">
        <f t="shared" si="57"/>
        <v>0</v>
      </c>
      <c r="E519" s="129">
        <f aca="true" t="shared" si="61" ref="E519:E529">SUM(H519+K519+N519+Q519)</f>
        <v>0</v>
      </c>
      <c r="F519" s="105" t="e">
        <f t="shared" si="59"/>
        <v>#DIV/0!</v>
      </c>
      <c r="G519" s="128">
        <v>0</v>
      </c>
      <c r="H519" s="129"/>
      <c r="I519" s="256" t="e">
        <f t="shared" si="60"/>
        <v>#DIV/0!</v>
      </c>
      <c r="J519" s="193"/>
      <c r="K519" s="196"/>
      <c r="L519" s="214"/>
      <c r="M519" s="129"/>
      <c r="N519" s="129"/>
      <c r="O519" s="194"/>
      <c r="P519" s="128"/>
      <c r="Q519" s="129"/>
      <c r="R519" s="200"/>
    </row>
    <row r="520" spans="1:18" ht="24" hidden="1">
      <c r="A520" s="191">
        <v>4110</v>
      </c>
      <c r="B520" s="198" t="s">
        <v>352</v>
      </c>
      <c r="C520" s="128">
        <v>0</v>
      </c>
      <c r="D520" s="104">
        <f t="shared" si="57"/>
        <v>0</v>
      </c>
      <c r="E520" s="129">
        <f t="shared" si="61"/>
        <v>0</v>
      </c>
      <c r="F520" s="105" t="e">
        <f t="shared" si="59"/>
        <v>#DIV/0!</v>
      </c>
      <c r="G520" s="128">
        <v>0</v>
      </c>
      <c r="H520" s="129"/>
      <c r="I520" s="256" t="e">
        <f t="shared" si="60"/>
        <v>#DIV/0!</v>
      </c>
      <c r="J520" s="193"/>
      <c r="K520" s="196"/>
      <c r="L520" s="214"/>
      <c r="M520" s="129"/>
      <c r="N520" s="129"/>
      <c r="O520" s="194"/>
      <c r="P520" s="128"/>
      <c r="Q520" s="129"/>
      <c r="R520" s="200"/>
    </row>
    <row r="521" spans="1:18" ht="60" hidden="1">
      <c r="A521" s="191">
        <v>6060</v>
      </c>
      <c r="B521" s="198" t="s">
        <v>642</v>
      </c>
      <c r="C521" s="128"/>
      <c r="D521" s="104">
        <f t="shared" si="57"/>
        <v>0</v>
      </c>
      <c r="E521" s="129">
        <f t="shared" si="61"/>
        <v>0</v>
      </c>
      <c r="F521" s="105" t="e">
        <f t="shared" si="59"/>
        <v>#DIV/0!</v>
      </c>
      <c r="G521" s="128"/>
      <c r="H521" s="129"/>
      <c r="I521" s="256"/>
      <c r="J521" s="193"/>
      <c r="K521" s="196"/>
      <c r="L521" s="222"/>
      <c r="M521" s="129"/>
      <c r="N521" s="129"/>
      <c r="O521" s="194"/>
      <c r="P521" s="128"/>
      <c r="Q521" s="129"/>
      <c r="R521" s="200" t="e">
        <f>Q521/P521*100</f>
        <v>#DIV/0!</v>
      </c>
    </row>
    <row r="522" spans="1:18" ht="23.25" customHeight="1">
      <c r="A522" s="191">
        <v>4210</v>
      </c>
      <c r="B522" s="198" t="s">
        <v>356</v>
      </c>
      <c r="C522" s="128">
        <v>25000</v>
      </c>
      <c r="D522" s="104">
        <f t="shared" si="57"/>
        <v>25000</v>
      </c>
      <c r="E522" s="129">
        <f t="shared" si="61"/>
        <v>1222</v>
      </c>
      <c r="F522" s="105">
        <f t="shared" si="59"/>
        <v>4.888</v>
      </c>
      <c r="G522" s="128">
        <v>25000</v>
      </c>
      <c r="H522" s="129">
        <v>1222</v>
      </c>
      <c r="I522" s="256">
        <f t="shared" si="60"/>
        <v>4.888</v>
      </c>
      <c r="J522" s="193"/>
      <c r="K522" s="196"/>
      <c r="L522" s="256"/>
      <c r="M522" s="129"/>
      <c r="N522" s="129"/>
      <c r="O522" s="194"/>
      <c r="P522" s="128"/>
      <c r="Q522" s="129"/>
      <c r="R522" s="200"/>
    </row>
    <row r="523" spans="1:18" ht="36" hidden="1">
      <c r="A523" s="191">
        <v>6060</v>
      </c>
      <c r="B523" s="395" t="s">
        <v>468</v>
      </c>
      <c r="C523" s="128"/>
      <c r="D523" s="104">
        <f t="shared" si="57"/>
        <v>0</v>
      </c>
      <c r="E523" s="129">
        <f>SUM(H523+K523+N523+Q523)</f>
        <v>0</v>
      </c>
      <c r="F523" s="105" t="e">
        <f>E523/D523*100</f>
        <v>#DIV/0!</v>
      </c>
      <c r="G523" s="128"/>
      <c r="H523" s="129"/>
      <c r="I523" s="256" t="e">
        <f t="shared" si="60"/>
        <v>#DIV/0!</v>
      </c>
      <c r="J523" s="193"/>
      <c r="K523" s="196"/>
      <c r="L523" s="256"/>
      <c r="M523" s="129"/>
      <c r="N523" s="129"/>
      <c r="O523" s="194"/>
      <c r="P523" s="128"/>
      <c r="Q523" s="129"/>
      <c r="R523" s="200"/>
    </row>
    <row r="524" spans="1:18" ht="35.25">
      <c r="A524" s="191">
        <v>4300</v>
      </c>
      <c r="B524" s="192" t="s">
        <v>643</v>
      </c>
      <c r="C524" s="128">
        <v>24000</v>
      </c>
      <c r="D524" s="104">
        <f t="shared" si="57"/>
        <v>24000</v>
      </c>
      <c r="E524" s="129">
        <f t="shared" si="61"/>
        <v>3040</v>
      </c>
      <c r="F524" s="256">
        <f t="shared" si="59"/>
        <v>12.666666666666668</v>
      </c>
      <c r="G524" s="128">
        <v>16000</v>
      </c>
      <c r="H524" s="196">
        <v>1721</v>
      </c>
      <c r="I524" s="256">
        <f t="shared" si="60"/>
        <v>10.756250000000001</v>
      </c>
      <c r="J524" s="245">
        <v>8000</v>
      </c>
      <c r="K524" s="196">
        <v>1319</v>
      </c>
      <c r="L524" s="256">
        <f>K524/J524*100</f>
        <v>16.4875</v>
      </c>
      <c r="M524" s="196"/>
      <c r="N524" s="196"/>
      <c r="O524" s="246"/>
      <c r="P524" s="195"/>
      <c r="Q524" s="196"/>
      <c r="R524" s="197"/>
    </row>
    <row r="525" spans="1:18" ht="24">
      <c r="A525" s="239">
        <v>75421</v>
      </c>
      <c r="B525" s="240" t="s">
        <v>644</v>
      </c>
      <c r="C525" s="136">
        <f>SUM(C526)</f>
        <v>500000</v>
      </c>
      <c r="D525" s="137">
        <f t="shared" si="57"/>
        <v>500000</v>
      </c>
      <c r="E525" s="137">
        <f>SUM(H525+K525+N525+Q525)</f>
        <v>0</v>
      </c>
      <c r="F525" s="396">
        <f>E525/D525*100</f>
        <v>0</v>
      </c>
      <c r="G525" s="136">
        <f>SUM(G526)</f>
        <v>500000</v>
      </c>
      <c r="H525" s="118">
        <f>SUM(H526)</f>
        <v>0</v>
      </c>
      <c r="I525" s="127">
        <f t="shared" si="60"/>
        <v>0</v>
      </c>
      <c r="J525" s="241"/>
      <c r="K525" s="118"/>
      <c r="L525" s="396"/>
      <c r="M525" s="118"/>
      <c r="N525" s="118"/>
      <c r="O525" s="397"/>
      <c r="P525" s="143"/>
      <c r="Q525" s="118"/>
      <c r="R525" s="244"/>
    </row>
    <row r="526" spans="1:18" ht="45.75">
      <c r="A526" s="191">
        <v>4810</v>
      </c>
      <c r="B526" s="192" t="s">
        <v>645</v>
      </c>
      <c r="C526" s="128">
        <v>500000</v>
      </c>
      <c r="D526" s="104">
        <f t="shared" si="57"/>
        <v>500000</v>
      </c>
      <c r="E526" s="129">
        <f>SUM(H526+K526+N526+Q526)</f>
        <v>0</v>
      </c>
      <c r="F526" s="256">
        <f>E526/D526*100</f>
        <v>0</v>
      </c>
      <c r="G526" s="128">
        <v>500000</v>
      </c>
      <c r="H526" s="196"/>
      <c r="I526" s="127">
        <f t="shared" si="60"/>
        <v>0</v>
      </c>
      <c r="J526" s="245"/>
      <c r="K526" s="196"/>
      <c r="L526" s="256"/>
      <c r="M526" s="196"/>
      <c r="N526" s="196"/>
      <c r="O526" s="246"/>
      <c r="P526" s="195"/>
      <c r="Q526" s="196"/>
      <c r="R526" s="197"/>
    </row>
    <row r="527" spans="1:18" s="221" customFormat="1" ht="12.75">
      <c r="A527" s="239">
        <v>75495</v>
      </c>
      <c r="B527" s="240" t="s">
        <v>378</v>
      </c>
      <c r="C527" s="136">
        <f>SUM(C528:C529)</f>
        <v>115000</v>
      </c>
      <c r="D527" s="137">
        <f t="shared" si="57"/>
        <v>115000</v>
      </c>
      <c r="E527" s="137">
        <f t="shared" si="61"/>
        <v>0</v>
      </c>
      <c r="F527" s="214">
        <f t="shared" si="59"/>
        <v>0</v>
      </c>
      <c r="G527" s="136">
        <f>SUM(G528:G529)</f>
        <v>115000</v>
      </c>
      <c r="H527" s="118">
        <f>SUM(H528:H529)</f>
        <v>0</v>
      </c>
      <c r="I527" s="127">
        <f t="shared" si="60"/>
        <v>0</v>
      </c>
      <c r="J527" s="241"/>
      <c r="K527" s="118"/>
      <c r="L527" s="243"/>
      <c r="M527" s="118"/>
      <c r="N527" s="118"/>
      <c r="O527" s="397"/>
      <c r="P527" s="143"/>
      <c r="Q527" s="118"/>
      <c r="R527" s="244"/>
    </row>
    <row r="528" spans="1:18" s="269" customFormat="1" ht="48">
      <c r="A528" s="267">
        <v>3000</v>
      </c>
      <c r="B528" s="398" t="s">
        <v>646</v>
      </c>
      <c r="C528" s="160">
        <v>15000</v>
      </c>
      <c r="D528" s="104">
        <f t="shared" si="57"/>
        <v>15000</v>
      </c>
      <c r="E528" s="129">
        <f>SUM(H528+K528+N528+Q528)</f>
        <v>0</v>
      </c>
      <c r="F528" s="105">
        <f>E528/D528*100</f>
        <v>0</v>
      </c>
      <c r="G528" s="160">
        <v>15000</v>
      </c>
      <c r="H528" s="106"/>
      <c r="I528" s="108">
        <f t="shared" si="60"/>
        <v>0</v>
      </c>
      <c r="J528" s="107"/>
      <c r="K528" s="106"/>
      <c r="L528" s="108"/>
      <c r="M528" s="106"/>
      <c r="N528" s="106"/>
      <c r="O528" s="246"/>
      <c r="P528" s="103"/>
      <c r="Q528" s="106"/>
      <c r="R528" s="197"/>
    </row>
    <row r="529" spans="1:18" ht="36.75" thickBot="1">
      <c r="A529" s="191">
        <v>6060</v>
      </c>
      <c r="B529" s="192" t="s">
        <v>468</v>
      </c>
      <c r="C529" s="128">
        <v>100000</v>
      </c>
      <c r="D529" s="104">
        <f t="shared" si="57"/>
        <v>100000</v>
      </c>
      <c r="E529" s="129">
        <f t="shared" si="61"/>
        <v>0</v>
      </c>
      <c r="F529" s="105">
        <f>E529/D529*100</f>
        <v>0</v>
      </c>
      <c r="G529" s="128">
        <v>100000</v>
      </c>
      <c r="H529" s="196"/>
      <c r="I529" s="108">
        <f t="shared" si="60"/>
        <v>0</v>
      </c>
      <c r="J529" s="245"/>
      <c r="K529" s="196"/>
      <c r="L529" s="108"/>
      <c r="M529" s="196"/>
      <c r="N529" s="196"/>
      <c r="O529" s="246"/>
      <c r="P529" s="195"/>
      <c r="Q529" s="196"/>
      <c r="R529" s="197"/>
    </row>
    <row r="530" spans="1:18" s="221" customFormat="1" ht="109.5" customHeight="1" thickBot="1" thickTop="1">
      <c r="A530" s="201">
        <v>756</v>
      </c>
      <c r="B530" s="399" t="s">
        <v>647</v>
      </c>
      <c r="C530" s="203">
        <f>C531</f>
        <v>512000</v>
      </c>
      <c r="D530" s="78">
        <f>G530</f>
        <v>512000</v>
      </c>
      <c r="E530" s="78">
        <f>H530</f>
        <v>101344</v>
      </c>
      <c r="F530" s="204">
        <f>E530/D530*100</f>
        <v>19.79375</v>
      </c>
      <c r="G530" s="203">
        <f>G531</f>
        <v>512000</v>
      </c>
      <c r="H530" s="400">
        <f>H531</f>
        <v>101344</v>
      </c>
      <c r="I530" s="81">
        <f>H530/G530*100</f>
        <v>19.79375</v>
      </c>
      <c r="J530" s="401"/>
      <c r="K530" s="400"/>
      <c r="L530" s="207"/>
      <c r="M530" s="400"/>
      <c r="N530" s="400"/>
      <c r="O530" s="402"/>
      <c r="P530" s="403"/>
      <c r="Q530" s="400"/>
      <c r="R530" s="404"/>
    </row>
    <row r="531" spans="1:18" ht="48.75" thickTop="1">
      <c r="A531" s="405">
        <v>75647</v>
      </c>
      <c r="B531" s="273" t="s">
        <v>648</v>
      </c>
      <c r="C531" s="274">
        <f>SUM(C532:C546)</f>
        <v>512000</v>
      </c>
      <c r="D531" s="189">
        <f aca="true" t="shared" si="62" ref="D531:D549">G531+J531+P531+M531</f>
        <v>512000</v>
      </c>
      <c r="E531" s="189">
        <f>H531+K531+Q531+N531</f>
        <v>101344</v>
      </c>
      <c r="F531" s="275">
        <f>E531/D531*100</f>
        <v>19.79375</v>
      </c>
      <c r="G531" s="274">
        <f>SUM(G532:G546)</f>
        <v>512000</v>
      </c>
      <c r="H531" s="189">
        <f>SUM(H532:H546)</f>
        <v>101344</v>
      </c>
      <c r="I531" s="170">
        <f>H531/G531*100</f>
        <v>19.79375</v>
      </c>
      <c r="J531" s="276"/>
      <c r="K531" s="189"/>
      <c r="L531" s="278"/>
      <c r="M531" s="189"/>
      <c r="N531" s="189"/>
      <c r="O531" s="279"/>
      <c r="P531" s="189"/>
      <c r="Q531" s="189"/>
      <c r="R531" s="278"/>
    </row>
    <row r="532" spans="1:18" s="269" customFormat="1" ht="36" hidden="1">
      <c r="A532" s="406">
        <v>4010</v>
      </c>
      <c r="B532" s="315" t="s">
        <v>649</v>
      </c>
      <c r="C532" s="148"/>
      <c r="D532" s="104">
        <f t="shared" si="62"/>
        <v>0</v>
      </c>
      <c r="E532" s="129">
        <f aca="true" t="shared" si="63" ref="E532:E549">SUM(H532+K532+N532+Q532)</f>
        <v>0</v>
      </c>
      <c r="F532" s="105" t="e">
        <f aca="true" t="shared" si="64" ref="F532:F549">E532/D532*100</f>
        <v>#DIV/0!</v>
      </c>
      <c r="G532" s="148"/>
      <c r="H532" s="149"/>
      <c r="I532" s="108" t="e">
        <f aca="true" t="shared" si="65" ref="I532:I549">H532/G532*100</f>
        <v>#DIV/0!</v>
      </c>
      <c r="J532" s="153"/>
      <c r="K532" s="149"/>
      <c r="L532" s="113"/>
      <c r="M532" s="149"/>
      <c r="N532" s="149"/>
      <c r="O532" s="225"/>
      <c r="P532" s="149"/>
      <c r="Q532" s="149"/>
      <c r="R532" s="113"/>
    </row>
    <row r="533" spans="1:18" ht="36">
      <c r="A533" s="290">
        <v>4100</v>
      </c>
      <c r="B533" s="198" t="s">
        <v>650</v>
      </c>
      <c r="C533" s="128">
        <v>100000</v>
      </c>
      <c r="D533" s="104">
        <f t="shared" si="62"/>
        <v>100000</v>
      </c>
      <c r="E533" s="129">
        <f t="shared" si="63"/>
        <v>25456</v>
      </c>
      <c r="F533" s="105">
        <f t="shared" si="64"/>
        <v>25.456</v>
      </c>
      <c r="G533" s="128">
        <v>100000</v>
      </c>
      <c r="H533" s="407">
        <v>25456</v>
      </c>
      <c r="I533" s="108">
        <f t="shared" si="65"/>
        <v>25.456</v>
      </c>
      <c r="J533" s="193"/>
      <c r="K533" s="129"/>
      <c r="L533" s="108"/>
      <c r="M533" s="129"/>
      <c r="N533" s="129"/>
      <c r="O533" s="194"/>
      <c r="P533" s="129"/>
      <c r="Q533" s="129"/>
      <c r="R533" s="108"/>
    </row>
    <row r="534" spans="1:18" ht="36">
      <c r="A534" s="290">
        <v>4100</v>
      </c>
      <c r="B534" s="198" t="s">
        <v>651</v>
      </c>
      <c r="C534" s="128">
        <v>35000</v>
      </c>
      <c r="D534" s="104">
        <f t="shared" si="62"/>
        <v>35000</v>
      </c>
      <c r="E534" s="129">
        <f t="shared" si="63"/>
        <v>7168</v>
      </c>
      <c r="F534" s="105">
        <f t="shared" si="64"/>
        <v>20.48</v>
      </c>
      <c r="G534" s="128">
        <v>35000</v>
      </c>
      <c r="H534" s="129">
        <v>7168</v>
      </c>
      <c r="I534" s="108">
        <f t="shared" si="65"/>
        <v>20.48</v>
      </c>
      <c r="J534" s="193"/>
      <c r="K534" s="129"/>
      <c r="L534" s="108"/>
      <c r="M534" s="129"/>
      <c r="N534" s="129"/>
      <c r="O534" s="194"/>
      <c r="P534" s="129"/>
      <c r="Q534" s="129"/>
      <c r="R534" s="108"/>
    </row>
    <row r="535" spans="1:18" ht="24">
      <c r="A535" s="191">
        <v>4110</v>
      </c>
      <c r="B535" s="198" t="s">
        <v>652</v>
      </c>
      <c r="C535" s="128">
        <v>10000</v>
      </c>
      <c r="D535" s="104">
        <f t="shared" si="62"/>
        <v>10000</v>
      </c>
      <c r="E535" s="129">
        <f t="shared" si="63"/>
        <v>513</v>
      </c>
      <c r="F535" s="105">
        <f t="shared" si="64"/>
        <v>5.13</v>
      </c>
      <c r="G535" s="128">
        <v>10000</v>
      </c>
      <c r="H535" s="129">
        <v>513</v>
      </c>
      <c r="I535" s="108">
        <f t="shared" si="65"/>
        <v>5.13</v>
      </c>
      <c r="J535" s="193"/>
      <c r="K535" s="129"/>
      <c r="L535" s="108"/>
      <c r="M535" s="129"/>
      <c r="N535" s="129"/>
      <c r="O535" s="194"/>
      <c r="P535" s="129"/>
      <c r="Q535" s="129"/>
      <c r="R535" s="108"/>
    </row>
    <row r="536" spans="1:18" ht="24">
      <c r="A536" s="191">
        <v>4110</v>
      </c>
      <c r="B536" s="198" t="s">
        <v>653</v>
      </c>
      <c r="C536" s="128">
        <v>17000</v>
      </c>
      <c r="D536" s="104">
        <f t="shared" si="62"/>
        <v>17000</v>
      </c>
      <c r="E536" s="129">
        <f t="shared" si="63"/>
        <v>2058</v>
      </c>
      <c r="F536" s="105">
        <f t="shared" si="64"/>
        <v>12.105882352941176</v>
      </c>
      <c r="G536" s="128">
        <v>17000</v>
      </c>
      <c r="H536" s="129">
        <v>2058</v>
      </c>
      <c r="I536" s="108">
        <f t="shared" si="65"/>
        <v>12.105882352941176</v>
      </c>
      <c r="J536" s="193"/>
      <c r="K536" s="129"/>
      <c r="L536" s="108"/>
      <c r="M536" s="129"/>
      <c r="N536" s="129"/>
      <c r="O536" s="194"/>
      <c r="P536" s="129"/>
      <c r="Q536" s="129"/>
      <c r="R536" s="108"/>
    </row>
    <row r="537" spans="1:18" ht="12.75">
      <c r="A537" s="191">
        <v>4120</v>
      </c>
      <c r="B537" s="198" t="s">
        <v>654</v>
      </c>
      <c r="C537" s="128">
        <v>1600</v>
      </c>
      <c r="D537" s="104">
        <f t="shared" si="62"/>
        <v>1600</v>
      </c>
      <c r="E537" s="129">
        <f t="shared" si="63"/>
        <v>88</v>
      </c>
      <c r="F537" s="105">
        <f t="shared" si="64"/>
        <v>5.5</v>
      </c>
      <c r="G537" s="128">
        <v>1600</v>
      </c>
      <c r="H537" s="129">
        <v>88</v>
      </c>
      <c r="I537" s="108">
        <f t="shared" si="65"/>
        <v>5.5</v>
      </c>
      <c r="J537" s="193"/>
      <c r="K537" s="129"/>
      <c r="L537" s="108"/>
      <c r="M537" s="129"/>
      <c r="N537" s="129"/>
      <c r="O537" s="194"/>
      <c r="P537" s="129"/>
      <c r="Q537" s="129"/>
      <c r="R537" s="108"/>
    </row>
    <row r="538" spans="1:18" ht="12.75">
      <c r="A538" s="191">
        <v>4120</v>
      </c>
      <c r="B538" s="198" t="s">
        <v>655</v>
      </c>
      <c r="C538" s="128">
        <v>2400</v>
      </c>
      <c r="D538" s="104">
        <f t="shared" si="62"/>
        <v>2400</v>
      </c>
      <c r="E538" s="129">
        <f t="shared" si="63"/>
        <v>332</v>
      </c>
      <c r="F538" s="105">
        <f t="shared" si="64"/>
        <v>13.833333333333334</v>
      </c>
      <c r="G538" s="128">
        <v>2400</v>
      </c>
      <c r="H538" s="129">
        <v>332</v>
      </c>
      <c r="I538" s="108">
        <f t="shared" si="65"/>
        <v>13.833333333333334</v>
      </c>
      <c r="J538" s="193"/>
      <c r="K538" s="129"/>
      <c r="L538" s="108"/>
      <c r="M538" s="129"/>
      <c r="N538" s="129"/>
      <c r="O538" s="194"/>
      <c r="P538" s="129"/>
      <c r="Q538" s="129"/>
      <c r="R538" s="108"/>
    </row>
    <row r="539" spans="1:18" ht="24">
      <c r="A539" s="191">
        <v>4170</v>
      </c>
      <c r="B539" s="198" t="s">
        <v>656</v>
      </c>
      <c r="C539" s="128">
        <v>22000</v>
      </c>
      <c r="D539" s="104">
        <f t="shared" si="62"/>
        <v>22000</v>
      </c>
      <c r="E539" s="129">
        <f t="shared" si="63"/>
        <v>4909</v>
      </c>
      <c r="F539" s="105">
        <f t="shared" si="64"/>
        <v>22.313636363636363</v>
      </c>
      <c r="G539" s="128">
        <v>22000</v>
      </c>
      <c r="H539" s="129">
        <v>4909</v>
      </c>
      <c r="I539" s="108">
        <f t="shared" si="65"/>
        <v>22.313636363636363</v>
      </c>
      <c r="J539" s="193"/>
      <c r="K539" s="129"/>
      <c r="L539" s="108"/>
      <c r="M539" s="129"/>
      <c r="N539" s="129"/>
      <c r="O539" s="194"/>
      <c r="P539" s="129"/>
      <c r="Q539" s="129"/>
      <c r="R539" s="108"/>
    </row>
    <row r="540" spans="1:18" ht="24" hidden="1">
      <c r="A540" s="191">
        <v>4300</v>
      </c>
      <c r="B540" s="198" t="s">
        <v>657</v>
      </c>
      <c r="C540" s="128"/>
      <c r="D540" s="104">
        <f t="shared" si="62"/>
        <v>0</v>
      </c>
      <c r="E540" s="129">
        <f t="shared" si="63"/>
        <v>0</v>
      </c>
      <c r="F540" s="105" t="e">
        <f t="shared" si="64"/>
        <v>#DIV/0!</v>
      </c>
      <c r="G540" s="128"/>
      <c r="H540" s="129"/>
      <c r="I540" s="108" t="e">
        <f t="shared" si="65"/>
        <v>#DIV/0!</v>
      </c>
      <c r="J540" s="193"/>
      <c r="K540" s="129"/>
      <c r="L540" s="108"/>
      <c r="M540" s="129"/>
      <c r="N540" s="129"/>
      <c r="O540" s="194"/>
      <c r="P540" s="129"/>
      <c r="Q540" s="129"/>
      <c r="R540" s="108"/>
    </row>
    <row r="541" spans="1:18" ht="24">
      <c r="A541" s="191">
        <v>4300</v>
      </c>
      <c r="B541" s="198" t="s">
        <v>658</v>
      </c>
      <c r="C541" s="128">
        <v>250000</v>
      </c>
      <c r="D541" s="104">
        <f t="shared" si="62"/>
        <v>250000</v>
      </c>
      <c r="E541" s="129">
        <f t="shared" si="63"/>
        <v>60414</v>
      </c>
      <c r="F541" s="105">
        <f t="shared" si="64"/>
        <v>24.1656</v>
      </c>
      <c r="G541" s="128">
        <v>250000</v>
      </c>
      <c r="H541" s="129">
        <v>60414</v>
      </c>
      <c r="I541" s="108">
        <f t="shared" si="65"/>
        <v>24.1656</v>
      </c>
      <c r="J541" s="193"/>
      <c r="K541" s="129"/>
      <c r="L541" s="108"/>
      <c r="M541" s="129"/>
      <c r="N541" s="129"/>
      <c r="O541" s="194"/>
      <c r="P541" s="129"/>
      <c r="Q541" s="129"/>
      <c r="R541" s="108"/>
    </row>
    <row r="542" spans="1:18" ht="24" hidden="1">
      <c r="A542" s="191">
        <v>4430</v>
      </c>
      <c r="B542" s="198" t="s">
        <v>659</v>
      </c>
      <c r="C542" s="128"/>
      <c r="D542" s="104">
        <f t="shared" si="62"/>
        <v>0</v>
      </c>
      <c r="E542" s="129">
        <f t="shared" si="63"/>
        <v>0</v>
      </c>
      <c r="F542" s="105" t="e">
        <f t="shared" si="64"/>
        <v>#DIV/0!</v>
      </c>
      <c r="G542" s="128"/>
      <c r="H542" s="129"/>
      <c r="I542" s="108" t="e">
        <f t="shared" si="65"/>
        <v>#DIV/0!</v>
      </c>
      <c r="J542" s="193"/>
      <c r="K542" s="129"/>
      <c r="L542" s="108"/>
      <c r="M542" s="129"/>
      <c r="N542" s="129"/>
      <c r="O542" s="194"/>
      <c r="P542" s="129"/>
      <c r="Q542" s="129"/>
      <c r="R542" s="108"/>
    </row>
    <row r="543" spans="1:18" ht="24">
      <c r="A543" s="191">
        <v>4430</v>
      </c>
      <c r="B543" s="198" t="s">
        <v>660</v>
      </c>
      <c r="C543" s="128">
        <v>4000</v>
      </c>
      <c r="D543" s="104">
        <f t="shared" si="62"/>
        <v>4000</v>
      </c>
      <c r="E543" s="129">
        <f t="shared" si="63"/>
        <v>164</v>
      </c>
      <c r="F543" s="105">
        <f t="shared" si="64"/>
        <v>4.1000000000000005</v>
      </c>
      <c r="G543" s="128">
        <v>4000</v>
      </c>
      <c r="H543" s="129">
        <v>164</v>
      </c>
      <c r="I543" s="108">
        <f t="shared" si="65"/>
        <v>4.1000000000000005</v>
      </c>
      <c r="J543" s="193"/>
      <c r="K543" s="129"/>
      <c r="L543" s="108"/>
      <c r="M543" s="129"/>
      <c r="N543" s="129"/>
      <c r="O543" s="194"/>
      <c r="P543" s="129"/>
      <c r="Q543" s="129"/>
      <c r="R543" s="108"/>
    </row>
    <row r="544" spans="1:18" ht="24">
      <c r="A544" s="191">
        <v>4430</v>
      </c>
      <c r="B544" s="198" t="s">
        <v>659</v>
      </c>
      <c r="C544" s="128"/>
      <c r="D544" s="104">
        <f>G544+J544+P544+M544</f>
        <v>0</v>
      </c>
      <c r="E544" s="129">
        <f>SUM(H544+K544+N544+Q544)</f>
        <v>122</v>
      </c>
      <c r="F544" s="105" t="e">
        <f>E544/D544*100</f>
        <v>#DIV/0!</v>
      </c>
      <c r="G544" s="128"/>
      <c r="H544" s="129">
        <v>122</v>
      </c>
      <c r="I544" s="108" t="e">
        <f t="shared" si="65"/>
        <v>#DIV/0!</v>
      </c>
      <c r="J544" s="193"/>
      <c r="K544" s="129"/>
      <c r="L544" s="108"/>
      <c r="M544" s="129"/>
      <c r="N544" s="129"/>
      <c r="O544" s="194"/>
      <c r="P544" s="129"/>
      <c r="Q544" s="129"/>
      <c r="R544" s="108"/>
    </row>
    <row r="545" spans="1:18" ht="24">
      <c r="A545" s="191">
        <v>4510</v>
      </c>
      <c r="B545" s="198" t="s">
        <v>637</v>
      </c>
      <c r="C545" s="128"/>
      <c r="D545" s="104">
        <f>G545+J545+P545+M545</f>
        <v>3000</v>
      </c>
      <c r="E545" s="129">
        <f>SUM(H545+K545+N545+Q545)</f>
        <v>0</v>
      </c>
      <c r="F545" s="105">
        <f>E545/D545*100</f>
        <v>0</v>
      </c>
      <c r="G545" s="128">
        <v>3000</v>
      </c>
      <c r="H545" s="129"/>
      <c r="I545" s="108">
        <f t="shared" si="65"/>
        <v>0</v>
      </c>
      <c r="J545" s="193"/>
      <c r="K545" s="129"/>
      <c r="L545" s="108"/>
      <c r="M545" s="129"/>
      <c r="N545" s="129"/>
      <c r="O545" s="194"/>
      <c r="P545" s="129"/>
      <c r="Q545" s="129"/>
      <c r="R545" s="108"/>
    </row>
    <row r="546" spans="1:18" ht="36">
      <c r="A546" s="191">
        <v>4610</v>
      </c>
      <c r="B546" s="198" t="s">
        <v>395</v>
      </c>
      <c r="C546" s="128">
        <f>SUM(C547:C548)</f>
        <v>70000</v>
      </c>
      <c r="D546" s="104">
        <f t="shared" si="62"/>
        <v>67000</v>
      </c>
      <c r="E546" s="129">
        <f t="shared" si="63"/>
        <v>120</v>
      </c>
      <c r="F546" s="105">
        <f t="shared" si="64"/>
        <v>0.1791044776119403</v>
      </c>
      <c r="G546" s="128">
        <f>SUM(G547:G549)</f>
        <v>67000</v>
      </c>
      <c r="H546" s="129">
        <f>SUM(H547:H549)</f>
        <v>120</v>
      </c>
      <c r="I546" s="108">
        <f t="shared" si="65"/>
        <v>0.1791044776119403</v>
      </c>
      <c r="J546" s="193"/>
      <c r="K546" s="129"/>
      <c r="L546" s="108"/>
      <c r="M546" s="129"/>
      <c r="N546" s="129"/>
      <c r="O546" s="194"/>
      <c r="P546" s="129"/>
      <c r="Q546" s="129"/>
      <c r="R546" s="108"/>
    </row>
    <row r="547" spans="1:18" s="254" customFormat="1" ht="12.75">
      <c r="A547" s="248"/>
      <c r="B547" s="249" t="s">
        <v>661</v>
      </c>
      <c r="C547" s="250">
        <v>10000</v>
      </c>
      <c r="D547" s="251">
        <f t="shared" si="62"/>
        <v>7000</v>
      </c>
      <c r="E547" s="251">
        <f t="shared" si="63"/>
        <v>1417</v>
      </c>
      <c r="F547" s="105">
        <f t="shared" si="64"/>
        <v>20.242857142857144</v>
      </c>
      <c r="G547" s="250">
        <f>10000-3000</f>
        <v>7000</v>
      </c>
      <c r="H547" s="251">
        <v>1417</v>
      </c>
      <c r="I547" s="108">
        <f t="shared" si="65"/>
        <v>20.242857142857144</v>
      </c>
      <c r="J547" s="252"/>
      <c r="K547" s="251"/>
      <c r="L547" s="108"/>
      <c r="M547" s="251"/>
      <c r="N547" s="251"/>
      <c r="O547" s="110"/>
      <c r="P547" s="251"/>
      <c r="Q547" s="251"/>
      <c r="R547" s="108"/>
    </row>
    <row r="548" spans="1:18" s="254" customFormat="1" ht="13.5" thickBot="1">
      <c r="A548" s="248"/>
      <c r="B548" s="249" t="s">
        <v>534</v>
      </c>
      <c r="C548" s="250">
        <v>60000</v>
      </c>
      <c r="D548" s="251">
        <f>G548+J548+P548+M548</f>
        <v>60000</v>
      </c>
      <c r="E548" s="251">
        <f t="shared" si="63"/>
        <v>-1297</v>
      </c>
      <c r="F548" s="105">
        <f t="shared" si="64"/>
        <v>-2.1616666666666666</v>
      </c>
      <c r="G548" s="250">
        <v>60000</v>
      </c>
      <c r="H548" s="251">
        <v>-1297</v>
      </c>
      <c r="I548" s="108">
        <f t="shared" si="65"/>
        <v>-2.1616666666666666</v>
      </c>
      <c r="J548" s="252"/>
      <c r="K548" s="251"/>
      <c r="L548" s="108"/>
      <c r="M548" s="251"/>
      <c r="N548" s="251"/>
      <c r="O548" s="110"/>
      <c r="P548" s="251"/>
      <c r="Q548" s="251"/>
      <c r="R548" s="108"/>
    </row>
    <row r="549" spans="1:18" s="254" customFormat="1" ht="13.5" hidden="1" thickBot="1">
      <c r="A549" s="248"/>
      <c r="B549" s="249" t="s">
        <v>662</v>
      </c>
      <c r="C549" s="408"/>
      <c r="D549" s="251">
        <f t="shared" si="62"/>
        <v>0</v>
      </c>
      <c r="E549" s="251">
        <f t="shared" si="63"/>
        <v>0</v>
      </c>
      <c r="F549" s="105" t="e">
        <f t="shared" si="64"/>
        <v>#DIV/0!</v>
      </c>
      <c r="G549" s="408">
        <f>500-500</f>
        <v>0</v>
      </c>
      <c r="H549" s="409"/>
      <c r="I549" s="108" t="e">
        <f t="shared" si="65"/>
        <v>#DIV/0!</v>
      </c>
      <c r="J549" s="410"/>
      <c r="K549" s="409"/>
      <c r="L549" s="170"/>
      <c r="M549" s="409"/>
      <c r="N549" s="409"/>
      <c r="O549" s="319"/>
      <c r="P549" s="409"/>
      <c r="Q549" s="409"/>
      <c r="R549" s="170"/>
    </row>
    <row r="550" spans="1:18" s="185" customFormat="1" ht="27" customHeight="1" thickBot="1" thickTop="1">
      <c r="A550" s="181">
        <v>757</v>
      </c>
      <c r="B550" s="182" t="s">
        <v>663</v>
      </c>
      <c r="C550" s="183">
        <f>SUM(C551)</f>
        <v>3103000</v>
      </c>
      <c r="D550" s="78">
        <f>G550+J550+P550+M550</f>
        <v>3103000</v>
      </c>
      <c r="E550" s="83">
        <f>H550+K550+Q550+N550</f>
        <v>860500</v>
      </c>
      <c r="F550" s="79">
        <f t="shared" si="59"/>
        <v>27.731227844021916</v>
      </c>
      <c r="G550" s="183">
        <f>SUM(G551)</f>
        <v>3103000</v>
      </c>
      <c r="H550" s="83">
        <f>SUM(H551)</f>
        <v>860500</v>
      </c>
      <c r="I550" s="81">
        <f t="shared" si="60"/>
        <v>27.731227844021916</v>
      </c>
      <c r="J550" s="82"/>
      <c r="K550" s="83"/>
      <c r="L550" s="84"/>
      <c r="M550" s="83"/>
      <c r="N550" s="83"/>
      <c r="O550" s="184"/>
      <c r="P550" s="183"/>
      <c r="Q550" s="83"/>
      <c r="R550" s="293"/>
    </row>
    <row r="551" spans="1:18" ht="48.75" thickTop="1">
      <c r="A551" s="186">
        <v>75702</v>
      </c>
      <c r="B551" s="294" t="s">
        <v>664</v>
      </c>
      <c r="C551" s="188">
        <f>SUM(C552:C554)</f>
        <v>3103000</v>
      </c>
      <c r="D551" s="189">
        <f>G551+J551+P551+M551</f>
        <v>3103000</v>
      </c>
      <c r="E551" s="97">
        <f>H551+K551+Q551+N551</f>
        <v>860500</v>
      </c>
      <c r="F551" s="168">
        <f t="shared" si="59"/>
        <v>27.731227844021916</v>
      </c>
      <c r="G551" s="188">
        <f>SUM(G552:G554)</f>
        <v>3103000</v>
      </c>
      <c r="H551" s="119">
        <f>SUM(H552:H554)</f>
        <v>860500</v>
      </c>
      <c r="I551" s="170">
        <f t="shared" si="60"/>
        <v>27.731227844021916</v>
      </c>
      <c r="J551" s="124"/>
      <c r="K551" s="119"/>
      <c r="L551" s="125"/>
      <c r="M551" s="119"/>
      <c r="N551" s="119"/>
      <c r="O551" s="190"/>
      <c r="P551" s="188"/>
      <c r="Q551" s="119"/>
      <c r="R551" s="283"/>
    </row>
    <row r="552" spans="1:18" s="269" customFormat="1" ht="72">
      <c r="A552" s="172">
        <v>8070</v>
      </c>
      <c r="B552" s="411" t="s">
        <v>665</v>
      </c>
      <c r="C552" s="160">
        <v>3100000</v>
      </c>
      <c r="D552" s="149">
        <f aca="true" t="shared" si="66" ref="D552:D615">G552+J552+P552+M552</f>
        <v>3100000</v>
      </c>
      <c r="E552" s="150">
        <f>SUM(H552+K552+N552+Q552)</f>
        <v>858984</v>
      </c>
      <c r="F552" s="130">
        <f t="shared" si="59"/>
        <v>27.70916129032258</v>
      </c>
      <c r="G552" s="148">
        <v>3100000</v>
      </c>
      <c r="H552" s="149">
        <v>858984</v>
      </c>
      <c r="I552" s="108">
        <f t="shared" si="60"/>
        <v>27.70916129032258</v>
      </c>
      <c r="J552" s="109"/>
      <c r="K552" s="104"/>
      <c r="L552" s="110"/>
      <c r="M552" s="104"/>
      <c r="N552" s="104"/>
      <c r="O552" s="194"/>
      <c r="P552" s="160"/>
      <c r="Q552" s="104"/>
      <c r="R552" s="200"/>
    </row>
    <row r="553" spans="1:18" s="269" customFormat="1" ht="24" hidden="1">
      <c r="A553" s="191">
        <v>4300</v>
      </c>
      <c r="B553" s="259" t="s">
        <v>364</v>
      </c>
      <c r="C553" s="160"/>
      <c r="D553" s="104">
        <f t="shared" si="66"/>
        <v>0</v>
      </c>
      <c r="E553" s="129">
        <f>SUM(H553+K553+N553+Q553)</f>
        <v>0</v>
      </c>
      <c r="F553" s="105" t="e">
        <f>E553/D553*100</f>
        <v>#DIV/0!</v>
      </c>
      <c r="G553" s="160"/>
      <c r="H553" s="104"/>
      <c r="I553" s="108" t="e">
        <f t="shared" si="60"/>
        <v>#DIV/0!</v>
      </c>
      <c r="J553" s="109"/>
      <c r="K553" s="104"/>
      <c r="L553" s="110"/>
      <c r="M553" s="104"/>
      <c r="N553" s="104"/>
      <c r="O553" s="194"/>
      <c r="P553" s="160"/>
      <c r="Q553" s="104"/>
      <c r="R553" s="200"/>
    </row>
    <row r="554" spans="1:18" s="185" customFormat="1" ht="72.75" thickBot="1">
      <c r="A554" s="412">
        <v>8079</v>
      </c>
      <c r="B554" s="259" t="s">
        <v>665</v>
      </c>
      <c r="C554" s="199">
        <v>3000</v>
      </c>
      <c r="D554" s="164">
        <f t="shared" si="66"/>
        <v>3000</v>
      </c>
      <c r="E554" s="339">
        <f>SUM(H554+K554+N554+Q554)</f>
        <v>1516</v>
      </c>
      <c r="F554" s="413">
        <f t="shared" si="59"/>
        <v>50.53333333333333</v>
      </c>
      <c r="G554" s="199">
        <v>3000</v>
      </c>
      <c r="H554" s="339">
        <v>1516</v>
      </c>
      <c r="I554" s="108">
        <f t="shared" si="60"/>
        <v>50.53333333333333</v>
      </c>
      <c r="J554" s="233"/>
      <c r="K554" s="236"/>
      <c r="L554" s="319"/>
      <c r="M554" s="236"/>
      <c r="N554" s="236"/>
      <c r="O554" s="194"/>
      <c r="P554" s="229"/>
      <c r="Q554" s="236"/>
      <c r="R554" s="238"/>
    </row>
    <row r="555" spans="1:18" ht="19.5" customHeight="1" thickBot="1" thickTop="1">
      <c r="A555" s="181">
        <v>758</v>
      </c>
      <c r="B555" s="182" t="s">
        <v>666</v>
      </c>
      <c r="C555" s="183">
        <f>C558+C556</f>
        <v>5476618</v>
      </c>
      <c r="D555" s="78">
        <f t="shared" si="66"/>
        <v>5354231</v>
      </c>
      <c r="E555" s="83">
        <f>E558+E556</f>
        <v>385912</v>
      </c>
      <c r="F555" s="79">
        <f t="shared" si="59"/>
        <v>7.207608338153509</v>
      </c>
      <c r="G555" s="341">
        <f>G558+G556</f>
        <v>3810613</v>
      </c>
      <c r="H555" s="83">
        <f>H558+H556</f>
        <v>0</v>
      </c>
      <c r="I555" s="81">
        <f t="shared" si="60"/>
        <v>0</v>
      </c>
      <c r="J555" s="82"/>
      <c r="K555" s="83"/>
      <c r="L555" s="84"/>
      <c r="M555" s="83">
        <f>M556</f>
        <v>1543618</v>
      </c>
      <c r="N555" s="83">
        <f>N556</f>
        <v>385912</v>
      </c>
      <c r="O555" s="184">
        <f>N555/M555*100</f>
        <v>25.00048587150448</v>
      </c>
      <c r="P555" s="183"/>
      <c r="Q555" s="83"/>
      <c r="R555" s="293"/>
    </row>
    <row r="556" spans="1:18" ht="36.75" thickTop="1">
      <c r="A556" s="382">
        <v>75832</v>
      </c>
      <c r="B556" s="383" t="s">
        <v>667</v>
      </c>
      <c r="C556" s="384">
        <f>C557</f>
        <v>1543618</v>
      </c>
      <c r="D556" s="91">
        <f t="shared" si="66"/>
        <v>1543618</v>
      </c>
      <c r="E556" s="97">
        <f>E557</f>
        <v>385912</v>
      </c>
      <c r="F556" s="92">
        <f t="shared" si="59"/>
        <v>25.00048587150448</v>
      </c>
      <c r="G556" s="384"/>
      <c r="H556" s="96"/>
      <c r="I556" s="95"/>
      <c r="J556" s="96"/>
      <c r="K556" s="97"/>
      <c r="L556" s="98"/>
      <c r="M556" s="97">
        <f>M557</f>
        <v>1543618</v>
      </c>
      <c r="N556" s="97">
        <f>N557</f>
        <v>385912</v>
      </c>
      <c r="O556" s="414">
        <f>N556/M556*100</f>
        <v>25.00048587150448</v>
      </c>
      <c r="P556" s="384"/>
      <c r="Q556" s="97"/>
      <c r="R556" s="415"/>
    </row>
    <row r="557" spans="1:18" s="269" customFormat="1" ht="36">
      <c r="A557" s="267">
        <v>2930</v>
      </c>
      <c r="B557" s="305" t="s">
        <v>668</v>
      </c>
      <c r="C557" s="160">
        <v>1543618</v>
      </c>
      <c r="D557" s="230">
        <f t="shared" si="66"/>
        <v>1543618</v>
      </c>
      <c r="E557" s="150">
        <f aca="true" t="shared" si="67" ref="E557:E562">SUM(H557+K557+N557+Q557)</f>
        <v>385912</v>
      </c>
      <c r="F557" s="168">
        <f t="shared" si="59"/>
        <v>25.00048587150448</v>
      </c>
      <c r="G557" s="160"/>
      <c r="H557" s="104"/>
      <c r="I557" s="170"/>
      <c r="J557" s="109"/>
      <c r="K557" s="104"/>
      <c r="L557" s="110"/>
      <c r="M557" s="104">
        <v>1543618</v>
      </c>
      <c r="N557" s="104">
        <f>128644+128634+128634</f>
        <v>385912</v>
      </c>
      <c r="O557" s="416">
        <f>N557/M557*100</f>
        <v>25.00048587150448</v>
      </c>
      <c r="P557" s="160"/>
      <c r="Q557" s="104"/>
      <c r="R557" s="200"/>
    </row>
    <row r="558" spans="1:18" ht="24">
      <c r="A558" s="186">
        <v>75818</v>
      </c>
      <c r="B558" s="294" t="s">
        <v>669</v>
      </c>
      <c r="C558" s="188">
        <f>SUM(C559:C562)</f>
        <v>3933000</v>
      </c>
      <c r="D558" s="189">
        <f t="shared" si="66"/>
        <v>3810613</v>
      </c>
      <c r="E558" s="159">
        <f t="shared" si="67"/>
        <v>0</v>
      </c>
      <c r="F558" s="168">
        <f t="shared" si="59"/>
        <v>0</v>
      </c>
      <c r="G558" s="188">
        <f>SUM(G559:G562)</f>
        <v>3810613</v>
      </c>
      <c r="H558" s="124">
        <f>SUM(H559:H562)</f>
        <v>0</v>
      </c>
      <c r="I558" s="170">
        <f t="shared" si="60"/>
        <v>0</v>
      </c>
      <c r="J558" s="124"/>
      <c r="K558" s="119"/>
      <c r="L558" s="125"/>
      <c r="M558" s="119"/>
      <c r="N558" s="119"/>
      <c r="O558" s="190"/>
      <c r="P558" s="188"/>
      <c r="Q558" s="119"/>
      <c r="R558" s="283"/>
    </row>
    <row r="559" spans="1:18" s="269" customFormat="1" ht="48">
      <c r="A559" s="314">
        <v>4810</v>
      </c>
      <c r="B559" s="315" t="s">
        <v>670</v>
      </c>
      <c r="C559" s="148">
        <v>2250000</v>
      </c>
      <c r="D559" s="149">
        <f t="shared" si="66"/>
        <v>2212560</v>
      </c>
      <c r="E559" s="149">
        <f t="shared" si="67"/>
        <v>0</v>
      </c>
      <c r="F559" s="130">
        <f t="shared" si="59"/>
        <v>0</v>
      </c>
      <c r="G559" s="148">
        <f>2250000-37440</f>
        <v>2212560</v>
      </c>
      <c r="H559" s="149"/>
      <c r="I559" s="113">
        <f t="shared" si="60"/>
        <v>0</v>
      </c>
      <c r="J559" s="153"/>
      <c r="K559" s="149"/>
      <c r="L559" s="154"/>
      <c r="M559" s="149"/>
      <c r="N559" s="149"/>
      <c r="O559" s="225"/>
      <c r="P559" s="148"/>
      <c r="Q559" s="149"/>
      <c r="R559" s="226"/>
    </row>
    <row r="560" spans="1:18" s="269" customFormat="1" ht="36">
      <c r="A560" s="267">
        <v>4810</v>
      </c>
      <c r="B560" s="291" t="s">
        <v>671</v>
      </c>
      <c r="C560" s="160">
        <v>83000</v>
      </c>
      <c r="D560" s="104">
        <f t="shared" si="66"/>
        <v>0</v>
      </c>
      <c r="E560" s="129">
        <f>SUM(H560+K560+N560+Q560)</f>
        <v>0</v>
      </c>
      <c r="F560" s="105"/>
      <c r="G560" s="160">
        <f>83000-83000</f>
        <v>0</v>
      </c>
      <c r="H560" s="104"/>
      <c r="I560" s="108"/>
      <c r="J560" s="109"/>
      <c r="K560" s="104"/>
      <c r="L560" s="110"/>
      <c r="M560" s="104"/>
      <c r="N560" s="104"/>
      <c r="O560" s="194"/>
      <c r="P560" s="160"/>
      <c r="Q560" s="104"/>
      <c r="R560" s="200"/>
    </row>
    <row r="561" spans="1:18" s="269" customFormat="1" ht="36">
      <c r="A561" s="267">
        <v>6800</v>
      </c>
      <c r="B561" s="305" t="s">
        <v>672</v>
      </c>
      <c r="C561" s="160">
        <v>100000</v>
      </c>
      <c r="D561" s="104">
        <f t="shared" si="66"/>
        <v>98053</v>
      </c>
      <c r="E561" s="129">
        <f t="shared" si="67"/>
        <v>0</v>
      </c>
      <c r="F561" s="105">
        <f t="shared" si="59"/>
        <v>0</v>
      </c>
      <c r="G561" s="160">
        <f>100000-1947</f>
        <v>98053</v>
      </c>
      <c r="H561" s="104"/>
      <c r="I561" s="108">
        <f t="shared" si="60"/>
        <v>0</v>
      </c>
      <c r="J561" s="109"/>
      <c r="K561" s="104"/>
      <c r="L561" s="110"/>
      <c r="M561" s="104"/>
      <c r="N561" s="104"/>
      <c r="O561" s="194"/>
      <c r="P561" s="160"/>
      <c r="Q561" s="104"/>
      <c r="R561" s="200"/>
    </row>
    <row r="562" spans="1:18" ht="24.75" thickBot="1">
      <c r="A562" s="191">
        <v>4810</v>
      </c>
      <c r="B562" s="198" t="s">
        <v>673</v>
      </c>
      <c r="C562" s="128">
        <v>1500000</v>
      </c>
      <c r="D562" s="104">
        <f t="shared" si="66"/>
        <v>1500000</v>
      </c>
      <c r="E562" s="129">
        <f t="shared" si="67"/>
        <v>0</v>
      </c>
      <c r="F562" s="105">
        <f t="shared" si="59"/>
        <v>0</v>
      </c>
      <c r="G562" s="128">
        <v>1500000</v>
      </c>
      <c r="H562" s="129"/>
      <c r="I562" s="108">
        <f t="shared" si="60"/>
        <v>0</v>
      </c>
      <c r="J562" s="193"/>
      <c r="K562" s="129"/>
      <c r="L562" s="110"/>
      <c r="M562" s="129"/>
      <c r="N562" s="129"/>
      <c r="O562" s="194"/>
      <c r="P562" s="128"/>
      <c r="Q562" s="129"/>
      <c r="R562" s="200"/>
    </row>
    <row r="563" spans="1:18" s="185" customFormat="1" ht="27" customHeight="1" thickBot="1" thickTop="1">
      <c r="A563" s="181">
        <v>801</v>
      </c>
      <c r="B563" s="182" t="s">
        <v>674</v>
      </c>
      <c r="C563" s="183">
        <f>C564+C593+C630+C651+C679+C722+C750+C772+C804+C825+C850+C853+C869+C634+C618+C701</f>
        <v>111632500</v>
      </c>
      <c r="D563" s="78">
        <f t="shared" si="66"/>
        <v>113477612</v>
      </c>
      <c r="E563" s="78">
        <f>H563+K563+Q563+N563</f>
        <v>29523366</v>
      </c>
      <c r="F563" s="79">
        <f t="shared" si="59"/>
        <v>26.016908075224563</v>
      </c>
      <c r="G563" s="183">
        <f>G564+G593+G630+G651+G679+G722+G750+G772+G804+G825+G850+G853+G869+G634+G618+G701</f>
        <v>67985792</v>
      </c>
      <c r="H563" s="83">
        <f>H564+H593+H630+H651+H679+H722+H750+H772+H804+H825+H850+H853+H869+H634+H618+H701</f>
        <v>18139443</v>
      </c>
      <c r="I563" s="205">
        <f t="shared" si="60"/>
        <v>26.681226277396313</v>
      </c>
      <c r="J563" s="83"/>
      <c r="K563" s="83"/>
      <c r="L563" s="81"/>
      <c r="M563" s="83">
        <f>M564+M593+M630+M651+M679+M722+M750+M772+M804+M825+M850+M853+M869+M634</f>
        <v>45491820</v>
      </c>
      <c r="N563" s="83">
        <f>N564+N593+N630+N651+N679+N722+N750+N772+N804+N825+N850+N853+N869+N634</f>
        <v>11383923</v>
      </c>
      <c r="O563" s="81">
        <f>N563/M563*100</f>
        <v>25.02410982897585</v>
      </c>
      <c r="P563" s="183"/>
      <c r="Q563" s="83"/>
      <c r="R563" s="293"/>
    </row>
    <row r="564" spans="1:18" ht="18.75" customHeight="1" thickTop="1">
      <c r="A564" s="186">
        <v>80101</v>
      </c>
      <c r="B564" s="294" t="s">
        <v>675</v>
      </c>
      <c r="C564" s="188">
        <f>SUM(C565:C592)</f>
        <v>29545200</v>
      </c>
      <c r="D564" s="189">
        <f t="shared" si="66"/>
        <v>29538470</v>
      </c>
      <c r="E564" s="97">
        <f>H564+K564+Q564+N564</f>
        <v>7598959</v>
      </c>
      <c r="F564" s="168">
        <f t="shared" si="59"/>
        <v>25.725635078594117</v>
      </c>
      <c r="G564" s="188">
        <f>SUM(G565:G592)</f>
        <v>29538470</v>
      </c>
      <c r="H564" s="119">
        <f>SUM(H565:H592)</f>
        <v>7598959</v>
      </c>
      <c r="I564" s="232">
        <f t="shared" si="60"/>
        <v>25.725635078594117</v>
      </c>
      <c r="J564" s="119"/>
      <c r="K564" s="119"/>
      <c r="L564" s="170"/>
      <c r="M564" s="119"/>
      <c r="N564" s="119"/>
      <c r="O564" s="190"/>
      <c r="P564" s="188"/>
      <c r="Q564" s="119"/>
      <c r="R564" s="283"/>
    </row>
    <row r="565" spans="1:18" ht="48">
      <c r="A565" s="191">
        <v>2540</v>
      </c>
      <c r="B565" s="198" t="s">
        <v>676</v>
      </c>
      <c r="C565" s="128">
        <v>625000</v>
      </c>
      <c r="D565" s="104">
        <f t="shared" si="66"/>
        <v>625000</v>
      </c>
      <c r="E565" s="129">
        <f>SUM(H565+K565+N565+Q565)</f>
        <v>169115</v>
      </c>
      <c r="F565" s="105">
        <f t="shared" si="59"/>
        <v>27.0584</v>
      </c>
      <c r="G565" s="128">
        <v>625000</v>
      </c>
      <c r="H565" s="129">
        <v>169115</v>
      </c>
      <c r="I565" s="256">
        <f t="shared" si="60"/>
        <v>27.0584</v>
      </c>
      <c r="J565" s="193"/>
      <c r="K565" s="129"/>
      <c r="L565" s="110"/>
      <c r="M565" s="129"/>
      <c r="N565" s="129"/>
      <c r="O565" s="194"/>
      <c r="P565" s="128"/>
      <c r="Q565" s="129"/>
      <c r="R565" s="200"/>
    </row>
    <row r="566" spans="1:18" ht="36">
      <c r="A566" s="191">
        <v>3020</v>
      </c>
      <c r="B566" s="198" t="s">
        <v>677</v>
      </c>
      <c r="C566" s="128">
        <v>93300</v>
      </c>
      <c r="D566" s="104">
        <f t="shared" si="66"/>
        <v>93300</v>
      </c>
      <c r="E566" s="129">
        <f aca="true" t="shared" si="68" ref="E566:E579">SUM(H566+K566+N566+Q566)</f>
        <v>9614</v>
      </c>
      <c r="F566" s="105">
        <f t="shared" si="59"/>
        <v>10.304394426580922</v>
      </c>
      <c r="G566" s="128">
        <v>93300</v>
      </c>
      <c r="H566" s="129">
        <v>9614</v>
      </c>
      <c r="I566" s="256">
        <f t="shared" si="60"/>
        <v>10.304394426580922</v>
      </c>
      <c r="J566" s="193"/>
      <c r="K566" s="129"/>
      <c r="L566" s="110"/>
      <c r="M566" s="129"/>
      <c r="N566" s="129"/>
      <c r="O566" s="194"/>
      <c r="P566" s="128"/>
      <c r="Q566" s="129"/>
      <c r="R566" s="200"/>
    </row>
    <row r="567" spans="1:18" ht="24.75" customHeight="1">
      <c r="A567" s="191">
        <v>4010</v>
      </c>
      <c r="B567" s="198" t="s">
        <v>346</v>
      </c>
      <c r="C567" s="128">
        <v>18268700</v>
      </c>
      <c r="D567" s="104">
        <f t="shared" si="66"/>
        <v>18268700</v>
      </c>
      <c r="E567" s="129">
        <f t="shared" si="68"/>
        <v>4351071</v>
      </c>
      <c r="F567" s="105">
        <f t="shared" si="59"/>
        <v>23.817080580446337</v>
      </c>
      <c r="G567" s="128">
        <v>18268700</v>
      </c>
      <c r="H567" s="129">
        <v>4351071</v>
      </c>
      <c r="I567" s="256">
        <f t="shared" si="60"/>
        <v>23.817080580446337</v>
      </c>
      <c r="J567" s="193"/>
      <c r="K567" s="129"/>
      <c r="L567" s="110"/>
      <c r="M567" s="129"/>
      <c r="N567" s="129"/>
      <c r="O567" s="194"/>
      <c r="P567" s="128"/>
      <c r="Q567" s="129"/>
      <c r="R567" s="200"/>
    </row>
    <row r="568" spans="1:18" ht="24.75" customHeight="1">
      <c r="A568" s="191">
        <v>4040</v>
      </c>
      <c r="B568" s="198" t="s">
        <v>454</v>
      </c>
      <c r="C568" s="128">
        <v>1490600</v>
      </c>
      <c r="D568" s="104">
        <f t="shared" si="66"/>
        <v>1386670</v>
      </c>
      <c r="E568" s="129">
        <f t="shared" si="68"/>
        <v>999740</v>
      </c>
      <c r="F568" s="105">
        <f t="shared" si="59"/>
        <v>72.0964613065834</v>
      </c>
      <c r="G568" s="128">
        <f>1490600-103930</f>
        <v>1386670</v>
      </c>
      <c r="H568" s="129">
        <v>999740</v>
      </c>
      <c r="I568" s="256">
        <f t="shared" si="60"/>
        <v>72.0964613065834</v>
      </c>
      <c r="J568" s="193"/>
      <c r="K568" s="129"/>
      <c r="L568" s="110"/>
      <c r="M568" s="129"/>
      <c r="N568" s="129"/>
      <c r="O568" s="194"/>
      <c r="P568" s="128"/>
      <c r="Q568" s="129"/>
      <c r="R568" s="200"/>
    </row>
    <row r="569" spans="1:18" ht="23.25" customHeight="1">
      <c r="A569" s="191">
        <v>4110</v>
      </c>
      <c r="B569" s="198" t="s">
        <v>352</v>
      </c>
      <c r="C569" s="128">
        <v>3150000</v>
      </c>
      <c r="D569" s="104">
        <f t="shared" si="66"/>
        <v>3150000</v>
      </c>
      <c r="E569" s="129">
        <f>SUM(H569+K569+N569+Q569)</f>
        <v>646102</v>
      </c>
      <c r="F569" s="105">
        <f t="shared" si="59"/>
        <v>20.511174603174602</v>
      </c>
      <c r="G569" s="128">
        <v>3150000</v>
      </c>
      <c r="H569" s="129">
        <v>646102</v>
      </c>
      <c r="I569" s="256">
        <f t="shared" si="60"/>
        <v>20.511174603174602</v>
      </c>
      <c r="J569" s="193"/>
      <c r="K569" s="129"/>
      <c r="L569" s="110"/>
      <c r="M569" s="129"/>
      <c r="N569" s="129"/>
      <c r="O569" s="194"/>
      <c r="P569" s="128"/>
      <c r="Q569" s="129"/>
      <c r="R569" s="200"/>
    </row>
    <row r="570" spans="1:18" ht="15" customHeight="1">
      <c r="A570" s="191">
        <v>4120</v>
      </c>
      <c r="B570" s="198" t="s">
        <v>504</v>
      </c>
      <c r="C570" s="128">
        <v>483000</v>
      </c>
      <c r="D570" s="104">
        <f t="shared" si="66"/>
        <v>483000</v>
      </c>
      <c r="E570" s="129">
        <f>SUM(H570+K570+N570+Q570)</f>
        <v>102356</v>
      </c>
      <c r="F570" s="105">
        <f t="shared" si="59"/>
        <v>21.191718426501037</v>
      </c>
      <c r="G570" s="128">
        <v>483000</v>
      </c>
      <c r="H570" s="129">
        <v>102356</v>
      </c>
      <c r="I570" s="256">
        <f t="shared" si="60"/>
        <v>21.191718426501037</v>
      </c>
      <c r="J570" s="193"/>
      <c r="K570" s="129"/>
      <c r="L570" s="110"/>
      <c r="M570" s="129"/>
      <c r="N570" s="129"/>
      <c r="O570" s="194"/>
      <c r="P570" s="128"/>
      <c r="Q570" s="129"/>
      <c r="R570" s="200"/>
    </row>
    <row r="571" spans="1:18" ht="15" customHeight="1">
      <c r="A571" s="191">
        <v>4140</v>
      </c>
      <c r="B571" s="198" t="s">
        <v>457</v>
      </c>
      <c r="C571" s="128">
        <v>84000</v>
      </c>
      <c r="D571" s="104">
        <f t="shared" si="66"/>
        <v>92200</v>
      </c>
      <c r="E571" s="129">
        <f>SUM(H571+K571+N571+Q571)</f>
        <v>24060</v>
      </c>
      <c r="F571" s="105">
        <f t="shared" si="59"/>
        <v>26.09544468546638</v>
      </c>
      <c r="G571" s="128">
        <f>84000+8200</f>
        <v>92200</v>
      </c>
      <c r="H571" s="129">
        <v>24060</v>
      </c>
      <c r="I571" s="256">
        <f t="shared" si="60"/>
        <v>26.09544468546638</v>
      </c>
      <c r="J571" s="193"/>
      <c r="K571" s="129"/>
      <c r="L571" s="110"/>
      <c r="M571" s="129"/>
      <c r="N571" s="129"/>
      <c r="O571" s="194"/>
      <c r="P571" s="128"/>
      <c r="Q571" s="129"/>
      <c r="R571" s="200"/>
    </row>
    <row r="572" spans="1:18" ht="24">
      <c r="A572" s="191">
        <v>4170</v>
      </c>
      <c r="B572" s="198" t="s">
        <v>392</v>
      </c>
      <c r="C572" s="128">
        <v>7300</v>
      </c>
      <c r="D572" s="104">
        <f t="shared" si="66"/>
        <v>7300</v>
      </c>
      <c r="E572" s="129">
        <f>SUM(H572+K572+N572+Q572)</f>
        <v>524</v>
      </c>
      <c r="F572" s="105">
        <f t="shared" si="59"/>
        <v>7.178082191780821</v>
      </c>
      <c r="G572" s="128">
        <v>7300</v>
      </c>
      <c r="H572" s="129">
        <v>524</v>
      </c>
      <c r="I572" s="256">
        <f t="shared" si="60"/>
        <v>7.178082191780821</v>
      </c>
      <c r="J572" s="193"/>
      <c r="K572" s="129"/>
      <c r="L572" s="110"/>
      <c r="M572" s="129"/>
      <c r="N572" s="129"/>
      <c r="O572" s="194"/>
      <c r="P572" s="128"/>
      <c r="Q572" s="129"/>
      <c r="R572" s="200"/>
    </row>
    <row r="573" spans="1:18" ht="24" customHeight="1">
      <c r="A573" s="191">
        <v>4210</v>
      </c>
      <c r="B573" s="198" t="s">
        <v>356</v>
      </c>
      <c r="C573" s="128">
        <v>582200</v>
      </c>
      <c r="D573" s="104">
        <f t="shared" si="66"/>
        <v>582200</v>
      </c>
      <c r="E573" s="129">
        <f t="shared" si="68"/>
        <v>159157</v>
      </c>
      <c r="F573" s="105">
        <f t="shared" si="59"/>
        <v>27.33716935760907</v>
      </c>
      <c r="G573" s="128">
        <v>582200</v>
      </c>
      <c r="H573" s="129">
        <v>159157</v>
      </c>
      <c r="I573" s="256">
        <f t="shared" si="60"/>
        <v>27.33716935760907</v>
      </c>
      <c r="J573" s="193"/>
      <c r="K573" s="129"/>
      <c r="L573" s="108"/>
      <c r="M573" s="129"/>
      <c r="N573" s="129"/>
      <c r="O573" s="194"/>
      <c r="P573" s="128"/>
      <c r="Q573" s="129"/>
      <c r="R573" s="200"/>
    </row>
    <row r="574" spans="1:18" ht="23.25" customHeight="1">
      <c r="A574" s="191">
        <v>4240</v>
      </c>
      <c r="B574" s="198" t="s">
        <v>678</v>
      </c>
      <c r="C574" s="128">
        <v>70000</v>
      </c>
      <c r="D574" s="104">
        <f t="shared" si="66"/>
        <v>70000</v>
      </c>
      <c r="E574" s="129">
        <f>SUM(H574+K574+N574+Q574)</f>
        <v>16504</v>
      </c>
      <c r="F574" s="105">
        <f t="shared" si="59"/>
        <v>23.577142857142857</v>
      </c>
      <c r="G574" s="128">
        <v>70000</v>
      </c>
      <c r="H574" s="129">
        <v>16504</v>
      </c>
      <c r="I574" s="256">
        <f t="shared" si="60"/>
        <v>23.577142857142857</v>
      </c>
      <c r="J574" s="193"/>
      <c r="K574" s="129"/>
      <c r="L574" s="110"/>
      <c r="M574" s="129"/>
      <c r="N574" s="129"/>
      <c r="O574" s="194"/>
      <c r="P574" s="128"/>
      <c r="Q574" s="129"/>
      <c r="R574" s="200"/>
    </row>
    <row r="575" spans="1:18" ht="15" customHeight="1">
      <c r="A575" s="191">
        <v>4260</v>
      </c>
      <c r="B575" s="321" t="s">
        <v>360</v>
      </c>
      <c r="C575" s="128">
        <v>1616900</v>
      </c>
      <c r="D575" s="104">
        <f t="shared" si="66"/>
        <v>1616900</v>
      </c>
      <c r="E575" s="129">
        <f t="shared" si="68"/>
        <v>603842</v>
      </c>
      <c r="F575" s="105">
        <f t="shared" si="59"/>
        <v>37.34566145092461</v>
      </c>
      <c r="G575" s="128">
        <v>1616900</v>
      </c>
      <c r="H575" s="129">
        <v>603842</v>
      </c>
      <c r="I575" s="256">
        <f t="shared" si="60"/>
        <v>37.34566145092461</v>
      </c>
      <c r="J575" s="193"/>
      <c r="K575" s="129"/>
      <c r="L575" s="110"/>
      <c r="M575" s="129"/>
      <c r="N575" s="129"/>
      <c r="O575" s="194"/>
      <c r="P575" s="128"/>
      <c r="Q575" s="129"/>
      <c r="R575" s="200"/>
    </row>
    <row r="576" spans="1:18" ht="15" customHeight="1">
      <c r="A576" s="191">
        <v>4270</v>
      </c>
      <c r="B576" s="198" t="s">
        <v>362</v>
      </c>
      <c r="C576" s="128">
        <v>49800</v>
      </c>
      <c r="D576" s="104">
        <f t="shared" si="66"/>
        <v>59420</v>
      </c>
      <c r="E576" s="129">
        <f t="shared" si="68"/>
        <v>3710</v>
      </c>
      <c r="F576" s="105">
        <f t="shared" si="59"/>
        <v>6.243688993604847</v>
      </c>
      <c r="G576" s="128">
        <f>49800+9620</f>
        <v>59420</v>
      </c>
      <c r="H576" s="129">
        <v>3710</v>
      </c>
      <c r="I576" s="256">
        <f t="shared" si="60"/>
        <v>6.243688993604847</v>
      </c>
      <c r="J576" s="193"/>
      <c r="K576" s="129"/>
      <c r="L576" s="110"/>
      <c r="M576" s="129"/>
      <c r="N576" s="129"/>
      <c r="O576" s="194"/>
      <c r="P576" s="128"/>
      <c r="Q576" s="129"/>
      <c r="R576" s="200"/>
    </row>
    <row r="577" spans="1:18" ht="15" customHeight="1">
      <c r="A577" s="191">
        <v>4280</v>
      </c>
      <c r="B577" s="198" t="s">
        <v>458</v>
      </c>
      <c r="C577" s="128">
        <v>26400</v>
      </c>
      <c r="D577" s="104">
        <f t="shared" si="66"/>
        <v>26400</v>
      </c>
      <c r="E577" s="129">
        <f t="shared" si="68"/>
        <v>1811</v>
      </c>
      <c r="F577" s="105">
        <f t="shared" si="59"/>
        <v>6.859848484848485</v>
      </c>
      <c r="G577" s="128">
        <v>26400</v>
      </c>
      <c r="H577" s="129">
        <v>1811</v>
      </c>
      <c r="I577" s="256">
        <f t="shared" si="60"/>
        <v>6.859848484848485</v>
      </c>
      <c r="J577" s="193"/>
      <c r="K577" s="129"/>
      <c r="L577" s="110"/>
      <c r="M577" s="129"/>
      <c r="N577" s="129"/>
      <c r="O577" s="194"/>
      <c r="P577" s="128"/>
      <c r="Q577" s="129"/>
      <c r="R577" s="200"/>
    </row>
    <row r="578" spans="1:18" ht="14.25" customHeight="1">
      <c r="A578" s="191">
        <v>4300</v>
      </c>
      <c r="B578" s="198" t="s">
        <v>364</v>
      </c>
      <c r="C578" s="128">
        <v>397800</v>
      </c>
      <c r="D578" s="104">
        <f t="shared" si="66"/>
        <v>397800</v>
      </c>
      <c r="E578" s="129">
        <f t="shared" si="68"/>
        <v>102810</v>
      </c>
      <c r="F578" s="105">
        <f t="shared" si="59"/>
        <v>25.844645550527908</v>
      </c>
      <c r="G578" s="128">
        <v>397800</v>
      </c>
      <c r="H578" s="129">
        <v>102810</v>
      </c>
      <c r="I578" s="256">
        <f t="shared" si="60"/>
        <v>25.844645550527908</v>
      </c>
      <c r="J578" s="193"/>
      <c r="K578" s="129"/>
      <c r="L578" s="110"/>
      <c r="M578" s="129"/>
      <c r="N578" s="129"/>
      <c r="O578" s="194"/>
      <c r="P578" s="128"/>
      <c r="Q578" s="129"/>
      <c r="R578" s="200"/>
    </row>
    <row r="579" spans="1:18" ht="24">
      <c r="A579" s="191">
        <v>4350</v>
      </c>
      <c r="B579" s="198" t="s">
        <v>460</v>
      </c>
      <c r="C579" s="128">
        <v>30200</v>
      </c>
      <c r="D579" s="104">
        <f t="shared" si="66"/>
        <v>33900</v>
      </c>
      <c r="E579" s="129">
        <f t="shared" si="68"/>
        <v>6264</v>
      </c>
      <c r="F579" s="105">
        <f t="shared" si="59"/>
        <v>18.477876106194692</v>
      </c>
      <c r="G579" s="128">
        <f>30200+3700</f>
        <v>33900</v>
      </c>
      <c r="H579" s="129">
        <v>6264</v>
      </c>
      <c r="I579" s="256">
        <f t="shared" si="60"/>
        <v>18.477876106194692</v>
      </c>
      <c r="J579" s="193"/>
      <c r="K579" s="129"/>
      <c r="L579" s="110"/>
      <c r="M579" s="129"/>
      <c r="N579" s="129"/>
      <c r="O579" s="194"/>
      <c r="P579" s="128"/>
      <c r="Q579" s="129"/>
      <c r="R579" s="200"/>
    </row>
    <row r="580" spans="1:18" ht="48">
      <c r="A580" s="267">
        <v>4360</v>
      </c>
      <c r="B580" s="291" t="s">
        <v>635</v>
      </c>
      <c r="C580" s="128">
        <v>1600</v>
      </c>
      <c r="D580" s="104">
        <f t="shared" si="66"/>
        <v>1600</v>
      </c>
      <c r="E580" s="129">
        <f>SUM(H580+K580+N580+Q580)</f>
        <v>974</v>
      </c>
      <c r="F580" s="105">
        <f aca="true" t="shared" si="69" ref="F580:F643">E580/D580*100</f>
        <v>60.875</v>
      </c>
      <c r="G580" s="128">
        <v>1600</v>
      </c>
      <c r="H580" s="129">
        <v>974</v>
      </c>
      <c r="I580" s="256">
        <f aca="true" t="shared" si="70" ref="I580:I592">H580/G580*100</f>
        <v>60.875</v>
      </c>
      <c r="J580" s="193"/>
      <c r="K580" s="129"/>
      <c r="L580" s="110"/>
      <c r="M580" s="129"/>
      <c r="N580" s="129"/>
      <c r="O580" s="194"/>
      <c r="P580" s="128"/>
      <c r="Q580" s="129"/>
      <c r="R580" s="200"/>
    </row>
    <row r="581" spans="1:18" ht="48">
      <c r="A581" s="267">
        <v>4370</v>
      </c>
      <c r="B581" s="291" t="s">
        <v>577</v>
      </c>
      <c r="C581" s="128">
        <v>71300</v>
      </c>
      <c r="D581" s="104">
        <f t="shared" si="66"/>
        <v>71300</v>
      </c>
      <c r="E581" s="129">
        <f>SUM(H581+K581+N581+Q581)</f>
        <v>14581</v>
      </c>
      <c r="F581" s="105">
        <f t="shared" si="69"/>
        <v>20.45021037868163</v>
      </c>
      <c r="G581" s="128">
        <v>71300</v>
      </c>
      <c r="H581" s="129">
        <v>14581</v>
      </c>
      <c r="I581" s="256">
        <f t="shared" si="70"/>
        <v>20.45021037868163</v>
      </c>
      <c r="J581" s="193"/>
      <c r="K581" s="129"/>
      <c r="L581" s="110"/>
      <c r="M581" s="129"/>
      <c r="N581" s="129"/>
      <c r="O581" s="194"/>
      <c r="P581" s="128"/>
      <c r="Q581" s="129"/>
      <c r="R581" s="200"/>
    </row>
    <row r="582" spans="1:18" ht="36" hidden="1">
      <c r="A582" s="191">
        <v>4380</v>
      </c>
      <c r="B582" s="198" t="s">
        <v>679</v>
      </c>
      <c r="C582" s="128"/>
      <c r="D582" s="104">
        <f t="shared" si="66"/>
        <v>0</v>
      </c>
      <c r="E582" s="129">
        <f>SUM(H582+K582+N582+Q582)</f>
        <v>0</v>
      </c>
      <c r="F582" s="105" t="e">
        <f t="shared" si="69"/>
        <v>#DIV/0!</v>
      </c>
      <c r="G582" s="128"/>
      <c r="H582" s="129"/>
      <c r="I582" s="256"/>
      <c r="J582" s="193"/>
      <c r="K582" s="129"/>
      <c r="L582" s="110"/>
      <c r="M582" s="129"/>
      <c r="N582" s="129"/>
      <c r="O582" s="194"/>
      <c r="P582" s="128"/>
      <c r="Q582" s="129"/>
      <c r="R582" s="200"/>
    </row>
    <row r="583" spans="1:18" ht="36">
      <c r="A583" s="191">
        <v>4390</v>
      </c>
      <c r="B583" s="305" t="s">
        <v>393</v>
      </c>
      <c r="C583" s="128">
        <v>72200</v>
      </c>
      <c r="D583" s="104">
        <f t="shared" si="66"/>
        <v>72200</v>
      </c>
      <c r="E583" s="129">
        <f>SUM(H583+K583+N583+Q583)</f>
        <v>6686</v>
      </c>
      <c r="F583" s="105">
        <f t="shared" si="69"/>
        <v>9.260387811634349</v>
      </c>
      <c r="G583" s="128">
        <v>72200</v>
      </c>
      <c r="H583" s="129">
        <v>6686</v>
      </c>
      <c r="I583" s="256">
        <f t="shared" si="70"/>
        <v>9.260387811634349</v>
      </c>
      <c r="J583" s="193"/>
      <c r="K583" s="129"/>
      <c r="L583" s="110"/>
      <c r="M583" s="129"/>
      <c r="N583" s="129"/>
      <c r="O583" s="194"/>
      <c r="P583" s="128"/>
      <c r="Q583" s="129"/>
      <c r="R583" s="200"/>
    </row>
    <row r="584" spans="1:18" ht="13.5" customHeight="1">
      <c r="A584" s="191">
        <v>4410</v>
      </c>
      <c r="B584" s="198" t="s">
        <v>338</v>
      </c>
      <c r="C584" s="128">
        <v>28200</v>
      </c>
      <c r="D584" s="104">
        <f t="shared" si="66"/>
        <v>28200</v>
      </c>
      <c r="E584" s="129">
        <f>SUM(H584+K584+N584+Q584)</f>
        <v>3573</v>
      </c>
      <c r="F584" s="105">
        <f t="shared" si="69"/>
        <v>12.670212765957448</v>
      </c>
      <c r="G584" s="128">
        <v>28200</v>
      </c>
      <c r="H584" s="129">
        <v>3573</v>
      </c>
      <c r="I584" s="256">
        <f t="shared" si="70"/>
        <v>12.670212765957448</v>
      </c>
      <c r="J584" s="193"/>
      <c r="K584" s="129"/>
      <c r="L584" s="110"/>
      <c r="M584" s="129"/>
      <c r="N584" s="129"/>
      <c r="O584" s="194"/>
      <c r="P584" s="128"/>
      <c r="Q584" s="129"/>
      <c r="R584" s="200"/>
    </row>
    <row r="585" spans="1:18" ht="23.25" customHeight="1">
      <c r="A585" s="191">
        <v>4420</v>
      </c>
      <c r="B585" s="198" t="s">
        <v>477</v>
      </c>
      <c r="C585" s="128">
        <v>2100</v>
      </c>
      <c r="D585" s="104">
        <f t="shared" si="66"/>
        <v>2100</v>
      </c>
      <c r="E585" s="104">
        <f>H585+K585+Q585+N585</f>
        <v>0</v>
      </c>
      <c r="F585" s="105">
        <f t="shared" si="69"/>
        <v>0</v>
      </c>
      <c r="G585" s="128">
        <v>2100</v>
      </c>
      <c r="H585" s="129"/>
      <c r="I585" s="256">
        <f t="shared" si="70"/>
        <v>0</v>
      </c>
      <c r="J585" s="193"/>
      <c r="K585" s="129"/>
      <c r="L585" s="110"/>
      <c r="M585" s="129"/>
      <c r="N585" s="129"/>
      <c r="O585" s="194"/>
      <c r="P585" s="128"/>
      <c r="Q585" s="129"/>
      <c r="R585" s="200"/>
    </row>
    <row r="586" spans="1:18" ht="12.75">
      <c r="A586" s="191">
        <v>4430</v>
      </c>
      <c r="B586" s="198" t="s">
        <v>366</v>
      </c>
      <c r="C586" s="128">
        <v>600</v>
      </c>
      <c r="D586" s="104">
        <f t="shared" si="66"/>
        <v>600</v>
      </c>
      <c r="E586" s="104">
        <f>H586+K586+Q586+N586</f>
        <v>304</v>
      </c>
      <c r="F586" s="105">
        <f t="shared" si="69"/>
        <v>50.66666666666667</v>
      </c>
      <c r="G586" s="128">
        <v>600</v>
      </c>
      <c r="H586" s="129">
        <v>304</v>
      </c>
      <c r="I586" s="256">
        <f t="shared" si="70"/>
        <v>50.66666666666667</v>
      </c>
      <c r="J586" s="193"/>
      <c r="K586" s="129"/>
      <c r="L586" s="110"/>
      <c r="M586" s="129"/>
      <c r="N586" s="129"/>
      <c r="O586" s="194"/>
      <c r="P586" s="128"/>
      <c r="Q586" s="129"/>
      <c r="R586" s="200"/>
    </row>
    <row r="587" spans="1:18" ht="12.75" customHeight="1">
      <c r="A587" s="191">
        <v>4440</v>
      </c>
      <c r="B587" s="198" t="s">
        <v>368</v>
      </c>
      <c r="C587" s="128">
        <v>1067000</v>
      </c>
      <c r="D587" s="104">
        <f t="shared" si="66"/>
        <v>1122680</v>
      </c>
      <c r="E587" s="129">
        <f aca="true" t="shared" si="71" ref="E587:E592">SUM(H587+K587+N587+Q587)</f>
        <v>358195</v>
      </c>
      <c r="F587" s="105">
        <f t="shared" si="69"/>
        <v>31.90535148038622</v>
      </c>
      <c r="G587" s="128">
        <f>1067000+55680</f>
        <v>1122680</v>
      </c>
      <c r="H587" s="129">
        <v>358195</v>
      </c>
      <c r="I587" s="256">
        <f t="shared" si="70"/>
        <v>31.90535148038622</v>
      </c>
      <c r="J587" s="193"/>
      <c r="K587" s="129"/>
      <c r="L587" s="110"/>
      <c r="M587" s="129"/>
      <c r="N587" s="129"/>
      <c r="O587" s="194"/>
      <c r="P587" s="128"/>
      <c r="Q587" s="129"/>
      <c r="R587" s="200"/>
    </row>
    <row r="588" spans="1:18" ht="36">
      <c r="A588" s="267">
        <v>4700</v>
      </c>
      <c r="B588" s="291" t="s">
        <v>466</v>
      </c>
      <c r="C588" s="128">
        <v>28400</v>
      </c>
      <c r="D588" s="104">
        <f t="shared" si="66"/>
        <v>28400</v>
      </c>
      <c r="E588" s="129">
        <f t="shared" si="71"/>
        <v>3280</v>
      </c>
      <c r="F588" s="105">
        <f t="shared" si="69"/>
        <v>11.549295774647888</v>
      </c>
      <c r="G588" s="128">
        <v>28400</v>
      </c>
      <c r="H588" s="129">
        <v>3280</v>
      </c>
      <c r="I588" s="256">
        <f t="shared" si="70"/>
        <v>11.549295774647888</v>
      </c>
      <c r="J588" s="193"/>
      <c r="K588" s="129"/>
      <c r="L588" s="110"/>
      <c r="M588" s="129"/>
      <c r="N588" s="129"/>
      <c r="O588" s="194"/>
      <c r="P588" s="128"/>
      <c r="Q588" s="129"/>
      <c r="R588" s="200"/>
    </row>
    <row r="589" spans="1:18" ht="60">
      <c r="A589" s="267">
        <v>4740</v>
      </c>
      <c r="B589" s="291" t="s">
        <v>380</v>
      </c>
      <c r="C589" s="128">
        <v>29700</v>
      </c>
      <c r="D589" s="104">
        <f t="shared" si="66"/>
        <v>29700</v>
      </c>
      <c r="E589" s="129">
        <f t="shared" si="71"/>
        <v>3853</v>
      </c>
      <c r="F589" s="105">
        <f t="shared" si="69"/>
        <v>12.973063973063972</v>
      </c>
      <c r="G589" s="128">
        <v>29700</v>
      </c>
      <c r="H589" s="129">
        <v>3853</v>
      </c>
      <c r="I589" s="256">
        <f t="shared" si="70"/>
        <v>12.973063973063972</v>
      </c>
      <c r="J589" s="193"/>
      <c r="K589" s="129"/>
      <c r="L589" s="110"/>
      <c r="M589" s="129"/>
      <c r="N589" s="129"/>
      <c r="O589" s="194"/>
      <c r="P589" s="128"/>
      <c r="Q589" s="129"/>
      <c r="R589" s="200"/>
    </row>
    <row r="590" spans="1:18" ht="36">
      <c r="A590" s="267">
        <v>4750</v>
      </c>
      <c r="B590" s="291" t="s">
        <v>467</v>
      </c>
      <c r="C590" s="128">
        <v>50000</v>
      </c>
      <c r="D590" s="104">
        <f t="shared" si="66"/>
        <v>50000</v>
      </c>
      <c r="E590" s="129">
        <f t="shared" si="71"/>
        <v>10341</v>
      </c>
      <c r="F590" s="105">
        <f t="shared" si="69"/>
        <v>20.682000000000002</v>
      </c>
      <c r="G590" s="128">
        <v>50000</v>
      </c>
      <c r="H590" s="129">
        <v>10341</v>
      </c>
      <c r="I590" s="256">
        <f t="shared" si="70"/>
        <v>20.682000000000002</v>
      </c>
      <c r="J590" s="193"/>
      <c r="K590" s="129"/>
      <c r="L590" s="110"/>
      <c r="M590" s="129"/>
      <c r="N590" s="129"/>
      <c r="O590" s="194"/>
      <c r="P590" s="128"/>
      <c r="Q590" s="129"/>
      <c r="R590" s="200"/>
    </row>
    <row r="591" spans="1:18" ht="60">
      <c r="A591" s="191">
        <v>6050</v>
      </c>
      <c r="B591" s="198" t="s">
        <v>680</v>
      </c>
      <c r="C591" s="128">
        <v>1211400</v>
      </c>
      <c r="D591" s="104">
        <f t="shared" si="66"/>
        <v>1231400</v>
      </c>
      <c r="E591" s="129">
        <f t="shared" si="71"/>
        <v>492</v>
      </c>
      <c r="F591" s="105">
        <f t="shared" si="69"/>
        <v>0.03995452330680526</v>
      </c>
      <c r="G591" s="128">
        <f>1211400+20000</f>
        <v>1231400</v>
      </c>
      <c r="H591" s="129">
        <v>492</v>
      </c>
      <c r="I591" s="256">
        <f t="shared" si="70"/>
        <v>0.03995452330680526</v>
      </c>
      <c r="J591" s="193"/>
      <c r="K591" s="129"/>
      <c r="L591" s="110"/>
      <c r="M591" s="129"/>
      <c r="N591" s="129"/>
      <c r="O591" s="194"/>
      <c r="P591" s="128"/>
      <c r="Q591" s="129"/>
      <c r="R591" s="200"/>
    </row>
    <row r="592" spans="1:18" ht="36">
      <c r="A592" s="191">
        <v>6060</v>
      </c>
      <c r="B592" s="198" t="s">
        <v>515</v>
      </c>
      <c r="C592" s="128">
        <v>7500</v>
      </c>
      <c r="D592" s="104">
        <f t="shared" si="66"/>
        <v>7500</v>
      </c>
      <c r="E592" s="129">
        <f t="shared" si="71"/>
        <v>0</v>
      </c>
      <c r="F592" s="105">
        <f t="shared" si="69"/>
        <v>0</v>
      </c>
      <c r="G592" s="128">
        <v>7500</v>
      </c>
      <c r="H592" s="129"/>
      <c r="I592" s="256">
        <f t="shared" si="70"/>
        <v>0</v>
      </c>
      <c r="J592" s="193"/>
      <c r="K592" s="129"/>
      <c r="L592" s="110"/>
      <c r="M592" s="129"/>
      <c r="N592" s="129"/>
      <c r="O592" s="194"/>
      <c r="P592" s="128"/>
      <c r="Q592" s="129"/>
      <c r="R592" s="200"/>
    </row>
    <row r="593" spans="1:18" s="185" customFormat="1" ht="24">
      <c r="A593" s="186">
        <v>80102</v>
      </c>
      <c r="B593" s="294" t="s">
        <v>681</v>
      </c>
      <c r="C593" s="188">
        <f>SUM(C594:C616)</f>
        <v>2144700</v>
      </c>
      <c r="D593" s="137">
        <f t="shared" si="66"/>
        <v>2167940</v>
      </c>
      <c r="E593" s="119">
        <f>H593+K593+Q593+N593</f>
        <v>570624</v>
      </c>
      <c r="F593" s="120">
        <f t="shared" si="69"/>
        <v>26.321023644565813</v>
      </c>
      <c r="G593" s="344"/>
      <c r="H593" s="345"/>
      <c r="I593" s="417"/>
      <c r="J593" s="346"/>
      <c r="K593" s="345"/>
      <c r="L593" s="347"/>
      <c r="M593" s="119">
        <f>SUM(M594:M617)</f>
        <v>2167940</v>
      </c>
      <c r="N593" s="119">
        <f>SUM(N594:N617)</f>
        <v>570624</v>
      </c>
      <c r="O593" s="127">
        <f aca="true" t="shared" si="72" ref="O593:O616">N593/M593*100</f>
        <v>26.321023644565813</v>
      </c>
      <c r="P593" s="188"/>
      <c r="Q593" s="119"/>
      <c r="R593" s="283"/>
    </row>
    <row r="594" spans="1:18" s="185" customFormat="1" ht="36">
      <c r="A594" s="191">
        <v>3020</v>
      </c>
      <c r="B594" s="198" t="s">
        <v>677</v>
      </c>
      <c r="C594" s="128">
        <v>6000</v>
      </c>
      <c r="D594" s="104">
        <f t="shared" si="66"/>
        <v>6000</v>
      </c>
      <c r="E594" s="129">
        <f aca="true" t="shared" si="73" ref="E594:E617">SUM(H594+K594+N594+Q594)</f>
        <v>276</v>
      </c>
      <c r="F594" s="105">
        <f t="shared" si="69"/>
        <v>4.6</v>
      </c>
      <c r="G594" s="128"/>
      <c r="H594" s="129"/>
      <c r="I594" s="416"/>
      <c r="J594" s="193"/>
      <c r="K594" s="129"/>
      <c r="L594" s="110"/>
      <c r="M594" s="128">
        <v>6000</v>
      </c>
      <c r="N594" s="150">
        <v>276</v>
      </c>
      <c r="O594" s="256">
        <f t="shared" si="72"/>
        <v>4.6</v>
      </c>
      <c r="P594" s="128"/>
      <c r="Q594" s="129"/>
      <c r="R594" s="200"/>
    </row>
    <row r="595" spans="1:18" s="185" customFormat="1" ht="12.75">
      <c r="A595" s="191">
        <v>3110</v>
      </c>
      <c r="B595" s="198" t="s">
        <v>682</v>
      </c>
      <c r="C595" s="128">
        <v>1900</v>
      </c>
      <c r="D595" s="104">
        <f>G595+J595+P595+M595</f>
        <v>1900</v>
      </c>
      <c r="E595" s="129">
        <f>SUM(H595+K595+N595+Q595)</f>
        <v>1900</v>
      </c>
      <c r="F595" s="105">
        <f>E595/D595*100</f>
        <v>100</v>
      </c>
      <c r="G595" s="128"/>
      <c r="H595" s="129"/>
      <c r="I595" s="416"/>
      <c r="J595" s="193"/>
      <c r="K595" s="129"/>
      <c r="L595" s="110"/>
      <c r="M595" s="128">
        <v>1900</v>
      </c>
      <c r="N595" s="129">
        <v>1900</v>
      </c>
      <c r="O595" s="256">
        <f t="shared" si="72"/>
        <v>100</v>
      </c>
      <c r="P595" s="128"/>
      <c r="Q595" s="129"/>
      <c r="R595" s="200"/>
    </row>
    <row r="596" spans="1:18" s="185" customFormat="1" ht="24">
      <c r="A596" s="191">
        <v>4010</v>
      </c>
      <c r="B596" s="198" t="s">
        <v>346</v>
      </c>
      <c r="C596" s="128">
        <v>1460000</v>
      </c>
      <c r="D596" s="104">
        <f t="shared" si="66"/>
        <v>1466300</v>
      </c>
      <c r="E596" s="129">
        <f t="shared" si="73"/>
        <v>350831</v>
      </c>
      <c r="F596" s="105">
        <f t="shared" si="69"/>
        <v>23.926277023801404</v>
      </c>
      <c r="G596" s="128"/>
      <c r="H596" s="129"/>
      <c r="I596" s="416"/>
      <c r="J596" s="193"/>
      <c r="K596" s="129"/>
      <c r="L596" s="110"/>
      <c r="M596" s="128">
        <f>1460000+6300</f>
        <v>1466300</v>
      </c>
      <c r="N596" s="129">
        <v>350831</v>
      </c>
      <c r="O596" s="256">
        <f t="shared" si="72"/>
        <v>23.926277023801404</v>
      </c>
      <c r="P596" s="128"/>
      <c r="Q596" s="129"/>
      <c r="R596" s="200"/>
    </row>
    <row r="597" spans="1:18" s="185" customFormat="1" ht="24">
      <c r="A597" s="191">
        <v>4040</v>
      </c>
      <c r="B597" s="198" t="s">
        <v>350</v>
      </c>
      <c r="C597" s="128">
        <v>122200</v>
      </c>
      <c r="D597" s="104">
        <f t="shared" si="66"/>
        <v>122940</v>
      </c>
      <c r="E597" s="129">
        <f t="shared" si="73"/>
        <v>84696</v>
      </c>
      <c r="F597" s="105">
        <f t="shared" si="69"/>
        <v>68.89214250854076</v>
      </c>
      <c r="G597" s="128"/>
      <c r="H597" s="129"/>
      <c r="I597" s="416"/>
      <c r="J597" s="193"/>
      <c r="K597" s="129"/>
      <c r="L597" s="110"/>
      <c r="M597" s="128">
        <f>122200+740</f>
        <v>122940</v>
      </c>
      <c r="N597" s="129">
        <v>84696</v>
      </c>
      <c r="O597" s="256">
        <f t="shared" si="72"/>
        <v>68.89214250854076</v>
      </c>
      <c r="P597" s="128"/>
      <c r="Q597" s="129"/>
      <c r="R597" s="200"/>
    </row>
    <row r="598" spans="1:18" s="185" customFormat="1" ht="24">
      <c r="A598" s="191">
        <v>4110</v>
      </c>
      <c r="B598" s="198" t="s">
        <v>352</v>
      </c>
      <c r="C598" s="128">
        <v>263400</v>
      </c>
      <c r="D598" s="104">
        <f t="shared" si="66"/>
        <v>264400</v>
      </c>
      <c r="E598" s="129">
        <f t="shared" si="73"/>
        <v>48375</v>
      </c>
      <c r="F598" s="105">
        <f t="shared" si="69"/>
        <v>18.296142208774587</v>
      </c>
      <c r="G598" s="128"/>
      <c r="H598" s="129"/>
      <c r="I598" s="416"/>
      <c r="J598" s="193"/>
      <c r="K598" s="129"/>
      <c r="L598" s="110"/>
      <c r="M598" s="128">
        <f>263400+1000</f>
        <v>264400</v>
      </c>
      <c r="N598" s="129">
        <v>48375</v>
      </c>
      <c r="O598" s="256">
        <f t="shared" si="72"/>
        <v>18.296142208774587</v>
      </c>
      <c r="P598" s="128"/>
      <c r="Q598" s="129"/>
      <c r="R598" s="200"/>
    </row>
    <row r="599" spans="1:18" s="185" customFormat="1" ht="15" customHeight="1">
      <c r="A599" s="191">
        <v>4120</v>
      </c>
      <c r="B599" s="198" t="s">
        <v>504</v>
      </c>
      <c r="C599" s="128">
        <v>38600</v>
      </c>
      <c r="D599" s="104">
        <f t="shared" si="66"/>
        <v>38800</v>
      </c>
      <c r="E599" s="129">
        <f t="shared" si="73"/>
        <v>7284</v>
      </c>
      <c r="F599" s="105">
        <f t="shared" si="69"/>
        <v>18.77319587628866</v>
      </c>
      <c r="G599" s="128"/>
      <c r="H599" s="129"/>
      <c r="I599" s="416"/>
      <c r="J599" s="193"/>
      <c r="K599" s="129"/>
      <c r="L599" s="110"/>
      <c r="M599" s="128">
        <f>38600+200</f>
        <v>38800</v>
      </c>
      <c r="N599" s="129">
        <v>7284</v>
      </c>
      <c r="O599" s="256">
        <f t="shared" si="72"/>
        <v>18.77319587628866</v>
      </c>
      <c r="P599" s="128"/>
      <c r="Q599" s="129"/>
      <c r="R599" s="200"/>
    </row>
    <row r="600" spans="1:18" s="185" customFormat="1" ht="24" hidden="1">
      <c r="A600" s="191">
        <v>4130</v>
      </c>
      <c r="B600" s="198" t="s">
        <v>683</v>
      </c>
      <c r="C600" s="128"/>
      <c r="D600" s="104">
        <f t="shared" si="66"/>
        <v>0</v>
      </c>
      <c r="E600" s="129">
        <f t="shared" si="73"/>
        <v>0</v>
      </c>
      <c r="F600" s="105" t="e">
        <f t="shared" si="69"/>
        <v>#DIV/0!</v>
      </c>
      <c r="G600" s="128"/>
      <c r="H600" s="129"/>
      <c r="I600" s="416"/>
      <c r="J600" s="193"/>
      <c r="K600" s="129"/>
      <c r="L600" s="110"/>
      <c r="M600" s="128"/>
      <c r="N600" s="129"/>
      <c r="O600" s="256" t="e">
        <f t="shared" si="72"/>
        <v>#DIV/0!</v>
      </c>
      <c r="P600" s="128"/>
      <c r="Q600" s="129"/>
      <c r="R600" s="200"/>
    </row>
    <row r="601" spans="1:18" s="185" customFormat="1" ht="24">
      <c r="A601" s="191">
        <v>4210</v>
      </c>
      <c r="B601" s="198" t="s">
        <v>356</v>
      </c>
      <c r="C601" s="128">
        <v>30000</v>
      </c>
      <c r="D601" s="104">
        <f t="shared" si="66"/>
        <v>34000</v>
      </c>
      <c r="E601" s="129">
        <f t="shared" si="73"/>
        <v>7153</v>
      </c>
      <c r="F601" s="105">
        <f t="shared" si="69"/>
        <v>21.038235294117648</v>
      </c>
      <c r="G601" s="128"/>
      <c r="H601" s="129"/>
      <c r="I601" s="416"/>
      <c r="J601" s="193"/>
      <c r="K601" s="129"/>
      <c r="L601" s="110"/>
      <c r="M601" s="128">
        <f>30000+4000</f>
        <v>34000</v>
      </c>
      <c r="N601" s="129">
        <v>7153</v>
      </c>
      <c r="O601" s="256">
        <f t="shared" si="72"/>
        <v>21.038235294117648</v>
      </c>
      <c r="P601" s="128"/>
      <c r="Q601" s="129"/>
      <c r="R601" s="200"/>
    </row>
    <row r="602" spans="1:18" s="185" customFormat="1" ht="36">
      <c r="A602" s="191">
        <v>4240</v>
      </c>
      <c r="B602" s="198" t="s">
        <v>489</v>
      </c>
      <c r="C602" s="128">
        <v>6800</v>
      </c>
      <c r="D602" s="104">
        <f t="shared" si="66"/>
        <v>6800</v>
      </c>
      <c r="E602" s="129">
        <f t="shared" si="73"/>
        <v>772</v>
      </c>
      <c r="F602" s="105">
        <f t="shared" si="69"/>
        <v>11.352941176470587</v>
      </c>
      <c r="G602" s="128"/>
      <c r="H602" s="129"/>
      <c r="I602" s="416"/>
      <c r="J602" s="193"/>
      <c r="K602" s="129"/>
      <c r="L602" s="110"/>
      <c r="M602" s="128">
        <v>6800</v>
      </c>
      <c r="N602" s="129">
        <v>772</v>
      </c>
      <c r="O602" s="256">
        <f t="shared" si="72"/>
        <v>11.352941176470587</v>
      </c>
      <c r="P602" s="128"/>
      <c r="Q602" s="129"/>
      <c r="R602" s="200"/>
    </row>
    <row r="603" spans="1:18" s="185" customFormat="1" ht="13.5" customHeight="1">
      <c r="A603" s="191">
        <v>4260</v>
      </c>
      <c r="B603" s="198" t="s">
        <v>360</v>
      </c>
      <c r="C603" s="128">
        <v>80000</v>
      </c>
      <c r="D603" s="104">
        <f t="shared" si="66"/>
        <v>80000</v>
      </c>
      <c r="E603" s="129">
        <f t="shared" si="73"/>
        <v>16278</v>
      </c>
      <c r="F603" s="105">
        <f t="shared" si="69"/>
        <v>20.3475</v>
      </c>
      <c r="G603" s="128"/>
      <c r="H603" s="129"/>
      <c r="I603" s="416"/>
      <c r="J603" s="193"/>
      <c r="K603" s="129"/>
      <c r="L603" s="110"/>
      <c r="M603" s="128">
        <v>80000</v>
      </c>
      <c r="N603" s="129">
        <v>16278</v>
      </c>
      <c r="O603" s="256">
        <f t="shared" si="72"/>
        <v>20.3475</v>
      </c>
      <c r="P603" s="128"/>
      <c r="Q603" s="129"/>
      <c r="R603" s="200"/>
    </row>
    <row r="604" spans="1:18" s="185" customFormat="1" ht="13.5" customHeight="1">
      <c r="A604" s="191">
        <v>4270</v>
      </c>
      <c r="B604" s="198" t="s">
        <v>362</v>
      </c>
      <c r="C604" s="128">
        <v>3800</v>
      </c>
      <c r="D604" s="104">
        <f t="shared" si="66"/>
        <v>3800</v>
      </c>
      <c r="E604" s="129">
        <f t="shared" si="73"/>
        <v>3226</v>
      </c>
      <c r="F604" s="105">
        <f t="shared" si="69"/>
        <v>84.89473684210526</v>
      </c>
      <c r="G604" s="128"/>
      <c r="H604" s="129"/>
      <c r="I604" s="416"/>
      <c r="J604" s="193"/>
      <c r="K604" s="129"/>
      <c r="L604" s="110"/>
      <c r="M604" s="128">
        <v>3800</v>
      </c>
      <c r="N604" s="129">
        <v>3226</v>
      </c>
      <c r="O604" s="256">
        <f t="shared" si="72"/>
        <v>84.89473684210526</v>
      </c>
      <c r="P604" s="128"/>
      <c r="Q604" s="129"/>
      <c r="R604" s="200"/>
    </row>
    <row r="605" spans="1:18" s="185" customFormat="1" ht="13.5" customHeight="1">
      <c r="A605" s="191">
        <v>4280</v>
      </c>
      <c r="B605" s="198" t="s">
        <v>458</v>
      </c>
      <c r="C605" s="128">
        <v>1900</v>
      </c>
      <c r="D605" s="104">
        <f t="shared" si="66"/>
        <v>1900</v>
      </c>
      <c r="E605" s="129">
        <f t="shared" si="73"/>
        <v>487</v>
      </c>
      <c r="F605" s="105">
        <f t="shared" si="69"/>
        <v>25.63157894736842</v>
      </c>
      <c r="G605" s="128"/>
      <c r="H605" s="129"/>
      <c r="I605" s="416"/>
      <c r="J605" s="193"/>
      <c r="K605" s="129"/>
      <c r="L605" s="110"/>
      <c r="M605" s="128">
        <v>1900</v>
      </c>
      <c r="N605" s="129">
        <v>487</v>
      </c>
      <c r="O605" s="256">
        <f t="shared" si="72"/>
        <v>25.63157894736842</v>
      </c>
      <c r="P605" s="128"/>
      <c r="Q605" s="129"/>
      <c r="R605" s="200"/>
    </row>
    <row r="606" spans="1:18" s="185" customFormat="1" ht="16.5" customHeight="1">
      <c r="A606" s="191">
        <v>4300</v>
      </c>
      <c r="B606" s="198" t="s">
        <v>364</v>
      </c>
      <c r="C606" s="128">
        <v>43000</v>
      </c>
      <c r="D606" s="104">
        <f t="shared" si="66"/>
        <v>47300</v>
      </c>
      <c r="E606" s="129">
        <f t="shared" si="73"/>
        <v>15302</v>
      </c>
      <c r="F606" s="105">
        <f t="shared" si="69"/>
        <v>32.350951374207185</v>
      </c>
      <c r="G606" s="128"/>
      <c r="H606" s="129"/>
      <c r="I606" s="416"/>
      <c r="J606" s="193"/>
      <c r="K606" s="129"/>
      <c r="L606" s="110"/>
      <c r="M606" s="128">
        <f>43000+4300</f>
        <v>47300</v>
      </c>
      <c r="N606" s="129">
        <v>15302</v>
      </c>
      <c r="O606" s="256">
        <f t="shared" si="72"/>
        <v>32.350951374207185</v>
      </c>
      <c r="P606" s="128"/>
      <c r="Q606" s="129"/>
      <c r="R606" s="200"/>
    </row>
    <row r="607" spans="1:18" s="185" customFormat="1" ht="24">
      <c r="A607" s="191">
        <v>4350</v>
      </c>
      <c r="B607" s="198" t="s">
        <v>460</v>
      </c>
      <c r="C607" s="128">
        <v>1200</v>
      </c>
      <c r="D607" s="104">
        <f t="shared" si="66"/>
        <v>1200</v>
      </c>
      <c r="E607" s="129">
        <f t="shared" si="73"/>
        <v>431</v>
      </c>
      <c r="F607" s="105">
        <f t="shared" si="69"/>
        <v>35.91666666666667</v>
      </c>
      <c r="G607" s="128"/>
      <c r="H607" s="129"/>
      <c r="I607" s="416"/>
      <c r="J607" s="193"/>
      <c r="K607" s="129"/>
      <c r="L607" s="110"/>
      <c r="M607" s="128">
        <v>1200</v>
      </c>
      <c r="N607" s="129">
        <v>431</v>
      </c>
      <c r="O607" s="256">
        <f t="shared" si="72"/>
        <v>35.91666666666667</v>
      </c>
      <c r="P607" s="128"/>
      <c r="Q607" s="129"/>
      <c r="R607" s="200"/>
    </row>
    <row r="608" spans="1:18" s="185" customFormat="1" ht="48">
      <c r="A608" s="267">
        <v>4360</v>
      </c>
      <c r="B608" s="291" t="s">
        <v>635</v>
      </c>
      <c r="C608" s="128">
        <v>600</v>
      </c>
      <c r="D608" s="104">
        <f t="shared" si="66"/>
        <v>700</v>
      </c>
      <c r="E608" s="129">
        <f>SUM(H608+K608+N608+Q608)</f>
        <v>68</v>
      </c>
      <c r="F608" s="105">
        <f>E608/D608*100</f>
        <v>9.714285714285714</v>
      </c>
      <c r="G608" s="128"/>
      <c r="H608" s="129"/>
      <c r="I608" s="416"/>
      <c r="J608" s="193"/>
      <c r="K608" s="129"/>
      <c r="L608" s="110"/>
      <c r="M608" s="128">
        <f>600+100</f>
        <v>700</v>
      </c>
      <c r="N608" s="129">
        <v>68</v>
      </c>
      <c r="O608" s="256">
        <f t="shared" si="72"/>
        <v>9.714285714285714</v>
      </c>
      <c r="P608" s="128"/>
      <c r="Q608" s="129"/>
      <c r="R608" s="200"/>
    </row>
    <row r="609" spans="1:18" s="185" customFormat="1" ht="48">
      <c r="A609" s="267">
        <v>4370</v>
      </c>
      <c r="B609" s="291" t="s">
        <v>577</v>
      </c>
      <c r="C609" s="128">
        <v>1900</v>
      </c>
      <c r="D609" s="104">
        <f t="shared" si="66"/>
        <v>1900</v>
      </c>
      <c r="E609" s="129">
        <f>SUM(H609+K609+N609+Q609)</f>
        <v>256</v>
      </c>
      <c r="F609" s="105">
        <f>E609/D609*100</f>
        <v>13.473684210526315</v>
      </c>
      <c r="G609" s="128"/>
      <c r="H609" s="129"/>
      <c r="I609" s="416"/>
      <c r="J609" s="193"/>
      <c r="K609" s="129"/>
      <c r="L609" s="110"/>
      <c r="M609" s="128">
        <v>1900</v>
      </c>
      <c r="N609" s="129">
        <v>256</v>
      </c>
      <c r="O609" s="256">
        <f t="shared" si="72"/>
        <v>13.473684210526315</v>
      </c>
      <c r="P609" s="128"/>
      <c r="Q609" s="129"/>
      <c r="R609" s="200"/>
    </row>
    <row r="610" spans="1:18" s="185" customFormat="1" ht="36">
      <c r="A610" s="191">
        <v>4390</v>
      </c>
      <c r="B610" s="305" t="s">
        <v>393</v>
      </c>
      <c r="C610" s="128">
        <v>2400</v>
      </c>
      <c r="D610" s="104">
        <f t="shared" si="66"/>
        <v>2400</v>
      </c>
      <c r="E610" s="129">
        <f>SUM(H610+K610+N610+Q610)</f>
        <v>1281</v>
      </c>
      <c r="F610" s="105">
        <f>E610/D610*100</f>
        <v>53.37499999999999</v>
      </c>
      <c r="G610" s="128"/>
      <c r="H610" s="129"/>
      <c r="I610" s="416"/>
      <c r="J610" s="193"/>
      <c r="K610" s="129"/>
      <c r="L610" s="110"/>
      <c r="M610" s="128">
        <v>2400</v>
      </c>
      <c r="N610" s="129">
        <v>1281</v>
      </c>
      <c r="O610" s="256">
        <f t="shared" si="72"/>
        <v>53.37499999999999</v>
      </c>
      <c r="P610" s="128"/>
      <c r="Q610" s="129"/>
      <c r="R610" s="200"/>
    </row>
    <row r="611" spans="1:18" s="185" customFormat="1" ht="18" customHeight="1">
      <c r="A611" s="191">
        <v>4410</v>
      </c>
      <c r="B611" s="198" t="s">
        <v>338</v>
      </c>
      <c r="C611" s="128">
        <v>1100</v>
      </c>
      <c r="D611" s="104">
        <f t="shared" si="66"/>
        <v>4100</v>
      </c>
      <c r="E611" s="129">
        <f t="shared" si="73"/>
        <v>404</v>
      </c>
      <c r="F611" s="105">
        <f t="shared" si="69"/>
        <v>9.853658536585366</v>
      </c>
      <c r="G611" s="128"/>
      <c r="H611" s="129"/>
      <c r="I611" s="416"/>
      <c r="J611" s="193"/>
      <c r="K611" s="129"/>
      <c r="L611" s="110"/>
      <c r="M611" s="128">
        <f>1100+3000</f>
        <v>4100</v>
      </c>
      <c r="N611" s="129">
        <v>404</v>
      </c>
      <c r="O611" s="256">
        <f t="shared" si="72"/>
        <v>9.853658536585366</v>
      </c>
      <c r="P611" s="128"/>
      <c r="Q611" s="129"/>
      <c r="R611" s="200"/>
    </row>
    <row r="612" spans="1:18" s="185" customFormat="1" ht="12.75">
      <c r="A612" s="191">
        <v>4440</v>
      </c>
      <c r="B612" s="198" t="s">
        <v>368</v>
      </c>
      <c r="C612" s="128">
        <v>71200</v>
      </c>
      <c r="D612" s="104">
        <f t="shared" si="66"/>
        <v>74800</v>
      </c>
      <c r="E612" s="129">
        <f t="shared" si="73"/>
        <v>30730</v>
      </c>
      <c r="F612" s="105">
        <f t="shared" si="69"/>
        <v>41.08288770053476</v>
      </c>
      <c r="G612" s="128"/>
      <c r="H612" s="129"/>
      <c r="I612" s="416"/>
      <c r="J612" s="193"/>
      <c r="K612" s="129"/>
      <c r="L612" s="110"/>
      <c r="M612" s="128">
        <f>71200+3600</f>
        <v>74800</v>
      </c>
      <c r="N612" s="129">
        <v>30730</v>
      </c>
      <c r="O612" s="256">
        <f t="shared" si="72"/>
        <v>41.08288770053476</v>
      </c>
      <c r="P612" s="128"/>
      <c r="Q612" s="129"/>
      <c r="R612" s="200"/>
    </row>
    <row r="613" spans="1:18" s="185" customFormat="1" ht="36">
      <c r="A613" s="267">
        <v>4700</v>
      </c>
      <c r="B613" s="291" t="s">
        <v>466</v>
      </c>
      <c r="C613" s="128">
        <v>1700</v>
      </c>
      <c r="D613" s="104">
        <f t="shared" si="66"/>
        <v>1700</v>
      </c>
      <c r="E613" s="129">
        <f>SUM(H613+K613+N613+Q613)</f>
        <v>377</v>
      </c>
      <c r="F613" s="105">
        <f>E613/D613*100</f>
        <v>22.176470588235293</v>
      </c>
      <c r="G613" s="128"/>
      <c r="H613" s="129"/>
      <c r="I613" s="416"/>
      <c r="J613" s="193"/>
      <c r="K613" s="129"/>
      <c r="L613" s="110"/>
      <c r="M613" s="128">
        <v>1700</v>
      </c>
      <c r="N613" s="129">
        <v>377</v>
      </c>
      <c r="O613" s="256">
        <f t="shared" si="72"/>
        <v>22.176470588235293</v>
      </c>
      <c r="P613" s="128"/>
      <c r="Q613" s="129"/>
      <c r="R613" s="200"/>
    </row>
    <row r="614" spans="1:18" s="185" customFormat="1" ht="60">
      <c r="A614" s="267">
        <v>4740</v>
      </c>
      <c r="B614" s="291" t="s">
        <v>380</v>
      </c>
      <c r="C614" s="128">
        <v>1100</v>
      </c>
      <c r="D614" s="104">
        <f t="shared" si="66"/>
        <v>1100</v>
      </c>
      <c r="E614" s="129">
        <f>SUM(H614+K614+N614+Q614)</f>
        <v>68</v>
      </c>
      <c r="F614" s="105">
        <f>E614/D614*100</f>
        <v>6.181818181818182</v>
      </c>
      <c r="G614" s="128"/>
      <c r="H614" s="129"/>
      <c r="I614" s="416"/>
      <c r="J614" s="193"/>
      <c r="K614" s="129"/>
      <c r="L614" s="110"/>
      <c r="M614" s="128">
        <v>1100</v>
      </c>
      <c r="N614" s="129">
        <v>68</v>
      </c>
      <c r="O614" s="256">
        <f t="shared" si="72"/>
        <v>6.181818181818182</v>
      </c>
      <c r="P614" s="128"/>
      <c r="Q614" s="129"/>
      <c r="R614" s="200"/>
    </row>
    <row r="615" spans="1:18" s="185" customFormat="1" ht="36">
      <c r="A615" s="267">
        <v>4750</v>
      </c>
      <c r="B615" s="291" t="s">
        <v>467</v>
      </c>
      <c r="C615" s="128">
        <v>5900</v>
      </c>
      <c r="D615" s="104">
        <f t="shared" si="66"/>
        <v>5900</v>
      </c>
      <c r="E615" s="129">
        <f>SUM(H615+K615+N615+Q615)</f>
        <v>429</v>
      </c>
      <c r="F615" s="105">
        <f>E615/D615*100</f>
        <v>7.271186440677966</v>
      </c>
      <c r="G615" s="128"/>
      <c r="H615" s="129"/>
      <c r="I615" s="416"/>
      <c r="J615" s="193"/>
      <c r="K615" s="129"/>
      <c r="L615" s="110"/>
      <c r="M615" s="128">
        <v>5900</v>
      </c>
      <c r="N615" s="129">
        <v>429</v>
      </c>
      <c r="O615" s="256">
        <f t="shared" si="72"/>
        <v>7.271186440677966</v>
      </c>
      <c r="P615" s="128"/>
      <c r="Q615" s="129"/>
      <c r="R615" s="200"/>
    </row>
    <row r="616" spans="1:18" s="185" customFormat="1" ht="24" hidden="1">
      <c r="A616" s="191">
        <v>6050</v>
      </c>
      <c r="B616" s="198" t="s">
        <v>396</v>
      </c>
      <c r="C616" s="128"/>
      <c r="D616" s="104">
        <f aca="true" t="shared" si="74" ref="D616:D679">G616+J616+P616+M616</f>
        <v>0</v>
      </c>
      <c r="E616" s="129">
        <f t="shared" si="73"/>
        <v>0</v>
      </c>
      <c r="F616" s="105" t="e">
        <f t="shared" si="69"/>
        <v>#DIV/0!</v>
      </c>
      <c r="G616" s="128"/>
      <c r="H616" s="129"/>
      <c r="I616" s="416"/>
      <c r="J616" s="193"/>
      <c r="K616" s="129"/>
      <c r="L616" s="110"/>
      <c r="M616" s="128"/>
      <c r="N616" s="129"/>
      <c r="O616" s="256" t="e">
        <f t="shared" si="72"/>
        <v>#DIV/0!</v>
      </c>
      <c r="P616" s="128"/>
      <c r="Q616" s="129"/>
      <c r="R616" s="200"/>
    </row>
    <row r="617" spans="1:18" s="185" customFormat="1" ht="36" hidden="1">
      <c r="A617" s="191">
        <v>6060</v>
      </c>
      <c r="B617" s="198" t="s">
        <v>515</v>
      </c>
      <c r="C617" s="128"/>
      <c r="D617" s="230">
        <f t="shared" si="74"/>
        <v>0</v>
      </c>
      <c r="E617" s="236">
        <f t="shared" si="73"/>
        <v>0</v>
      </c>
      <c r="F617" s="168" t="e">
        <f>E617/D617*100</f>
        <v>#DIV/0!</v>
      </c>
      <c r="G617" s="128"/>
      <c r="H617" s="129"/>
      <c r="I617" s="416"/>
      <c r="J617" s="193"/>
      <c r="K617" s="129"/>
      <c r="L617" s="110"/>
      <c r="M617" s="128"/>
      <c r="N617" s="129"/>
      <c r="O617" s="256" t="e">
        <f>N617/M617*100</f>
        <v>#DIV/0!</v>
      </c>
      <c r="P617" s="128"/>
      <c r="Q617" s="129"/>
      <c r="R617" s="200"/>
    </row>
    <row r="618" spans="1:18" s="185" customFormat="1" ht="36">
      <c r="A618" s="239">
        <v>80103</v>
      </c>
      <c r="B618" s="296" t="s">
        <v>684</v>
      </c>
      <c r="C618" s="136">
        <f>SUM(C619:C629)</f>
        <v>732600</v>
      </c>
      <c r="D618" s="137">
        <f t="shared" si="74"/>
        <v>741238</v>
      </c>
      <c r="E618" s="137">
        <f>SUM(H618+K618+N618+Q618)</f>
        <v>181611</v>
      </c>
      <c r="F618" s="168">
        <f>E618/D618*100</f>
        <v>24.50103745355743</v>
      </c>
      <c r="G618" s="136">
        <f>SUM(G619:G629)</f>
        <v>741238</v>
      </c>
      <c r="H618" s="137">
        <f>SUM(H619:H629)</f>
        <v>181611</v>
      </c>
      <c r="I618" s="417">
        <f>H618/G618*100</f>
        <v>24.50103745355743</v>
      </c>
      <c r="J618" s="140"/>
      <c r="K618" s="137"/>
      <c r="L618" s="125"/>
      <c r="M618" s="338"/>
      <c r="N618" s="137"/>
      <c r="O618" s="243"/>
      <c r="P618" s="136"/>
      <c r="Q618" s="137"/>
      <c r="R618" s="266"/>
    </row>
    <row r="619" spans="1:18" s="185" customFormat="1" ht="48">
      <c r="A619" s="290">
        <v>2540</v>
      </c>
      <c r="B619" s="198" t="s">
        <v>676</v>
      </c>
      <c r="C619" s="160">
        <v>47200</v>
      </c>
      <c r="D619" s="104">
        <f t="shared" si="74"/>
        <v>56248</v>
      </c>
      <c r="E619" s="129">
        <f aca="true" t="shared" si="75" ref="E619:E629">SUM(H619+K619+N619+Q619)</f>
        <v>12748</v>
      </c>
      <c r="F619" s="105">
        <f t="shared" si="69"/>
        <v>22.66391693926895</v>
      </c>
      <c r="G619" s="160">
        <f>47200+9048</f>
        <v>56248</v>
      </c>
      <c r="H619" s="129">
        <v>12748</v>
      </c>
      <c r="I619" s="416">
        <f>H619/G619*100</f>
        <v>22.66391693926895</v>
      </c>
      <c r="J619" s="109"/>
      <c r="K619" s="104"/>
      <c r="L619" s="110"/>
      <c r="M619" s="348"/>
      <c r="N619" s="104"/>
      <c r="O619" s="108"/>
      <c r="P619" s="160"/>
      <c r="Q619" s="104"/>
      <c r="R619" s="200"/>
    </row>
    <row r="620" spans="1:18" s="185" customFormat="1" ht="36">
      <c r="A620" s="418">
        <v>3020</v>
      </c>
      <c r="B620" s="198" t="s">
        <v>677</v>
      </c>
      <c r="C620" s="160">
        <v>700</v>
      </c>
      <c r="D620" s="104">
        <f t="shared" si="74"/>
        <v>700</v>
      </c>
      <c r="E620" s="129">
        <f t="shared" si="75"/>
        <v>0</v>
      </c>
      <c r="F620" s="105">
        <f>E620/D620*100</f>
        <v>0</v>
      </c>
      <c r="G620" s="160">
        <v>700</v>
      </c>
      <c r="H620" s="104"/>
      <c r="I620" s="416">
        <f>H620/G620*100</f>
        <v>0</v>
      </c>
      <c r="J620" s="109"/>
      <c r="K620" s="104"/>
      <c r="L620" s="110"/>
      <c r="M620" s="348"/>
      <c r="N620" s="104"/>
      <c r="O620" s="108"/>
      <c r="P620" s="160"/>
      <c r="Q620" s="104"/>
      <c r="R620" s="200"/>
    </row>
    <row r="621" spans="1:18" s="185" customFormat="1" ht="24">
      <c r="A621" s="418">
        <v>4010</v>
      </c>
      <c r="B621" s="198" t="s">
        <v>346</v>
      </c>
      <c r="C621" s="160">
        <v>500100</v>
      </c>
      <c r="D621" s="104">
        <f t="shared" si="74"/>
        <v>500100</v>
      </c>
      <c r="E621" s="129">
        <f t="shared" si="75"/>
        <v>111939</v>
      </c>
      <c r="F621" s="105">
        <f t="shared" si="69"/>
        <v>22.383323335332932</v>
      </c>
      <c r="G621" s="160">
        <v>500100</v>
      </c>
      <c r="H621" s="129">
        <v>111939</v>
      </c>
      <c r="I621" s="416">
        <f aca="true" t="shared" si="76" ref="I621:I678">H621/G621*100</f>
        <v>22.383323335332932</v>
      </c>
      <c r="J621" s="109"/>
      <c r="K621" s="104"/>
      <c r="L621" s="110"/>
      <c r="M621" s="348"/>
      <c r="N621" s="104"/>
      <c r="O621" s="108"/>
      <c r="P621" s="160"/>
      <c r="Q621" s="104"/>
      <c r="R621" s="200"/>
    </row>
    <row r="622" spans="1:18" s="185" customFormat="1" ht="24">
      <c r="A622" s="418">
        <v>4040</v>
      </c>
      <c r="B622" s="198" t="s">
        <v>454</v>
      </c>
      <c r="C622" s="160">
        <v>28900</v>
      </c>
      <c r="D622" s="104">
        <f t="shared" si="74"/>
        <v>27140</v>
      </c>
      <c r="E622" s="129">
        <f t="shared" si="75"/>
        <v>21555</v>
      </c>
      <c r="F622" s="105">
        <f t="shared" si="69"/>
        <v>79.42151805453206</v>
      </c>
      <c r="G622" s="160">
        <f>28900-1760</f>
        <v>27140</v>
      </c>
      <c r="H622" s="129">
        <v>21555</v>
      </c>
      <c r="I622" s="416">
        <f t="shared" si="76"/>
        <v>79.42151805453206</v>
      </c>
      <c r="J622" s="109"/>
      <c r="K622" s="104"/>
      <c r="L622" s="110"/>
      <c r="M622" s="348"/>
      <c r="N622" s="104"/>
      <c r="O622" s="108"/>
      <c r="P622" s="160"/>
      <c r="Q622" s="104"/>
      <c r="R622" s="200"/>
    </row>
    <row r="623" spans="1:18" s="185" customFormat="1" ht="24">
      <c r="A623" s="418">
        <v>4110</v>
      </c>
      <c r="B623" s="198" t="s">
        <v>352</v>
      </c>
      <c r="C623" s="160">
        <v>89400</v>
      </c>
      <c r="D623" s="104">
        <f t="shared" si="74"/>
        <v>89400</v>
      </c>
      <c r="E623" s="129">
        <f t="shared" si="75"/>
        <v>18205</v>
      </c>
      <c r="F623" s="105">
        <f t="shared" si="69"/>
        <v>20.363534675615213</v>
      </c>
      <c r="G623" s="160">
        <v>89400</v>
      </c>
      <c r="H623" s="129">
        <v>18205</v>
      </c>
      <c r="I623" s="416">
        <f t="shared" si="76"/>
        <v>20.363534675615213</v>
      </c>
      <c r="J623" s="109"/>
      <c r="K623" s="104"/>
      <c r="L623" s="110"/>
      <c r="M623" s="348"/>
      <c r="N623" s="104"/>
      <c r="O623" s="108"/>
      <c r="P623" s="160"/>
      <c r="Q623" s="104"/>
      <c r="R623" s="200"/>
    </row>
    <row r="624" spans="1:18" s="185" customFormat="1" ht="12.75" customHeight="1">
      <c r="A624" s="418">
        <v>4120</v>
      </c>
      <c r="B624" s="198" t="s">
        <v>504</v>
      </c>
      <c r="C624" s="160">
        <v>12800</v>
      </c>
      <c r="D624" s="104">
        <f t="shared" si="74"/>
        <v>12800</v>
      </c>
      <c r="E624" s="129">
        <f t="shared" si="75"/>
        <v>2630</v>
      </c>
      <c r="F624" s="105">
        <f t="shared" si="69"/>
        <v>20.546875</v>
      </c>
      <c r="G624" s="160">
        <v>12800</v>
      </c>
      <c r="H624" s="129">
        <v>2630</v>
      </c>
      <c r="I624" s="416">
        <f t="shared" si="76"/>
        <v>20.546875</v>
      </c>
      <c r="J624" s="109"/>
      <c r="K624" s="104"/>
      <c r="L624" s="110"/>
      <c r="M624" s="348"/>
      <c r="N624" s="104"/>
      <c r="O624" s="108"/>
      <c r="P624" s="160"/>
      <c r="Q624" s="104"/>
      <c r="R624" s="200"/>
    </row>
    <row r="625" spans="1:18" s="185" customFormat="1" ht="12.75" customHeight="1">
      <c r="A625" s="418">
        <v>4140</v>
      </c>
      <c r="B625" s="198" t="s">
        <v>457</v>
      </c>
      <c r="C625" s="160">
        <v>1100</v>
      </c>
      <c r="D625" s="104">
        <f t="shared" si="74"/>
        <v>1100</v>
      </c>
      <c r="E625" s="129">
        <f t="shared" si="75"/>
        <v>276</v>
      </c>
      <c r="F625" s="105">
        <f t="shared" si="69"/>
        <v>25.09090909090909</v>
      </c>
      <c r="G625" s="160">
        <v>1100</v>
      </c>
      <c r="H625" s="129">
        <v>276</v>
      </c>
      <c r="I625" s="416">
        <f t="shared" si="76"/>
        <v>25.09090909090909</v>
      </c>
      <c r="J625" s="109"/>
      <c r="K625" s="104"/>
      <c r="L625" s="110"/>
      <c r="M625" s="348"/>
      <c r="N625" s="104"/>
      <c r="O625" s="108"/>
      <c r="P625" s="160"/>
      <c r="Q625" s="104"/>
      <c r="R625" s="200"/>
    </row>
    <row r="626" spans="1:18" s="185" customFormat="1" ht="24">
      <c r="A626" s="191">
        <v>4210</v>
      </c>
      <c r="B626" s="198" t="s">
        <v>356</v>
      </c>
      <c r="C626" s="160">
        <v>12000</v>
      </c>
      <c r="D626" s="104">
        <f t="shared" si="74"/>
        <v>12000</v>
      </c>
      <c r="E626" s="129">
        <f>SUM(H626+K626+N626+Q626)</f>
        <v>1788</v>
      </c>
      <c r="F626" s="105">
        <f>E626/D626*100</f>
        <v>14.899999999999999</v>
      </c>
      <c r="G626" s="160">
        <v>12000</v>
      </c>
      <c r="H626" s="129">
        <v>1788</v>
      </c>
      <c r="I626" s="416">
        <f t="shared" si="76"/>
        <v>14.899999999999999</v>
      </c>
      <c r="J626" s="109"/>
      <c r="K626" s="104"/>
      <c r="L626" s="110"/>
      <c r="M626" s="348"/>
      <c r="N626" s="104"/>
      <c r="O626" s="108"/>
      <c r="P626" s="160"/>
      <c r="Q626" s="104"/>
      <c r="R626" s="200"/>
    </row>
    <row r="627" spans="1:18" s="185" customFormat="1" ht="36">
      <c r="A627" s="191">
        <v>4240</v>
      </c>
      <c r="B627" s="198" t="s">
        <v>489</v>
      </c>
      <c r="C627" s="160">
        <v>8000</v>
      </c>
      <c r="D627" s="104">
        <f t="shared" si="74"/>
        <v>8000</v>
      </c>
      <c r="E627" s="129">
        <f>SUM(H627+K627+N627+Q627)</f>
        <v>847</v>
      </c>
      <c r="F627" s="105">
        <f>E627/D627*100</f>
        <v>10.5875</v>
      </c>
      <c r="G627" s="160">
        <v>8000</v>
      </c>
      <c r="H627" s="129">
        <v>847</v>
      </c>
      <c r="I627" s="416">
        <f t="shared" si="76"/>
        <v>10.5875</v>
      </c>
      <c r="J627" s="109"/>
      <c r="K627" s="104"/>
      <c r="L627" s="110"/>
      <c r="M627" s="348"/>
      <c r="N627" s="104"/>
      <c r="O627" s="108"/>
      <c r="P627" s="160"/>
      <c r="Q627" s="104"/>
      <c r="R627" s="200"/>
    </row>
    <row r="628" spans="1:18" s="185" customFormat="1" ht="24" hidden="1">
      <c r="A628" s="191">
        <v>4270</v>
      </c>
      <c r="B628" s="198" t="s">
        <v>362</v>
      </c>
      <c r="C628" s="160"/>
      <c r="D628" s="104">
        <f>G628+J628+P628+M628</f>
        <v>0</v>
      </c>
      <c r="E628" s="129">
        <f>SUM(H628+K628+N628+Q628)</f>
        <v>0</v>
      </c>
      <c r="F628" s="105" t="e">
        <f>E628/D628*100</f>
        <v>#DIV/0!</v>
      </c>
      <c r="G628" s="160"/>
      <c r="H628" s="129"/>
      <c r="I628" s="416" t="e">
        <f>H628/G628*100</f>
        <v>#DIV/0!</v>
      </c>
      <c r="J628" s="109"/>
      <c r="K628" s="104"/>
      <c r="L628" s="110"/>
      <c r="M628" s="348"/>
      <c r="N628" s="104"/>
      <c r="O628" s="108"/>
      <c r="P628" s="160"/>
      <c r="Q628" s="104"/>
      <c r="R628" s="200"/>
    </row>
    <row r="629" spans="1:18" s="185" customFormat="1" ht="12.75" customHeight="1">
      <c r="A629" s="419">
        <v>4440</v>
      </c>
      <c r="B629" s="228" t="s">
        <v>368</v>
      </c>
      <c r="C629" s="270">
        <v>32400</v>
      </c>
      <c r="D629" s="104">
        <f t="shared" si="74"/>
        <v>33750</v>
      </c>
      <c r="E629" s="129">
        <f t="shared" si="75"/>
        <v>11623</v>
      </c>
      <c r="F629" s="105">
        <f t="shared" si="69"/>
        <v>34.43851851851852</v>
      </c>
      <c r="G629" s="270">
        <f>32400+1350</f>
        <v>33750</v>
      </c>
      <c r="H629" s="236">
        <v>11623</v>
      </c>
      <c r="I629" s="416">
        <f t="shared" si="76"/>
        <v>34.43851851851852</v>
      </c>
      <c r="J629" s="231"/>
      <c r="K629" s="230"/>
      <c r="L629" s="319"/>
      <c r="M629" s="420"/>
      <c r="N629" s="230"/>
      <c r="O629" s="170"/>
      <c r="P629" s="270"/>
      <c r="Q629" s="230"/>
      <c r="R629" s="238"/>
    </row>
    <row r="630" spans="1:18" ht="12.75">
      <c r="A630" s="421">
        <v>80104</v>
      </c>
      <c r="B630" s="294" t="s">
        <v>685</v>
      </c>
      <c r="C630" s="188">
        <f>SUM(C631:C633)</f>
        <v>11655500</v>
      </c>
      <c r="D630" s="137">
        <f t="shared" si="74"/>
        <v>12463500</v>
      </c>
      <c r="E630" s="119">
        <f>H630+K630+Q630+N630</f>
        <v>4202641</v>
      </c>
      <c r="F630" s="120">
        <f t="shared" si="69"/>
        <v>33.719589200465364</v>
      </c>
      <c r="G630" s="188">
        <f>SUM(G631:G633)</f>
        <v>12463500</v>
      </c>
      <c r="H630" s="119">
        <f>SUM(H631:H633)</f>
        <v>4202641</v>
      </c>
      <c r="I630" s="214">
        <f t="shared" si="76"/>
        <v>33.719589200465364</v>
      </c>
      <c r="J630" s="124"/>
      <c r="K630" s="119"/>
      <c r="L630" s="125"/>
      <c r="M630" s="119"/>
      <c r="N630" s="119"/>
      <c r="O630" s="190"/>
      <c r="P630" s="188"/>
      <c r="Q630" s="119"/>
      <c r="R630" s="283"/>
    </row>
    <row r="631" spans="1:18" s="185" customFormat="1" ht="36">
      <c r="A631" s="418">
        <v>2510</v>
      </c>
      <c r="B631" s="198" t="s">
        <v>686</v>
      </c>
      <c r="C631" s="128">
        <v>11429000</v>
      </c>
      <c r="D631" s="104">
        <f t="shared" si="74"/>
        <v>11487000</v>
      </c>
      <c r="E631" s="129">
        <f>SUM(H631+K631+N631+Q631)</f>
        <v>4131200</v>
      </c>
      <c r="F631" s="105">
        <f t="shared" si="69"/>
        <v>35.9641333681553</v>
      </c>
      <c r="G631" s="128">
        <f>11429000+58000</f>
        <v>11487000</v>
      </c>
      <c r="H631" s="129">
        <v>4131200</v>
      </c>
      <c r="I631" s="256">
        <f t="shared" si="76"/>
        <v>35.9641333681553</v>
      </c>
      <c r="J631" s="193"/>
      <c r="K631" s="129"/>
      <c r="L631" s="110"/>
      <c r="M631" s="129"/>
      <c r="N631" s="129"/>
      <c r="O631" s="194"/>
      <c r="P631" s="128"/>
      <c r="Q631" s="129"/>
      <c r="R631" s="200"/>
    </row>
    <row r="632" spans="1:18" s="185" customFormat="1" ht="48">
      <c r="A632" s="191">
        <v>2540</v>
      </c>
      <c r="B632" s="198" t="s">
        <v>676</v>
      </c>
      <c r="C632" s="128">
        <v>226500</v>
      </c>
      <c r="D632" s="104">
        <f>G632+J632+P632+M632</f>
        <v>226500</v>
      </c>
      <c r="E632" s="129">
        <f>SUM(H632+K632+N632+Q632)</f>
        <v>71441</v>
      </c>
      <c r="F632" s="105">
        <f>E632/D632*100</f>
        <v>31.541280353200886</v>
      </c>
      <c r="G632" s="193">
        <v>226500</v>
      </c>
      <c r="H632" s="193">
        <v>71441</v>
      </c>
      <c r="I632" s="256">
        <f t="shared" si="76"/>
        <v>31.541280353200886</v>
      </c>
      <c r="J632" s="193"/>
      <c r="K632" s="129"/>
      <c r="L632" s="110"/>
      <c r="M632" s="129"/>
      <c r="N632" s="129"/>
      <c r="O632" s="194"/>
      <c r="P632" s="193"/>
      <c r="Q632" s="129"/>
      <c r="R632" s="200"/>
    </row>
    <row r="633" spans="1:18" s="185" customFormat="1" ht="84">
      <c r="A633" s="418">
        <v>6210</v>
      </c>
      <c r="B633" s="198" t="s">
        <v>485</v>
      </c>
      <c r="C633" s="128"/>
      <c r="D633" s="104">
        <f>G633+J633+P633+M633</f>
        <v>750000</v>
      </c>
      <c r="E633" s="129">
        <f>SUM(H633+K633+N633+Q633)</f>
        <v>0</v>
      </c>
      <c r="F633" s="105">
        <f>E633/D633*100</f>
        <v>0</v>
      </c>
      <c r="G633" s="193">
        <v>750000</v>
      </c>
      <c r="H633" s="193"/>
      <c r="I633" s="256">
        <f t="shared" si="76"/>
        <v>0</v>
      </c>
      <c r="J633" s="193"/>
      <c r="K633" s="129"/>
      <c r="L633" s="110"/>
      <c r="M633" s="129"/>
      <c r="N633" s="129"/>
      <c r="O633" s="194"/>
      <c r="P633" s="193"/>
      <c r="Q633" s="129"/>
      <c r="R633" s="200"/>
    </row>
    <row r="634" spans="1:18" s="185" customFormat="1" ht="15" customHeight="1">
      <c r="A634" s="186">
        <v>80105</v>
      </c>
      <c r="B634" s="422" t="s">
        <v>687</v>
      </c>
      <c r="C634" s="188">
        <f>SUM(C635:C650)</f>
        <v>557100</v>
      </c>
      <c r="D634" s="137">
        <f t="shared" si="74"/>
        <v>557100</v>
      </c>
      <c r="E634" s="119">
        <f>H634+K634+Q634+N634</f>
        <v>142178</v>
      </c>
      <c r="F634" s="120">
        <f t="shared" si="69"/>
        <v>25.521091366002512</v>
      </c>
      <c r="G634" s="119"/>
      <c r="H634" s="124"/>
      <c r="I634" s="417"/>
      <c r="J634" s="124"/>
      <c r="K634" s="119"/>
      <c r="L634" s="125"/>
      <c r="M634" s="119">
        <f>SUM(M635:M650)</f>
        <v>557100</v>
      </c>
      <c r="N634" s="119">
        <f>SUM(N635:N650)</f>
        <v>142178</v>
      </c>
      <c r="O634" s="127">
        <f aca="true" t="shared" si="77" ref="O634:O650">N634/M634*100</f>
        <v>25.521091366002512</v>
      </c>
      <c r="P634" s="119"/>
      <c r="Q634" s="119"/>
      <c r="R634" s="283"/>
    </row>
    <row r="635" spans="1:18" s="185" customFormat="1" ht="36">
      <c r="A635" s="191">
        <v>3020</v>
      </c>
      <c r="B635" s="198" t="s">
        <v>677</v>
      </c>
      <c r="C635" s="128">
        <v>1600</v>
      </c>
      <c r="D635" s="104">
        <f t="shared" si="74"/>
        <v>1600</v>
      </c>
      <c r="E635" s="129">
        <f aca="true" t="shared" si="78" ref="E635:E645">SUM(H635+K635+N635+Q635)</f>
        <v>0</v>
      </c>
      <c r="F635" s="105">
        <f t="shared" si="69"/>
        <v>0</v>
      </c>
      <c r="G635" s="129"/>
      <c r="H635" s="193"/>
      <c r="I635" s="416"/>
      <c r="J635" s="193"/>
      <c r="K635" s="129"/>
      <c r="L635" s="110"/>
      <c r="M635" s="128">
        <v>1600</v>
      </c>
      <c r="N635" s="150"/>
      <c r="O635" s="256">
        <f t="shared" si="77"/>
        <v>0</v>
      </c>
      <c r="P635" s="129"/>
      <c r="Q635" s="129"/>
      <c r="R635" s="200"/>
    </row>
    <row r="636" spans="1:18" s="185" customFormat="1" ht="24">
      <c r="A636" s="191">
        <v>4010</v>
      </c>
      <c r="B636" s="423" t="s">
        <v>346</v>
      </c>
      <c r="C636" s="128">
        <v>390000</v>
      </c>
      <c r="D636" s="104">
        <f t="shared" si="74"/>
        <v>390000</v>
      </c>
      <c r="E636" s="129">
        <f t="shared" si="78"/>
        <v>86570</v>
      </c>
      <c r="F636" s="105">
        <f t="shared" si="69"/>
        <v>22.197435897435895</v>
      </c>
      <c r="G636" s="129"/>
      <c r="H636" s="193"/>
      <c r="I636" s="416"/>
      <c r="J636" s="193"/>
      <c r="K636" s="129"/>
      <c r="L636" s="110"/>
      <c r="M636" s="128">
        <v>390000</v>
      </c>
      <c r="N636" s="129">
        <v>86570</v>
      </c>
      <c r="O636" s="256">
        <f t="shared" si="77"/>
        <v>22.197435897435895</v>
      </c>
      <c r="P636" s="129"/>
      <c r="Q636" s="129"/>
      <c r="R636" s="200"/>
    </row>
    <row r="637" spans="1:18" s="185" customFormat="1" ht="24">
      <c r="A637" s="191">
        <v>4040</v>
      </c>
      <c r="B637" s="423" t="s">
        <v>350</v>
      </c>
      <c r="C637" s="128">
        <v>31000</v>
      </c>
      <c r="D637" s="104">
        <f t="shared" si="74"/>
        <v>31000</v>
      </c>
      <c r="E637" s="129">
        <f t="shared" si="78"/>
        <v>21332</v>
      </c>
      <c r="F637" s="105">
        <f t="shared" si="69"/>
        <v>68.81290322580645</v>
      </c>
      <c r="G637" s="129"/>
      <c r="H637" s="193"/>
      <c r="I637" s="416"/>
      <c r="J637" s="193"/>
      <c r="K637" s="129"/>
      <c r="L637" s="110"/>
      <c r="M637" s="128">
        <v>31000</v>
      </c>
      <c r="N637" s="129">
        <v>21332</v>
      </c>
      <c r="O637" s="256">
        <f t="shared" si="77"/>
        <v>68.81290322580645</v>
      </c>
      <c r="P637" s="129"/>
      <c r="Q637" s="129"/>
      <c r="R637" s="200"/>
    </row>
    <row r="638" spans="1:18" s="185" customFormat="1" ht="24">
      <c r="A638" s="191">
        <v>4110</v>
      </c>
      <c r="B638" s="423" t="s">
        <v>352</v>
      </c>
      <c r="C638" s="128">
        <v>74000</v>
      </c>
      <c r="D638" s="104">
        <f t="shared" si="74"/>
        <v>74000</v>
      </c>
      <c r="E638" s="129">
        <f t="shared" si="78"/>
        <v>13734</v>
      </c>
      <c r="F638" s="105">
        <f t="shared" si="69"/>
        <v>18.55945945945946</v>
      </c>
      <c r="G638" s="129"/>
      <c r="H638" s="193"/>
      <c r="I638" s="416"/>
      <c r="J638" s="193"/>
      <c r="K638" s="129"/>
      <c r="L638" s="110"/>
      <c r="M638" s="128">
        <v>74000</v>
      </c>
      <c r="N638" s="129">
        <v>13734</v>
      </c>
      <c r="O638" s="256">
        <f t="shared" si="77"/>
        <v>18.55945945945946</v>
      </c>
      <c r="P638" s="129"/>
      <c r="Q638" s="129"/>
      <c r="R638" s="200"/>
    </row>
    <row r="639" spans="1:18" s="185" customFormat="1" ht="12.75">
      <c r="A639" s="191">
        <v>4120</v>
      </c>
      <c r="B639" s="423" t="s">
        <v>504</v>
      </c>
      <c r="C639" s="128">
        <v>10000</v>
      </c>
      <c r="D639" s="104">
        <f t="shared" si="74"/>
        <v>10000</v>
      </c>
      <c r="E639" s="129">
        <f t="shared" si="78"/>
        <v>1590</v>
      </c>
      <c r="F639" s="105">
        <f t="shared" si="69"/>
        <v>15.9</v>
      </c>
      <c r="G639" s="129"/>
      <c r="H639" s="193"/>
      <c r="I639" s="416"/>
      <c r="J639" s="193"/>
      <c r="K639" s="129"/>
      <c r="L639" s="110"/>
      <c r="M639" s="128">
        <v>10000</v>
      </c>
      <c r="N639" s="129">
        <v>1590</v>
      </c>
      <c r="O639" s="256">
        <f t="shared" si="77"/>
        <v>15.9</v>
      </c>
      <c r="P639" s="129"/>
      <c r="Q639" s="129"/>
      <c r="R639" s="200"/>
    </row>
    <row r="640" spans="1:18" s="185" customFormat="1" ht="24">
      <c r="A640" s="191">
        <v>4210</v>
      </c>
      <c r="B640" s="423" t="s">
        <v>356</v>
      </c>
      <c r="C640" s="128">
        <v>7000</v>
      </c>
      <c r="D640" s="104">
        <f t="shared" si="74"/>
        <v>7000</v>
      </c>
      <c r="E640" s="129">
        <f t="shared" si="78"/>
        <v>460</v>
      </c>
      <c r="F640" s="105">
        <f t="shared" si="69"/>
        <v>6.571428571428571</v>
      </c>
      <c r="G640" s="129"/>
      <c r="H640" s="193"/>
      <c r="I640" s="416"/>
      <c r="J640" s="193"/>
      <c r="K640" s="129"/>
      <c r="L640" s="110"/>
      <c r="M640" s="128">
        <v>7000</v>
      </c>
      <c r="N640" s="129">
        <v>460</v>
      </c>
      <c r="O640" s="256">
        <f t="shared" si="77"/>
        <v>6.571428571428571</v>
      </c>
      <c r="P640" s="129"/>
      <c r="Q640" s="129"/>
      <c r="R640" s="200"/>
    </row>
    <row r="641" spans="1:18" s="185" customFormat="1" ht="36">
      <c r="A641" s="191">
        <v>4240</v>
      </c>
      <c r="B641" s="423" t="s">
        <v>489</v>
      </c>
      <c r="C641" s="128">
        <v>1000</v>
      </c>
      <c r="D641" s="104">
        <f t="shared" si="74"/>
        <v>1000</v>
      </c>
      <c r="E641" s="129">
        <f t="shared" si="78"/>
        <v>0</v>
      </c>
      <c r="F641" s="105">
        <f t="shared" si="69"/>
        <v>0</v>
      </c>
      <c r="G641" s="129"/>
      <c r="H641" s="193"/>
      <c r="I641" s="416"/>
      <c r="J641" s="193"/>
      <c r="K641" s="129"/>
      <c r="L641" s="110"/>
      <c r="M641" s="128">
        <v>1000</v>
      </c>
      <c r="N641" s="129"/>
      <c r="O641" s="256">
        <f t="shared" si="77"/>
        <v>0</v>
      </c>
      <c r="P641" s="129"/>
      <c r="Q641" s="129"/>
      <c r="R641" s="200"/>
    </row>
    <row r="642" spans="1:18" s="185" customFormat="1" ht="12.75">
      <c r="A642" s="191">
        <v>4260</v>
      </c>
      <c r="B642" s="423" t="s">
        <v>360</v>
      </c>
      <c r="C642" s="128">
        <v>18000</v>
      </c>
      <c r="D642" s="104">
        <f t="shared" si="74"/>
        <v>18000</v>
      </c>
      <c r="E642" s="129">
        <f t="shared" si="78"/>
        <v>2376</v>
      </c>
      <c r="F642" s="105">
        <f t="shared" si="69"/>
        <v>13.200000000000001</v>
      </c>
      <c r="G642" s="129"/>
      <c r="H642" s="193"/>
      <c r="I642" s="416"/>
      <c r="J642" s="193"/>
      <c r="K642" s="129"/>
      <c r="L642" s="110"/>
      <c r="M642" s="128">
        <v>18000</v>
      </c>
      <c r="N642" s="129">
        <v>2376</v>
      </c>
      <c r="O642" s="256">
        <f t="shared" si="77"/>
        <v>13.200000000000001</v>
      </c>
      <c r="P642" s="129"/>
      <c r="Q642" s="129"/>
      <c r="R642" s="200"/>
    </row>
    <row r="643" spans="1:18" s="185" customFormat="1" ht="15" customHeight="1">
      <c r="A643" s="191">
        <v>4270</v>
      </c>
      <c r="B643" s="423" t="s">
        <v>362</v>
      </c>
      <c r="C643" s="128">
        <v>2000</v>
      </c>
      <c r="D643" s="104">
        <f t="shared" si="74"/>
        <v>2000</v>
      </c>
      <c r="E643" s="129">
        <f t="shared" si="78"/>
        <v>2000</v>
      </c>
      <c r="F643" s="105">
        <f t="shared" si="69"/>
        <v>100</v>
      </c>
      <c r="G643" s="129"/>
      <c r="H643" s="193"/>
      <c r="I643" s="416"/>
      <c r="J643" s="193"/>
      <c r="K643" s="129"/>
      <c r="L643" s="110"/>
      <c r="M643" s="128">
        <v>2000</v>
      </c>
      <c r="N643" s="129">
        <v>2000</v>
      </c>
      <c r="O643" s="256">
        <f t="shared" si="77"/>
        <v>100</v>
      </c>
      <c r="P643" s="129"/>
      <c r="Q643" s="129"/>
      <c r="R643" s="200"/>
    </row>
    <row r="644" spans="1:18" s="185" customFormat="1" ht="15" customHeight="1">
      <c r="A644" s="191">
        <v>4280</v>
      </c>
      <c r="B644" s="198" t="s">
        <v>458</v>
      </c>
      <c r="C644" s="128">
        <v>500</v>
      </c>
      <c r="D644" s="104">
        <f t="shared" si="74"/>
        <v>500</v>
      </c>
      <c r="E644" s="129">
        <f t="shared" si="78"/>
        <v>0</v>
      </c>
      <c r="F644" s="105">
        <f aca="true" t="shared" si="79" ref="F644:F707">E644/D644*100</f>
        <v>0</v>
      </c>
      <c r="G644" s="129"/>
      <c r="H644" s="193"/>
      <c r="I644" s="416"/>
      <c r="J644" s="193"/>
      <c r="K644" s="129"/>
      <c r="L644" s="110"/>
      <c r="M644" s="128">
        <v>500</v>
      </c>
      <c r="N644" s="129"/>
      <c r="O644" s="256">
        <f t="shared" si="77"/>
        <v>0</v>
      </c>
      <c r="P644" s="129"/>
      <c r="Q644" s="129"/>
      <c r="R644" s="200"/>
    </row>
    <row r="645" spans="1:18" s="185" customFormat="1" ht="15" customHeight="1">
      <c r="A645" s="191">
        <v>4300</v>
      </c>
      <c r="B645" s="423" t="s">
        <v>364</v>
      </c>
      <c r="C645" s="128">
        <v>2500</v>
      </c>
      <c r="D645" s="104">
        <f t="shared" si="74"/>
        <v>2500</v>
      </c>
      <c r="E645" s="129">
        <f t="shared" si="78"/>
        <v>616</v>
      </c>
      <c r="F645" s="105">
        <f t="shared" si="79"/>
        <v>24.64</v>
      </c>
      <c r="G645" s="129"/>
      <c r="H645" s="193"/>
      <c r="I645" s="416"/>
      <c r="J645" s="193"/>
      <c r="K645" s="129"/>
      <c r="L645" s="110"/>
      <c r="M645" s="128">
        <v>2500</v>
      </c>
      <c r="N645" s="129">
        <v>616</v>
      </c>
      <c r="O645" s="256">
        <f t="shared" si="77"/>
        <v>24.64</v>
      </c>
      <c r="P645" s="129"/>
      <c r="Q645" s="129"/>
      <c r="R645" s="200"/>
    </row>
    <row r="646" spans="1:18" s="185" customFormat="1" ht="48">
      <c r="A646" s="267">
        <v>4370</v>
      </c>
      <c r="B646" s="291" t="s">
        <v>577</v>
      </c>
      <c r="C646" s="128">
        <v>1000</v>
      </c>
      <c r="D646" s="104">
        <f t="shared" si="74"/>
        <v>1000</v>
      </c>
      <c r="E646" s="129">
        <f>SUM(H646+K646+N646+Q646)</f>
        <v>0</v>
      </c>
      <c r="F646" s="105">
        <f t="shared" si="79"/>
        <v>0</v>
      </c>
      <c r="G646" s="129"/>
      <c r="H646" s="193"/>
      <c r="I646" s="416"/>
      <c r="J646" s="193"/>
      <c r="K646" s="129"/>
      <c r="L646" s="110"/>
      <c r="M646" s="128">
        <v>1000</v>
      </c>
      <c r="N646" s="129"/>
      <c r="O646" s="256">
        <f t="shared" si="77"/>
        <v>0</v>
      </c>
      <c r="P646" s="129"/>
      <c r="Q646" s="129"/>
      <c r="R646" s="200"/>
    </row>
    <row r="647" spans="1:18" s="185" customFormat="1" ht="15" customHeight="1">
      <c r="A647" s="191">
        <v>4440</v>
      </c>
      <c r="B647" s="259" t="s">
        <v>368</v>
      </c>
      <c r="C647" s="128">
        <v>16700</v>
      </c>
      <c r="D647" s="104">
        <f t="shared" si="74"/>
        <v>16700</v>
      </c>
      <c r="E647" s="129">
        <f>SUM(H647+K647+N647+Q647)</f>
        <v>12700</v>
      </c>
      <c r="F647" s="105">
        <f t="shared" si="79"/>
        <v>76.04790419161677</v>
      </c>
      <c r="G647" s="129"/>
      <c r="H647" s="193"/>
      <c r="I647" s="416"/>
      <c r="J647" s="193"/>
      <c r="K647" s="129"/>
      <c r="L647" s="110"/>
      <c r="M647" s="128">
        <v>16700</v>
      </c>
      <c r="N647" s="129">
        <v>12700</v>
      </c>
      <c r="O647" s="256">
        <f t="shared" si="77"/>
        <v>76.04790419161677</v>
      </c>
      <c r="P647" s="129"/>
      <c r="Q647" s="129"/>
      <c r="R647" s="200"/>
    </row>
    <row r="648" spans="1:18" s="185" customFormat="1" ht="36">
      <c r="A648" s="267">
        <v>4700</v>
      </c>
      <c r="B648" s="291" t="s">
        <v>466</v>
      </c>
      <c r="C648" s="128">
        <v>800</v>
      </c>
      <c r="D648" s="104">
        <f t="shared" si="74"/>
        <v>800</v>
      </c>
      <c r="E648" s="129">
        <f>SUM(H648+K648+N648+Q648)</f>
        <v>800</v>
      </c>
      <c r="F648" s="105">
        <f t="shared" si="79"/>
        <v>100</v>
      </c>
      <c r="G648" s="129"/>
      <c r="H648" s="193"/>
      <c r="I648" s="416"/>
      <c r="J648" s="193"/>
      <c r="K648" s="129"/>
      <c r="L648" s="110"/>
      <c r="M648" s="128">
        <v>800</v>
      </c>
      <c r="N648" s="129">
        <v>800</v>
      </c>
      <c r="O648" s="256">
        <f t="shared" si="77"/>
        <v>100</v>
      </c>
      <c r="P648" s="129"/>
      <c r="Q648" s="129"/>
      <c r="R648" s="200"/>
    </row>
    <row r="649" spans="1:18" s="185" customFormat="1" ht="60">
      <c r="A649" s="267">
        <v>4740</v>
      </c>
      <c r="B649" s="291" t="s">
        <v>380</v>
      </c>
      <c r="C649" s="128">
        <v>500</v>
      </c>
      <c r="D649" s="104">
        <f>G649+J649+P649+M649</f>
        <v>500</v>
      </c>
      <c r="E649" s="129">
        <f>SUM(H649+K649+N649+Q649)</f>
        <v>0</v>
      </c>
      <c r="F649" s="105">
        <f>E649/D649*100</f>
        <v>0</v>
      </c>
      <c r="G649" s="129"/>
      <c r="H649" s="193"/>
      <c r="I649" s="416"/>
      <c r="J649" s="193"/>
      <c r="K649" s="129"/>
      <c r="L649" s="110"/>
      <c r="M649" s="128">
        <v>500</v>
      </c>
      <c r="N649" s="129"/>
      <c r="O649" s="256">
        <f t="shared" si="77"/>
        <v>0</v>
      </c>
      <c r="P649" s="129"/>
      <c r="Q649" s="129"/>
      <c r="R649" s="200"/>
    </row>
    <row r="650" spans="1:18" s="185" customFormat="1" ht="36">
      <c r="A650" s="267">
        <v>4750</v>
      </c>
      <c r="B650" s="291" t="s">
        <v>467</v>
      </c>
      <c r="C650" s="229">
        <v>500</v>
      </c>
      <c r="D650" s="230">
        <f t="shared" si="74"/>
        <v>500</v>
      </c>
      <c r="E650" s="236">
        <f>SUM(H650+K650+N650+Q650)</f>
        <v>0</v>
      </c>
      <c r="F650" s="168">
        <f t="shared" si="79"/>
        <v>0</v>
      </c>
      <c r="G650" s="236"/>
      <c r="H650" s="233"/>
      <c r="I650" s="424"/>
      <c r="J650" s="233"/>
      <c r="K650" s="236"/>
      <c r="L650" s="319"/>
      <c r="M650" s="229">
        <v>500</v>
      </c>
      <c r="N650" s="236"/>
      <c r="O650" s="256">
        <f t="shared" si="77"/>
        <v>0</v>
      </c>
      <c r="P650" s="236"/>
      <c r="Q650" s="236"/>
      <c r="R650" s="238"/>
    </row>
    <row r="651" spans="1:18" ht="12.75">
      <c r="A651" s="186">
        <v>80110</v>
      </c>
      <c r="B651" s="294" t="s">
        <v>688</v>
      </c>
      <c r="C651" s="188">
        <f>SUM(C652:C678)</f>
        <v>19570400</v>
      </c>
      <c r="D651" s="137">
        <f t="shared" si="74"/>
        <v>19548970</v>
      </c>
      <c r="E651" s="137">
        <f>H651+K651+Q651+N651</f>
        <v>5080367</v>
      </c>
      <c r="F651" s="425">
        <f t="shared" si="79"/>
        <v>25.987901152848465</v>
      </c>
      <c r="G651" s="188">
        <f>SUM(G652:G678)</f>
        <v>19548970</v>
      </c>
      <c r="H651" s="124">
        <f>SUM(H652:H678)</f>
        <v>5080367</v>
      </c>
      <c r="I651" s="214">
        <f t="shared" si="76"/>
        <v>25.987901152848465</v>
      </c>
      <c r="J651" s="124"/>
      <c r="K651" s="119"/>
      <c r="L651" s="125"/>
      <c r="M651" s="119"/>
      <c r="N651" s="119"/>
      <c r="O651" s="190"/>
      <c r="P651" s="188"/>
      <c r="Q651" s="119"/>
      <c r="R651" s="283"/>
    </row>
    <row r="652" spans="1:18" s="185" customFormat="1" ht="48">
      <c r="A652" s="191">
        <v>2540</v>
      </c>
      <c r="B652" s="198" t="s">
        <v>676</v>
      </c>
      <c r="C652" s="128">
        <v>368000</v>
      </c>
      <c r="D652" s="104">
        <f t="shared" si="74"/>
        <v>368000</v>
      </c>
      <c r="E652" s="129">
        <f>SUM(H652+K652+N652+Q652)</f>
        <v>107977</v>
      </c>
      <c r="F652" s="105">
        <f t="shared" si="79"/>
        <v>29.341576086956522</v>
      </c>
      <c r="G652" s="128">
        <v>368000</v>
      </c>
      <c r="H652" s="129">
        <v>107977</v>
      </c>
      <c r="I652" s="256">
        <f t="shared" si="76"/>
        <v>29.341576086956522</v>
      </c>
      <c r="J652" s="193"/>
      <c r="K652" s="129"/>
      <c r="L652" s="110"/>
      <c r="M652" s="129"/>
      <c r="N652" s="129"/>
      <c r="O652" s="194"/>
      <c r="P652" s="128"/>
      <c r="Q652" s="129"/>
      <c r="R652" s="200"/>
    </row>
    <row r="653" spans="1:18" ht="36">
      <c r="A653" s="191">
        <v>3020</v>
      </c>
      <c r="B653" s="198" t="s">
        <v>677</v>
      </c>
      <c r="C653" s="128">
        <v>74900</v>
      </c>
      <c r="D653" s="104">
        <f t="shared" si="74"/>
        <v>75800</v>
      </c>
      <c r="E653" s="129">
        <f>SUM(H653+K653+N653+Q653)</f>
        <v>16298</v>
      </c>
      <c r="F653" s="105">
        <f t="shared" si="79"/>
        <v>21.50131926121372</v>
      </c>
      <c r="G653" s="128">
        <f>74900+900</f>
        <v>75800</v>
      </c>
      <c r="H653" s="129">
        <v>16298</v>
      </c>
      <c r="I653" s="256">
        <f t="shared" si="76"/>
        <v>21.50131926121372</v>
      </c>
      <c r="J653" s="193"/>
      <c r="K653" s="129"/>
      <c r="L653" s="110"/>
      <c r="M653" s="129"/>
      <c r="N653" s="129"/>
      <c r="O653" s="194"/>
      <c r="P653" s="128"/>
      <c r="Q653" s="129"/>
      <c r="R653" s="200"/>
    </row>
    <row r="654" spans="1:18" ht="24">
      <c r="A654" s="191">
        <v>4010</v>
      </c>
      <c r="B654" s="198" t="s">
        <v>346</v>
      </c>
      <c r="C654" s="128">
        <v>12728700</v>
      </c>
      <c r="D654" s="104">
        <f t="shared" si="74"/>
        <v>12728700</v>
      </c>
      <c r="E654" s="129">
        <f>SUM(H654+K654+N654+Q654)</f>
        <v>2990825</v>
      </c>
      <c r="F654" s="105">
        <f t="shared" si="79"/>
        <v>23.49670429816085</v>
      </c>
      <c r="G654" s="128">
        <v>12728700</v>
      </c>
      <c r="H654" s="129">
        <v>2990825</v>
      </c>
      <c r="I654" s="256">
        <f t="shared" si="76"/>
        <v>23.49670429816085</v>
      </c>
      <c r="J654" s="193"/>
      <c r="K654" s="129"/>
      <c r="L654" s="110"/>
      <c r="M654" s="129"/>
      <c r="N654" s="129"/>
      <c r="O654" s="194"/>
      <c r="P654" s="128"/>
      <c r="Q654" s="129"/>
      <c r="R654" s="200"/>
    </row>
    <row r="655" spans="1:18" ht="25.5" customHeight="1">
      <c r="A655" s="191">
        <v>4040</v>
      </c>
      <c r="B655" s="198" t="s">
        <v>454</v>
      </c>
      <c r="C655" s="128">
        <v>1024700</v>
      </c>
      <c r="D655" s="104">
        <f t="shared" si="74"/>
        <v>937250</v>
      </c>
      <c r="E655" s="129">
        <f>SUM(H655+K655+N655+Q655)</f>
        <v>681794</v>
      </c>
      <c r="F655" s="105">
        <f t="shared" si="79"/>
        <v>72.74409175780208</v>
      </c>
      <c r="G655" s="128">
        <f>1024700-87450</f>
        <v>937250</v>
      </c>
      <c r="H655" s="129">
        <v>681794</v>
      </c>
      <c r="I655" s="256">
        <f t="shared" si="76"/>
        <v>72.74409175780208</v>
      </c>
      <c r="J655" s="193"/>
      <c r="K655" s="129"/>
      <c r="L655" s="110"/>
      <c r="M655" s="129"/>
      <c r="N655" s="129"/>
      <c r="O655" s="194"/>
      <c r="P655" s="128"/>
      <c r="Q655" s="129"/>
      <c r="R655" s="200"/>
    </row>
    <row r="656" spans="1:18" ht="24">
      <c r="A656" s="191">
        <v>4110</v>
      </c>
      <c r="B656" s="198" t="s">
        <v>352</v>
      </c>
      <c r="C656" s="128">
        <v>2199600</v>
      </c>
      <c r="D656" s="104">
        <f t="shared" si="74"/>
        <v>2199600</v>
      </c>
      <c r="E656" s="129">
        <f aca="true" t="shared" si="80" ref="E656:E677">SUM(H656+K656+N656+Q656)</f>
        <v>405911</v>
      </c>
      <c r="F656" s="105">
        <f t="shared" si="79"/>
        <v>18.453855246408438</v>
      </c>
      <c r="G656" s="128">
        <v>2199600</v>
      </c>
      <c r="H656" s="129">
        <v>405911</v>
      </c>
      <c r="I656" s="256">
        <f t="shared" si="76"/>
        <v>18.453855246408438</v>
      </c>
      <c r="J656" s="193"/>
      <c r="K656" s="129"/>
      <c r="L656" s="110"/>
      <c r="M656" s="129"/>
      <c r="N656" s="129"/>
      <c r="O656" s="194"/>
      <c r="P656" s="128"/>
      <c r="Q656" s="129"/>
      <c r="R656" s="200"/>
    </row>
    <row r="657" spans="1:18" ht="12.75">
      <c r="A657" s="191">
        <v>4120</v>
      </c>
      <c r="B657" s="198" t="s">
        <v>504</v>
      </c>
      <c r="C657" s="128">
        <v>335400</v>
      </c>
      <c r="D657" s="104">
        <f t="shared" si="74"/>
        <v>335400</v>
      </c>
      <c r="E657" s="104">
        <f t="shared" si="80"/>
        <v>65766</v>
      </c>
      <c r="F657" s="105">
        <f t="shared" si="79"/>
        <v>19.608228980322004</v>
      </c>
      <c r="G657" s="128">
        <v>335400</v>
      </c>
      <c r="H657" s="129">
        <v>65766</v>
      </c>
      <c r="I657" s="256">
        <f t="shared" si="76"/>
        <v>19.608228980322004</v>
      </c>
      <c r="J657" s="193"/>
      <c r="K657" s="129"/>
      <c r="L657" s="110"/>
      <c r="M657" s="129"/>
      <c r="N657" s="129"/>
      <c r="O657" s="194"/>
      <c r="P657" s="128"/>
      <c r="Q657" s="129"/>
      <c r="R657" s="200"/>
    </row>
    <row r="658" spans="1:18" s="185" customFormat="1" ht="12.75">
      <c r="A658" s="191">
        <v>4140</v>
      </c>
      <c r="B658" s="198" t="s">
        <v>457</v>
      </c>
      <c r="C658" s="128">
        <v>51400</v>
      </c>
      <c r="D658" s="104">
        <f t="shared" si="74"/>
        <v>51400</v>
      </c>
      <c r="E658" s="104">
        <f t="shared" si="80"/>
        <v>13052</v>
      </c>
      <c r="F658" s="105">
        <f t="shared" si="79"/>
        <v>25.39299610894942</v>
      </c>
      <c r="G658" s="128">
        <v>51400</v>
      </c>
      <c r="H658" s="129">
        <v>13052</v>
      </c>
      <c r="I658" s="256">
        <f t="shared" si="76"/>
        <v>25.39299610894942</v>
      </c>
      <c r="J658" s="193"/>
      <c r="K658" s="129"/>
      <c r="L658" s="110"/>
      <c r="M658" s="129"/>
      <c r="N658" s="129"/>
      <c r="O658" s="194"/>
      <c r="P658" s="128"/>
      <c r="Q658" s="129"/>
      <c r="R658" s="200"/>
    </row>
    <row r="659" spans="1:18" s="185" customFormat="1" ht="24">
      <c r="A659" s="191">
        <v>4170</v>
      </c>
      <c r="B659" s="198" t="s">
        <v>392</v>
      </c>
      <c r="C659" s="128">
        <v>7700</v>
      </c>
      <c r="D659" s="104">
        <f t="shared" si="74"/>
        <v>7700</v>
      </c>
      <c r="E659" s="104">
        <f>SUM(H659+K659+N659+Q659)</f>
        <v>1231</v>
      </c>
      <c r="F659" s="105">
        <f t="shared" si="79"/>
        <v>15.987012987012985</v>
      </c>
      <c r="G659" s="128">
        <v>7700</v>
      </c>
      <c r="H659" s="129">
        <v>1231</v>
      </c>
      <c r="I659" s="256">
        <f t="shared" si="76"/>
        <v>15.987012987012985</v>
      </c>
      <c r="J659" s="193"/>
      <c r="K659" s="129"/>
      <c r="L659" s="110"/>
      <c r="M659" s="129"/>
      <c r="N659" s="129"/>
      <c r="O659" s="194"/>
      <c r="P659" s="128"/>
      <c r="Q659" s="129"/>
      <c r="R659" s="200"/>
    </row>
    <row r="660" spans="1:18" ht="24">
      <c r="A660" s="191">
        <v>4210</v>
      </c>
      <c r="B660" s="198" t="s">
        <v>356</v>
      </c>
      <c r="C660" s="128">
        <v>342300</v>
      </c>
      <c r="D660" s="104">
        <f t="shared" si="74"/>
        <v>343300</v>
      </c>
      <c r="E660" s="129">
        <f t="shared" si="80"/>
        <v>98401</v>
      </c>
      <c r="F660" s="105">
        <f t="shared" si="79"/>
        <v>28.663268278473637</v>
      </c>
      <c r="G660" s="128">
        <f>342300+1000</f>
        <v>343300</v>
      </c>
      <c r="H660" s="129">
        <v>98401</v>
      </c>
      <c r="I660" s="256">
        <f t="shared" si="76"/>
        <v>28.663268278473637</v>
      </c>
      <c r="J660" s="193"/>
      <c r="K660" s="129"/>
      <c r="L660" s="110"/>
      <c r="M660" s="129"/>
      <c r="N660" s="129"/>
      <c r="O660" s="194"/>
      <c r="P660" s="128"/>
      <c r="Q660" s="129"/>
      <c r="R660" s="200"/>
    </row>
    <row r="661" spans="1:18" ht="36">
      <c r="A661" s="191">
        <v>4240</v>
      </c>
      <c r="B661" s="198" t="s">
        <v>678</v>
      </c>
      <c r="C661" s="128">
        <v>45300</v>
      </c>
      <c r="D661" s="104">
        <f t="shared" si="74"/>
        <v>45300</v>
      </c>
      <c r="E661" s="129">
        <f t="shared" si="80"/>
        <v>14206</v>
      </c>
      <c r="F661" s="105">
        <f t="shared" si="79"/>
        <v>31.3598233995585</v>
      </c>
      <c r="G661" s="128">
        <v>45300</v>
      </c>
      <c r="H661" s="129">
        <v>14206</v>
      </c>
      <c r="I661" s="256">
        <f t="shared" si="76"/>
        <v>31.3598233995585</v>
      </c>
      <c r="J661" s="193"/>
      <c r="K661" s="129"/>
      <c r="L661" s="110"/>
      <c r="M661" s="129"/>
      <c r="N661" s="129"/>
      <c r="O661" s="194"/>
      <c r="P661" s="128"/>
      <c r="Q661" s="129"/>
      <c r="R661" s="200"/>
    </row>
    <row r="662" spans="1:18" ht="12.75">
      <c r="A662" s="191">
        <v>4260</v>
      </c>
      <c r="B662" s="321" t="s">
        <v>360</v>
      </c>
      <c r="C662" s="128">
        <v>932900</v>
      </c>
      <c r="D662" s="104">
        <f t="shared" si="74"/>
        <v>932900</v>
      </c>
      <c r="E662" s="129">
        <f t="shared" si="80"/>
        <v>337941</v>
      </c>
      <c r="F662" s="105">
        <f t="shared" si="79"/>
        <v>36.224782934934076</v>
      </c>
      <c r="G662" s="128">
        <v>932900</v>
      </c>
      <c r="H662" s="129">
        <v>337941</v>
      </c>
      <c r="I662" s="256">
        <f t="shared" si="76"/>
        <v>36.224782934934076</v>
      </c>
      <c r="J662" s="193"/>
      <c r="K662" s="129"/>
      <c r="L662" s="110"/>
      <c r="M662" s="129"/>
      <c r="N662" s="129"/>
      <c r="O662" s="194"/>
      <c r="P662" s="128"/>
      <c r="Q662" s="129"/>
      <c r="R662" s="200"/>
    </row>
    <row r="663" spans="1:18" ht="24">
      <c r="A663" s="191">
        <v>4270</v>
      </c>
      <c r="B663" s="198" t="s">
        <v>362</v>
      </c>
      <c r="C663" s="128">
        <v>34500</v>
      </c>
      <c r="D663" s="104">
        <f t="shared" si="74"/>
        <v>39680</v>
      </c>
      <c r="E663" s="129">
        <f t="shared" si="80"/>
        <v>8898</v>
      </c>
      <c r="F663" s="105">
        <f t="shared" si="79"/>
        <v>22.424395161290324</v>
      </c>
      <c r="G663" s="128">
        <f>34500+5180</f>
        <v>39680</v>
      </c>
      <c r="H663" s="129">
        <v>8898</v>
      </c>
      <c r="I663" s="256">
        <f t="shared" si="76"/>
        <v>22.424395161290324</v>
      </c>
      <c r="J663" s="193"/>
      <c r="K663" s="129"/>
      <c r="L663" s="110"/>
      <c r="M663" s="129"/>
      <c r="N663" s="129"/>
      <c r="O663" s="194"/>
      <c r="P663" s="128"/>
      <c r="Q663" s="129"/>
      <c r="R663" s="200"/>
    </row>
    <row r="664" spans="1:18" ht="24">
      <c r="A664" s="191">
        <v>4280</v>
      </c>
      <c r="B664" s="198" t="s">
        <v>458</v>
      </c>
      <c r="C664" s="128">
        <v>17200</v>
      </c>
      <c r="D664" s="104">
        <f t="shared" si="74"/>
        <v>17200</v>
      </c>
      <c r="E664" s="129">
        <f t="shared" si="80"/>
        <v>885</v>
      </c>
      <c r="F664" s="105">
        <f t="shared" si="79"/>
        <v>5.145348837209302</v>
      </c>
      <c r="G664" s="128">
        <v>17200</v>
      </c>
      <c r="H664" s="129">
        <v>885</v>
      </c>
      <c r="I664" s="256">
        <f t="shared" si="76"/>
        <v>5.145348837209302</v>
      </c>
      <c r="J664" s="193"/>
      <c r="K664" s="129"/>
      <c r="L664" s="110"/>
      <c r="M664" s="129"/>
      <c r="N664" s="129"/>
      <c r="O664" s="194"/>
      <c r="P664" s="128"/>
      <c r="Q664" s="129"/>
      <c r="R664" s="200"/>
    </row>
    <row r="665" spans="1:18" ht="24">
      <c r="A665" s="191">
        <v>4300</v>
      </c>
      <c r="B665" s="198" t="s">
        <v>364</v>
      </c>
      <c r="C665" s="128">
        <v>291800</v>
      </c>
      <c r="D665" s="104">
        <f t="shared" si="74"/>
        <v>300100</v>
      </c>
      <c r="E665" s="129">
        <f t="shared" si="80"/>
        <v>71220</v>
      </c>
      <c r="F665" s="105">
        <f t="shared" si="79"/>
        <v>23.73208930356548</v>
      </c>
      <c r="G665" s="128">
        <f>291800+8300</f>
        <v>300100</v>
      </c>
      <c r="H665" s="129">
        <v>71220</v>
      </c>
      <c r="I665" s="256">
        <f t="shared" si="76"/>
        <v>23.73208930356548</v>
      </c>
      <c r="J665" s="193"/>
      <c r="K665" s="129"/>
      <c r="L665" s="110"/>
      <c r="M665" s="129"/>
      <c r="N665" s="129"/>
      <c r="O665" s="194"/>
      <c r="P665" s="128"/>
      <c r="Q665" s="129"/>
      <c r="R665" s="200"/>
    </row>
    <row r="666" spans="1:18" ht="24">
      <c r="A666" s="191">
        <v>4350</v>
      </c>
      <c r="B666" s="198" t="s">
        <v>460</v>
      </c>
      <c r="C666" s="128">
        <v>9900</v>
      </c>
      <c r="D666" s="104">
        <f t="shared" si="74"/>
        <v>9900</v>
      </c>
      <c r="E666" s="129">
        <f t="shared" si="80"/>
        <v>1173</v>
      </c>
      <c r="F666" s="105">
        <f t="shared" si="79"/>
        <v>11.848484848484848</v>
      </c>
      <c r="G666" s="128">
        <v>9900</v>
      </c>
      <c r="H666" s="129">
        <v>1173</v>
      </c>
      <c r="I666" s="256">
        <f t="shared" si="76"/>
        <v>11.848484848484848</v>
      </c>
      <c r="J666" s="193"/>
      <c r="K666" s="129"/>
      <c r="L666" s="110"/>
      <c r="M666" s="129"/>
      <c r="N666" s="129"/>
      <c r="O666" s="194"/>
      <c r="P666" s="128"/>
      <c r="Q666" s="129"/>
      <c r="R666" s="200"/>
    </row>
    <row r="667" spans="1:18" ht="48">
      <c r="A667" s="267">
        <v>4360</v>
      </c>
      <c r="B667" s="291" t="s">
        <v>635</v>
      </c>
      <c r="C667" s="128">
        <v>1200</v>
      </c>
      <c r="D667" s="104">
        <f t="shared" si="74"/>
        <v>1200</v>
      </c>
      <c r="E667" s="129">
        <f>SUM(H667+K667+N667+Q667)</f>
        <v>260</v>
      </c>
      <c r="F667" s="105">
        <f>E667/D667*100</f>
        <v>21.666666666666668</v>
      </c>
      <c r="G667" s="128">
        <v>1200</v>
      </c>
      <c r="H667" s="129">
        <v>260</v>
      </c>
      <c r="I667" s="256">
        <f t="shared" si="76"/>
        <v>21.666666666666668</v>
      </c>
      <c r="J667" s="193"/>
      <c r="K667" s="129"/>
      <c r="L667" s="110"/>
      <c r="M667" s="129"/>
      <c r="N667" s="129"/>
      <c r="O667" s="194"/>
      <c r="P667" s="128"/>
      <c r="Q667" s="129"/>
      <c r="R667" s="200"/>
    </row>
    <row r="668" spans="1:18" ht="48">
      <c r="A668" s="267">
        <v>4370</v>
      </c>
      <c r="B668" s="291" t="s">
        <v>577</v>
      </c>
      <c r="C668" s="128">
        <v>48600</v>
      </c>
      <c r="D668" s="104">
        <f t="shared" si="74"/>
        <v>48600</v>
      </c>
      <c r="E668" s="129">
        <f>SUM(H668+K668+N668+Q668)</f>
        <v>8815</v>
      </c>
      <c r="F668" s="105">
        <f>E668/D668*100</f>
        <v>18.137860082304528</v>
      </c>
      <c r="G668" s="128">
        <v>48600</v>
      </c>
      <c r="H668" s="129">
        <v>8815</v>
      </c>
      <c r="I668" s="256">
        <f t="shared" si="76"/>
        <v>18.137860082304528</v>
      </c>
      <c r="J668" s="193"/>
      <c r="K668" s="129"/>
      <c r="L668" s="110"/>
      <c r="M668" s="129"/>
      <c r="N668" s="129"/>
      <c r="O668" s="194"/>
      <c r="P668" s="128"/>
      <c r="Q668" s="129"/>
      <c r="R668" s="200"/>
    </row>
    <row r="669" spans="1:18" ht="36">
      <c r="A669" s="191">
        <v>4390</v>
      </c>
      <c r="B669" s="305" t="s">
        <v>393</v>
      </c>
      <c r="C669" s="128">
        <v>37800</v>
      </c>
      <c r="D669" s="104">
        <f t="shared" si="74"/>
        <v>37800</v>
      </c>
      <c r="E669" s="129">
        <f>SUM(H669+K669+N669+Q669)</f>
        <v>2617</v>
      </c>
      <c r="F669" s="105">
        <f>E669/D669*100</f>
        <v>6.923280423280423</v>
      </c>
      <c r="G669" s="128">
        <v>37800</v>
      </c>
      <c r="H669" s="129">
        <v>2617</v>
      </c>
      <c r="I669" s="256">
        <f t="shared" si="76"/>
        <v>6.923280423280423</v>
      </c>
      <c r="J669" s="193"/>
      <c r="K669" s="129"/>
      <c r="L669" s="110"/>
      <c r="M669" s="129"/>
      <c r="N669" s="129"/>
      <c r="O669" s="194"/>
      <c r="P669" s="128"/>
      <c r="Q669" s="129"/>
      <c r="R669" s="200"/>
    </row>
    <row r="670" spans="1:18" ht="24">
      <c r="A670" s="191">
        <v>4410</v>
      </c>
      <c r="B670" s="198" t="s">
        <v>338</v>
      </c>
      <c r="C670" s="128">
        <v>24300</v>
      </c>
      <c r="D670" s="104">
        <f t="shared" si="74"/>
        <v>24300</v>
      </c>
      <c r="E670" s="129">
        <f t="shared" si="80"/>
        <v>2106</v>
      </c>
      <c r="F670" s="105">
        <f t="shared" si="79"/>
        <v>8.666666666666668</v>
      </c>
      <c r="G670" s="128">
        <v>24300</v>
      </c>
      <c r="H670" s="129">
        <v>2106</v>
      </c>
      <c r="I670" s="256">
        <f t="shared" si="76"/>
        <v>8.666666666666668</v>
      </c>
      <c r="J670" s="193"/>
      <c r="K670" s="129"/>
      <c r="L670" s="110"/>
      <c r="M670" s="129"/>
      <c r="N670" s="129"/>
      <c r="O670" s="194"/>
      <c r="P670" s="128"/>
      <c r="Q670" s="129"/>
      <c r="R670" s="200"/>
    </row>
    <row r="671" spans="1:18" ht="24">
      <c r="A671" s="191">
        <v>4420</v>
      </c>
      <c r="B671" s="198" t="s">
        <v>477</v>
      </c>
      <c r="C671" s="128">
        <v>1400</v>
      </c>
      <c r="D671" s="104">
        <f t="shared" si="74"/>
        <v>1400</v>
      </c>
      <c r="E671" s="129">
        <f t="shared" si="80"/>
        <v>75</v>
      </c>
      <c r="F671" s="105">
        <f t="shared" si="79"/>
        <v>5.357142857142857</v>
      </c>
      <c r="G671" s="128">
        <v>1400</v>
      </c>
      <c r="H671" s="129">
        <v>75</v>
      </c>
      <c r="I671" s="256">
        <f t="shared" si="76"/>
        <v>5.357142857142857</v>
      </c>
      <c r="J671" s="193"/>
      <c r="K671" s="129"/>
      <c r="L671" s="110"/>
      <c r="M671" s="129"/>
      <c r="N671" s="129"/>
      <c r="O671" s="194"/>
      <c r="P671" s="128"/>
      <c r="Q671" s="129"/>
      <c r="R671" s="200"/>
    </row>
    <row r="672" spans="1:18" ht="12.75">
      <c r="A672" s="191">
        <v>4430</v>
      </c>
      <c r="B672" s="198" t="s">
        <v>366</v>
      </c>
      <c r="C672" s="128">
        <v>300</v>
      </c>
      <c r="D672" s="104">
        <f t="shared" si="74"/>
        <v>300</v>
      </c>
      <c r="E672" s="129">
        <f>SUM(H672+K672+N672+Q672)</f>
        <v>196</v>
      </c>
      <c r="F672" s="105">
        <f>E672/D672*100</f>
        <v>65.33333333333333</v>
      </c>
      <c r="G672" s="128">
        <v>300</v>
      </c>
      <c r="H672" s="129">
        <v>196</v>
      </c>
      <c r="I672" s="256">
        <f t="shared" si="76"/>
        <v>65.33333333333333</v>
      </c>
      <c r="J672" s="193"/>
      <c r="K672" s="129"/>
      <c r="L672" s="110"/>
      <c r="M672" s="129"/>
      <c r="N672" s="129"/>
      <c r="O672" s="194"/>
      <c r="P672" s="128"/>
      <c r="Q672" s="129"/>
      <c r="R672" s="200"/>
    </row>
    <row r="673" spans="1:18" ht="12.75">
      <c r="A673" s="191">
        <v>4440</v>
      </c>
      <c r="B673" s="198" t="s">
        <v>368</v>
      </c>
      <c r="C673" s="128">
        <v>752700</v>
      </c>
      <c r="D673" s="104">
        <f t="shared" si="74"/>
        <v>803340</v>
      </c>
      <c r="E673" s="129">
        <f>SUM(H673+K673+N673+Q673)</f>
        <v>223850</v>
      </c>
      <c r="F673" s="105">
        <f>E673/D673*100</f>
        <v>27.864913984116313</v>
      </c>
      <c r="G673" s="128">
        <f>752700+50640</f>
        <v>803340</v>
      </c>
      <c r="H673" s="129">
        <v>223850</v>
      </c>
      <c r="I673" s="256">
        <f t="shared" si="76"/>
        <v>27.864913984116313</v>
      </c>
      <c r="J673" s="193"/>
      <c r="K673" s="129"/>
      <c r="L673" s="110"/>
      <c r="M673" s="129"/>
      <c r="N673" s="129"/>
      <c r="O673" s="194"/>
      <c r="P673" s="128"/>
      <c r="Q673" s="129"/>
      <c r="R673" s="200"/>
    </row>
    <row r="674" spans="1:18" s="185" customFormat="1" ht="36">
      <c r="A674" s="267">
        <v>4700</v>
      </c>
      <c r="B674" s="291" t="s">
        <v>466</v>
      </c>
      <c r="C674" s="128">
        <v>21600</v>
      </c>
      <c r="D674" s="104">
        <f t="shared" si="74"/>
        <v>21600</v>
      </c>
      <c r="E674" s="129">
        <f t="shared" si="80"/>
        <v>1689</v>
      </c>
      <c r="F674" s="105">
        <f t="shared" si="79"/>
        <v>7.819444444444444</v>
      </c>
      <c r="G674" s="128">
        <v>21600</v>
      </c>
      <c r="H674" s="129">
        <v>1689</v>
      </c>
      <c r="I674" s="256">
        <f t="shared" si="76"/>
        <v>7.819444444444444</v>
      </c>
      <c r="J674" s="193"/>
      <c r="K674" s="129"/>
      <c r="L674" s="110"/>
      <c r="M674" s="129"/>
      <c r="N674" s="129"/>
      <c r="O674" s="194"/>
      <c r="P674" s="128"/>
      <c r="Q674" s="129"/>
      <c r="R674" s="200"/>
    </row>
    <row r="675" spans="1:18" s="185" customFormat="1" ht="60">
      <c r="A675" s="267">
        <v>4740</v>
      </c>
      <c r="B675" s="291" t="s">
        <v>380</v>
      </c>
      <c r="C675" s="128">
        <v>28100</v>
      </c>
      <c r="D675" s="104">
        <f t="shared" si="74"/>
        <v>28100</v>
      </c>
      <c r="E675" s="129">
        <f>SUM(H675+K675+N675+Q675)</f>
        <v>1382</v>
      </c>
      <c r="F675" s="105">
        <f>E675/D675*100</f>
        <v>4.918149466192171</v>
      </c>
      <c r="G675" s="128">
        <v>28100</v>
      </c>
      <c r="H675" s="129">
        <v>1382</v>
      </c>
      <c r="I675" s="256">
        <f t="shared" si="76"/>
        <v>4.918149466192171</v>
      </c>
      <c r="J675" s="193"/>
      <c r="K675" s="129"/>
      <c r="L675" s="110"/>
      <c r="M675" s="129"/>
      <c r="N675" s="129"/>
      <c r="O675" s="194"/>
      <c r="P675" s="128"/>
      <c r="Q675" s="129"/>
      <c r="R675" s="200"/>
    </row>
    <row r="676" spans="1:18" s="185" customFormat="1" ht="36">
      <c r="A676" s="267">
        <v>4750</v>
      </c>
      <c r="B676" s="291" t="s">
        <v>467</v>
      </c>
      <c r="C676" s="128">
        <v>39700</v>
      </c>
      <c r="D676" s="104">
        <f t="shared" si="74"/>
        <v>39700</v>
      </c>
      <c r="E676" s="129">
        <f>SUM(H676+K676+N676+Q676)</f>
        <v>9821</v>
      </c>
      <c r="F676" s="105">
        <f>E676/D676*100</f>
        <v>24.738035264483628</v>
      </c>
      <c r="G676" s="128">
        <v>39700</v>
      </c>
      <c r="H676" s="129">
        <v>9821</v>
      </c>
      <c r="I676" s="256">
        <f t="shared" si="76"/>
        <v>24.738035264483628</v>
      </c>
      <c r="J676" s="193"/>
      <c r="K676" s="129"/>
      <c r="L676" s="110"/>
      <c r="M676" s="129"/>
      <c r="N676" s="129"/>
      <c r="O676" s="194"/>
      <c r="P676" s="128"/>
      <c r="Q676" s="129"/>
      <c r="R676" s="200"/>
    </row>
    <row r="677" spans="1:18" s="185" customFormat="1" ht="72">
      <c r="A677" s="191">
        <v>6050</v>
      </c>
      <c r="B677" s="198" t="s">
        <v>689</v>
      </c>
      <c r="C677" s="128">
        <v>149300</v>
      </c>
      <c r="D677" s="104">
        <f t="shared" si="74"/>
        <v>149300</v>
      </c>
      <c r="E677" s="129">
        <f t="shared" si="80"/>
        <v>13978</v>
      </c>
      <c r="F677" s="105">
        <f t="shared" si="79"/>
        <v>9.362357669122572</v>
      </c>
      <c r="G677" s="128">
        <v>149300</v>
      </c>
      <c r="H677" s="129">
        <v>13978</v>
      </c>
      <c r="I677" s="256">
        <f t="shared" si="76"/>
        <v>9.362357669122572</v>
      </c>
      <c r="J677" s="193"/>
      <c r="K677" s="129"/>
      <c r="L677" s="110"/>
      <c r="M677" s="129"/>
      <c r="N677" s="129"/>
      <c r="O677" s="194"/>
      <c r="P677" s="128"/>
      <c r="Q677" s="129"/>
      <c r="R677" s="200"/>
    </row>
    <row r="678" spans="1:18" s="185" customFormat="1" ht="36">
      <c r="A678" s="191">
        <v>6060</v>
      </c>
      <c r="B678" s="198" t="s">
        <v>515</v>
      </c>
      <c r="C678" s="128">
        <v>1100</v>
      </c>
      <c r="D678" s="104">
        <f t="shared" si="74"/>
        <v>1100</v>
      </c>
      <c r="E678" s="129">
        <f>SUM(H678+K678+N678+Q678)</f>
        <v>0</v>
      </c>
      <c r="F678" s="105">
        <f>E678/D678*100</f>
        <v>0</v>
      </c>
      <c r="G678" s="128">
        <v>1100</v>
      </c>
      <c r="H678" s="129"/>
      <c r="I678" s="256">
        <f t="shared" si="76"/>
        <v>0</v>
      </c>
      <c r="J678" s="193"/>
      <c r="K678" s="129"/>
      <c r="L678" s="110"/>
      <c r="M678" s="129"/>
      <c r="N678" s="129"/>
      <c r="O678" s="194"/>
      <c r="P678" s="128"/>
      <c r="Q678" s="129"/>
      <c r="R678" s="200"/>
    </row>
    <row r="679" spans="1:18" s="327" customFormat="1" ht="12.75">
      <c r="A679" s="186">
        <v>80111</v>
      </c>
      <c r="B679" s="294" t="s">
        <v>690</v>
      </c>
      <c r="C679" s="188">
        <f>SUM(C680:C700)</f>
        <v>2183900</v>
      </c>
      <c r="D679" s="137">
        <f t="shared" si="74"/>
        <v>2206360</v>
      </c>
      <c r="E679" s="119">
        <f>H679+K679+Q679+N679</f>
        <v>575460</v>
      </c>
      <c r="F679" s="120">
        <f t="shared" si="79"/>
        <v>26.081872405228523</v>
      </c>
      <c r="G679" s="344"/>
      <c r="H679" s="345"/>
      <c r="I679" s="417"/>
      <c r="J679" s="346"/>
      <c r="K679" s="345"/>
      <c r="L679" s="347"/>
      <c r="M679" s="119">
        <f>SUM(M680:M700)</f>
        <v>2206360</v>
      </c>
      <c r="N679" s="119">
        <f>SUM(N680:N700)</f>
        <v>575460</v>
      </c>
      <c r="O679" s="214">
        <f aca="true" t="shared" si="81" ref="O679:O724">N679/M679*100</f>
        <v>26.081872405228523</v>
      </c>
      <c r="P679" s="188"/>
      <c r="Q679" s="119"/>
      <c r="R679" s="283"/>
    </row>
    <row r="680" spans="1:18" s="327" customFormat="1" ht="36">
      <c r="A680" s="172">
        <v>3020</v>
      </c>
      <c r="B680" s="198" t="s">
        <v>677</v>
      </c>
      <c r="C680" s="132">
        <v>6900</v>
      </c>
      <c r="D680" s="149">
        <f aca="true" t="shared" si="82" ref="D680:D721">G680+J680+P680+M680</f>
        <v>6900</v>
      </c>
      <c r="E680" s="150">
        <f aca="true" t="shared" si="83" ref="E680:E721">SUM(H680+K680+N680+Q680)</f>
        <v>599</v>
      </c>
      <c r="F680" s="130">
        <f t="shared" si="79"/>
        <v>8.681159420289855</v>
      </c>
      <c r="G680" s="132"/>
      <c r="H680" s="150"/>
      <c r="I680" s="426"/>
      <c r="J680" s="223"/>
      <c r="K680" s="150"/>
      <c r="L680" s="154"/>
      <c r="M680" s="132">
        <v>6900</v>
      </c>
      <c r="N680" s="150">
        <v>599</v>
      </c>
      <c r="O680" s="222">
        <f t="shared" si="81"/>
        <v>8.681159420289855</v>
      </c>
      <c r="P680" s="132"/>
      <c r="Q680" s="150"/>
      <c r="R680" s="226"/>
    </row>
    <row r="681" spans="1:18" s="327" customFormat="1" ht="24">
      <c r="A681" s="191">
        <v>4010</v>
      </c>
      <c r="B681" s="198" t="s">
        <v>346</v>
      </c>
      <c r="C681" s="128">
        <v>1502000</v>
      </c>
      <c r="D681" s="104">
        <f t="shared" si="82"/>
        <v>1508200</v>
      </c>
      <c r="E681" s="129">
        <f t="shared" si="83"/>
        <v>356606</v>
      </c>
      <c r="F681" s="105">
        <f t="shared" si="79"/>
        <v>23.644476859832913</v>
      </c>
      <c r="G681" s="128"/>
      <c r="H681" s="129"/>
      <c r="I681" s="416"/>
      <c r="J681" s="193"/>
      <c r="K681" s="129"/>
      <c r="L681" s="110"/>
      <c r="M681" s="128">
        <f>1502000+6200</f>
        <v>1508200</v>
      </c>
      <c r="N681" s="129">
        <v>356606</v>
      </c>
      <c r="O681" s="256">
        <f t="shared" si="81"/>
        <v>23.644476859832913</v>
      </c>
      <c r="P681" s="128"/>
      <c r="Q681" s="129"/>
      <c r="R681" s="200"/>
    </row>
    <row r="682" spans="1:18" s="327" customFormat="1" ht="24">
      <c r="A682" s="191">
        <v>4040</v>
      </c>
      <c r="B682" s="198" t="s">
        <v>350</v>
      </c>
      <c r="C682" s="128">
        <v>117000</v>
      </c>
      <c r="D682" s="104">
        <f t="shared" si="82"/>
        <v>116060</v>
      </c>
      <c r="E682" s="129">
        <f t="shared" si="83"/>
        <v>79985</v>
      </c>
      <c r="F682" s="105">
        <f t="shared" si="79"/>
        <v>68.91693951404446</v>
      </c>
      <c r="G682" s="128"/>
      <c r="H682" s="129"/>
      <c r="I682" s="416"/>
      <c r="J682" s="193"/>
      <c r="K682" s="129"/>
      <c r="L682" s="110"/>
      <c r="M682" s="128">
        <f>117000-940</f>
        <v>116060</v>
      </c>
      <c r="N682" s="129">
        <v>79985</v>
      </c>
      <c r="O682" s="256">
        <f t="shared" si="81"/>
        <v>68.91693951404446</v>
      </c>
      <c r="P682" s="128"/>
      <c r="Q682" s="129"/>
      <c r="R682" s="200"/>
    </row>
    <row r="683" spans="1:18" s="327" customFormat="1" ht="24">
      <c r="A683" s="191">
        <v>4110</v>
      </c>
      <c r="B683" s="198" t="s">
        <v>352</v>
      </c>
      <c r="C683" s="128">
        <v>258000</v>
      </c>
      <c r="D683" s="104">
        <f t="shared" si="82"/>
        <v>259000</v>
      </c>
      <c r="E683" s="129">
        <f t="shared" si="83"/>
        <v>54990</v>
      </c>
      <c r="F683" s="105">
        <f t="shared" si="79"/>
        <v>21.231660231660232</v>
      </c>
      <c r="G683" s="128"/>
      <c r="H683" s="129"/>
      <c r="I683" s="416"/>
      <c r="J683" s="193"/>
      <c r="K683" s="129"/>
      <c r="L683" s="110"/>
      <c r="M683" s="128">
        <f>258000+1000</f>
        <v>259000</v>
      </c>
      <c r="N683" s="129">
        <v>54990</v>
      </c>
      <c r="O683" s="256">
        <f t="shared" si="81"/>
        <v>21.231660231660232</v>
      </c>
      <c r="P683" s="128"/>
      <c r="Q683" s="129"/>
      <c r="R683" s="200"/>
    </row>
    <row r="684" spans="1:18" s="327" customFormat="1" ht="15.75" customHeight="1">
      <c r="A684" s="191">
        <v>4120</v>
      </c>
      <c r="B684" s="198" t="s">
        <v>504</v>
      </c>
      <c r="C684" s="128">
        <v>38900</v>
      </c>
      <c r="D684" s="104">
        <f t="shared" si="82"/>
        <v>39000</v>
      </c>
      <c r="E684" s="129">
        <f t="shared" si="83"/>
        <v>8285</v>
      </c>
      <c r="F684" s="105">
        <f t="shared" si="79"/>
        <v>21.243589743589745</v>
      </c>
      <c r="G684" s="128"/>
      <c r="H684" s="129"/>
      <c r="I684" s="416"/>
      <c r="J684" s="193"/>
      <c r="K684" s="129"/>
      <c r="L684" s="110"/>
      <c r="M684" s="128">
        <f>38900+100</f>
        <v>39000</v>
      </c>
      <c r="N684" s="129">
        <v>8285</v>
      </c>
      <c r="O684" s="256">
        <f t="shared" si="81"/>
        <v>21.243589743589745</v>
      </c>
      <c r="P684" s="128"/>
      <c r="Q684" s="129"/>
      <c r="R684" s="200"/>
    </row>
    <row r="685" spans="1:18" s="327" customFormat="1" ht="15.75" customHeight="1">
      <c r="A685" s="191">
        <v>4140</v>
      </c>
      <c r="B685" s="198" t="s">
        <v>457</v>
      </c>
      <c r="C685" s="128">
        <v>1800</v>
      </c>
      <c r="D685" s="104">
        <f t="shared" si="82"/>
        <v>1800</v>
      </c>
      <c r="E685" s="129">
        <f t="shared" si="83"/>
        <v>334</v>
      </c>
      <c r="F685" s="105">
        <f t="shared" si="79"/>
        <v>18.555555555555557</v>
      </c>
      <c r="G685" s="128"/>
      <c r="H685" s="129"/>
      <c r="I685" s="416"/>
      <c r="J685" s="193"/>
      <c r="K685" s="129"/>
      <c r="L685" s="110"/>
      <c r="M685" s="128">
        <v>1800</v>
      </c>
      <c r="N685" s="129">
        <v>334</v>
      </c>
      <c r="O685" s="256">
        <f t="shared" si="81"/>
        <v>18.555555555555557</v>
      </c>
      <c r="P685" s="193"/>
      <c r="Q685" s="129"/>
      <c r="R685" s="200"/>
    </row>
    <row r="686" spans="1:18" s="327" customFormat="1" ht="24">
      <c r="A686" s="191">
        <v>4210</v>
      </c>
      <c r="B686" s="198" t="s">
        <v>356</v>
      </c>
      <c r="C686" s="128">
        <v>22500</v>
      </c>
      <c r="D686" s="104">
        <f t="shared" si="82"/>
        <v>28500</v>
      </c>
      <c r="E686" s="129">
        <f t="shared" si="83"/>
        <v>3199</v>
      </c>
      <c r="F686" s="105">
        <f t="shared" si="79"/>
        <v>11.224561403508773</v>
      </c>
      <c r="G686" s="128"/>
      <c r="H686" s="129"/>
      <c r="I686" s="416"/>
      <c r="J686" s="193"/>
      <c r="K686" s="129"/>
      <c r="L686" s="110"/>
      <c r="M686" s="128">
        <f>22500+6000</f>
        <v>28500</v>
      </c>
      <c r="N686" s="129">
        <v>3199</v>
      </c>
      <c r="O686" s="256">
        <f t="shared" si="81"/>
        <v>11.224561403508773</v>
      </c>
      <c r="P686" s="129"/>
      <c r="Q686" s="129"/>
      <c r="R686" s="200"/>
    </row>
    <row r="687" spans="1:18" s="327" customFormat="1" ht="36">
      <c r="A687" s="191">
        <v>4240</v>
      </c>
      <c r="B687" s="198" t="s">
        <v>691</v>
      </c>
      <c r="C687" s="128">
        <v>4000</v>
      </c>
      <c r="D687" s="104">
        <f t="shared" si="82"/>
        <v>4000</v>
      </c>
      <c r="E687" s="129">
        <f t="shared" si="83"/>
        <v>712</v>
      </c>
      <c r="F687" s="105">
        <f t="shared" si="79"/>
        <v>17.8</v>
      </c>
      <c r="G687" s="128"/>
      <c r="H687" s="129"/>
      <c r="I687" s="416"/>
      <c r="J687" s="193"/>
      <c r="K687" s="129"/>
      <c r="L687" s="110"/>
      <c r="M687" s="128">
        <v>4000</v>
      </c>
      <c r="N687" s="129">
        <v>712</v>
      </c>
      <c r="O687" s="256">
        <f t="shared" si="81"/>
        <v>17.8</v>
      </c>
      <c r="P687" s="129"/>
      <c r="Q687" s="129"/>
      <c r="R687" s="200"/>
    </row>
    <row r="688" spans="1:18" s="327" customFormat="1" ht="18.75" customHeight="1">
      <c r="A688" s="191">
        <v>4260</v>
      </c>
      <c r="B688" s="198" t="s">
        <v>360</v>
      </c>
      <c r="C688" s="128">
        <v>90000</v>
      </c>
      <c r="D688" s="104">
        <f t="shared" si="82"/>
        <v>90000</v>
      </c>
      <c r="E688" s="129">
        <f t="shared" si="83"/>
        <v>24161</v>
      </c>
      <c r="F688" s="105">
        <f t="shared" si="79"/>
        <v>26.845555555555556</v>
      </c>
      <c r="G688" s="128"/>
      <c r="H688" s="129"/>
      <c r="I688" s="416"/>
      <c r="J688" s="193"/>
      <c r="K688" s="129"/>
      <c r="L688" s="110"/>
      <c r="M688" s="128">
        <v>90000</v>
      </c>
      <c r="N688" s="129">
        <v>24161</v>
      </c>
      <c r="O688" s="256">
        <f t="shared" si="81"/>
        <v>26.845555555555556</v>
      </c>
      <c r="P688" s="129"/>
      <c r="Q688" s="129"/>
      <c r="R688" s="200"/>
    </row>
    <row r="689" spans="1:18" s="327" customFormat="1" ht="18.75" customHeight="1">
      <c r="A689" s="191">
        <v>4270</v>
      </c>
      <c r="B689" s="198" t="s">
        <v>362</v>
      </c>
      <c r="C689" s="128">
        <v>3900</v>
      </c>
      <c r="D689" s="104">
        <f t="shared" si="82"/>
        <v>3900</v>
      </c>
      <c r="E689" s="129">
        <f t="shared" si="83"/>
        <v>2238</v>
      </c>
      <c r="F689" s="105">
        <f t="shared" si="79"/>
        <v>57.38461538461539</v>
      </c>
      <c r="G689" s="128"/>
      <c r="H689" s="129"/>
      <c r="I689" s="416"/>
      <c r="J689" s="193"/>
      <c r="K689" s="129"/>
      <c r="L689" s="110"/>
      <c r="M689" s="128">
        <v>3900</v>
      </c>
      <c r="N689" s="129">
        <v>2238</v>
      </c>
      <c r="O689" s="256">
        <f t="shared" si="81"/>
        <v>57.38461538461539</v>
      </c>
      <c r="P689" s="129"/>
      <c r="Q689" s="129"/>
      <c r="R689" s="200"/>
    </row>
    <row r="690" spans="1:18" s="327" customFormat="1" ht="18.75" customHeight="1">
      <c r="A690" s="191">
        <v>4280</v>
      </c>
      <c r="B690" s="198" t="s">
        <v>458</v>
      </c>
      <c r="C690" s="128">
        <v>1500</v>
      </c>
      <c r="D690" s="104">
        <f t="shared" si="82"/>
        <v>1500</v>
      </c>
      <c r="E690" s="129">
        <f t="shared" si="83"/>
        <v>457</v>
      </c>
      <c r="F690" s="105">
        <f t="shared" si="79"/>
        <v>30.466666666666665</v>
      </c>
      <c r="G690" s="128"/>
      <c r="H690" s="129"/>
      <c r="I690" s="416"/>
      <c r="J690" s="193"/>
      <c r="K690" s="129"/>
      <c r="L690" s="110"/>
      <c r="M690" s="128">
        <v>1500</v>
      </c>
      <c r="N690" s="129">
        <v>457</v>
      </c>
      <c r="O690" s="256">
        <f t="shared" si="81"/>
        <v>30.466666666666665</v>
      </c>
      <c r="P690" s="129"/>
      <c r="Q690" s="129"/>
      <c r="R690" s="200"/>
    </row>
    <row r="691" spans="1:18" s="327" customFormat="1" ht="18.75" customHeight="1">
      <c r="A691" s="191">
        <v>4300</v>
      </c>
      <c r="B691" s="198" t="s">
        <v>364</v>
      </c>
      <c r="C691" s="128">
        <v>47000</v>
      </c>
      <c r="D691" s="104">
        <f t="shared" si="82"/>
        <v>51300</v>
      </c>
      <c r="E691" s="129">
        <f t="shared" si="83"/>
        <v>14418</v>
      </c>
      <c r="F691" s="105">
        <f t="shared" si="79"/>
        <v>28.10526315789474</v>
      </c>
      <c r="G691" s="128"/>
      <c r="H691" s="129"/>
      <c r="I691" s="416"/>
      <c r="J691" s="193"/>
      <c r="K691" s="129"/>
      <c r="L691" s="110"/>
      <c r="M691" s="128">
        <f>47000+4300</f>
        <v>51300</v>
      </c>
      <c r="N691" s="129">
        <v>14418</v>
      </c>
      <c r="O691" s="256">
        <f t="shared" si="81"/>
        <v>28.10526315789474</v>
      </c>
      <c r="P691" s="129"/>
      <c r="Q691" s="129"/>
      <c r="R691" s="200"/>
    </row>
    <row r="692" spans="1:18" s="327" customFormat="1" ht="24">
      <c r="A692" s="191">
        <v>4350</v>
      </c>
      <c r="B692" s="198" t="s">
        <v>460</v>
      </c>
      <c r="C692" s="128">
        <v>1000</v>
      </c>
      <c r="D692" s="104">
        <f t="shared" si="82"/>
        <v>1000</v>
      </c>
      <c r="E692" s="129">
        <f t="shared" si="83"/>
        <v>523</v>
      </c>
      <c r="F692" s="105">
        <f t="shared" si="79"/>
        <v>52.300000000000004</v>
      </c>
      <c r="G692" s="128"/>
      <c r="H692" s="129"/>
      <c r="I692" s="416"/>
      <c r="J692" s="193"/>
      <c r="K692" s="129"/>
      <c r="L692" s="110"/>
      <c r="M692" s="128">
        <v>1000</v>
      </c>
      <c r="N692" s="129">
        <v>523</v>
      </c>
      <c r="O692" s="256">
        <f t="shared" si="81"/>
        <v>52.300000000000004</v>
      </c>
      <c r="P692" s="129"/>
      <c r="Q692" s="129"/>
      <c r="R692" s="200"/>
    </row>
    <row r="693" spans="1:18" s="327" customFormat="1" ht="48">
      <c r="A693" s="267">
        <v>4360</v>
      </c>
      <c r="B693" s="291" t="s">
        <v>635</v>
      </c>
      <c r="C693" s="128">
        <v>300</v>
      </c>
      <c r="D693" s="104">
        <f t="shared" si="82"/>
        <v>400</v>
      </c>
      <c r="E693" s="129">
        <f>SUM(H693+K693+N693+Q693)</f>
        <v>117</v>
      </c>
      <c r="F693" s="105">
        <f>E693/D693*100</f>
        <v>29.25</v>
      </c>
      <c r="G693" s="128"/>
      <c r="H693" s="129"/>
      <c r="I693" s="416"/>
      <c r="J693" s="193"/>
      <c r="K693" s="129"/>
      <c r="L693" s="110"/>
      <c r="M693" s="128">
        <f>300+100</f>
        <v>400</v>
      </c>
      <c r="N693" s="129">
        <v>117</v>
      </c>
      <c r="O693" s="256">
        <f t="shared" si="81"/>
        <v>29.25</v>
      </c>
      <c r="P693" s="129"/>
      <c r="Q693" s="129"/>
      <c r="R693" s="200"/>
    </row>
    <row r="694" spans="1:18" s="327" customFormat="1" ht="48">
      <c r="A694" s="267">
        <v>4370</v>
      </c>
      <c r="B694" s="291" t="s">
        <v>577</v>
      </c>
      <c r="C694" s="128">
        <v>2300</v>
      </c>
      <c r="D694" s="104">
        <f t="shared" si="82"/>
        <v>2300</v>
      </c>
      <c r="E694" s="129">
        <f>SUM(H694+K694+N694+Q694)</f>
        <v>498</v>
      </c>
      <c r="F694" s="105">
        <f>E694/D694*100</f>
        <v>21.65217391304348</v>
      </c>
      <c r="G694" s="128"/>
      <c r="H694" s="129"/>
      <c r="I694" s="416"/>
      <c r="J694" s="193"/>
      <c r="K694" s="129"/>
      <c r="L694" s="110"/>
      <c r="M694" s="128">
        <v>2300</v>
      </c>
      <c r="N694" s="129">
        <v>498</v>
      </c>
      <c r="O694" s="256">
        <f t="shared" si="81"/>
        <v>21.65217391304348</v>
      </c>
      <c r="P694" s="129"/>
      <c r="Q694" s="129"/>
      <c r="R694" s="200"/>
    </row>
    <row r="695" spans="1:18" s="327" customFormat="1" ht="36">
      <c r="A695" s="191">
        <v>4390</v>
      </c>
      <c r="B695" s="305" t="s">
        <v>393</v>
      </c>
      <c r="C695" s="128">
        <v>3000</v>
      </c>
      <c r="D695" s="104">
        <f t="shared" si="82"/>
        <v>3000</v>
      </c>
      <c r="E695" s="129">
        <f>SUM(H695+K695+N695+Q695)</f>
        <v>1000</v>
      </c>
      <c r="F695" s="105">
        <f>E695/D695*100</f>
        <v>33.33333333333333</v>
      </c>
      <c r="G695" s="128"/>
      <c r="H695" s="129"/>
      <c r="I695" s="416"/>
      <c r="J695" s="193"/>
      <c r="K695" s="129"/>
      <c r="L695" s="110"/>
      <c r="M695" s="128">
        <v>3000</v>
      </c>
      <c r="N695" s="129">
        <v>1000</v>
      </c>
      <c r="O695" s="256">
        <f t="shared" si="81"/>
        <v>33.33333333333333</v>
      </c>
      <c r="P695" s="129"/>
      <c r="Q695" s="129"/>
      <c r="R695" s="200"/>
    </row>
    <row r="696" spans="1:18" s="327" customFormat="1" ht="18.75" customHeight="1">
      <c r="A696" s="191">
        <v>4410</v>
      </c>
      <c r="B696" s="198" t="s">
        <v>338</v>
      </c>
      <c r="C696" s="128">
        <v>1700</v>
      </c>
      <c r="D696" s="104">
        <f t="shared" si="82"/>
        <v>1700</v>
      </c>
      <c r="E696" s="129">
        <f t="shared" si="83"/>
        <v>450</v>
      </c>
      <c r="F696" s="105">
        <f t="shared" si="79"/>
        <v>26.47058823529412</v>
      </c>
      <c r="G696" s="128"/>
      <c r="H696" s="129"/>
      <c r="I696" s="416"/>
      <c r="J696" s="193"/>
      <c r="K696" s="129"/>
      <c r="L696" s="110"/>
      <c r="M696" s="128">
        <v>1700</v>
      </c>
      <c r="N696" s="129">
        <v>450</v>
      </c>
      <c r="O696" s="256">
        <f t="shared" si="81"/>
        <v>26.47058823529412</v>
      </c>
      <c r="P696" s="129"/>
      <c r="Q696" s="129"/>
      <c r="R696" s="200"/>
    </row>
    <row r="697" spans="1:18" s="327" customFormat="1" ht="12.75">
      <c r="A697" s="191">
        <v>4440</v>
      </c>
      <c r="B697" s="259" t="s">
        <v>368</v>
      </c>
      <c r="C697" s="128">
        <v>74300</v>
      </c>
      <c r="D697" s="104">
        <f t="shared" si="82"/>
        <v>80000</v>
      </c>
      <c r="E697" s="129">
        <f t="shared" si="83"/>
        <v>25915</v>
      </c>
      <c r="F697" s="105">
        <f t="shared" si="79"/>
        <v>32.39375</v>
      </c>
      <c r="G697" s="128"/>
      <c r="H697" s="129"/>
      <c r="I697" s="416"/>
      <c r="J697" s="193"/>
      <c r="K697" s="129"/>
      <c r="L697" s="110"/>
      <c r="M697" s="128">
        <f>74300+5700</f>
        <v>80000</v>
      </c>
      <c r="N697" s="129">
        <v>25915</v>
      </c>
      <c r="O697" s="256">
        <f t="shared" si="81"/>
        <v>32.39375</v>
      </c>
      <c r="P697" s="129"/>
      <c r="Q697" s="129"/>
      <c r="R697" s="200"/>
    </row>
    <row r="698" spans="1:18" s="327" customFormat="1" ht="36">
      <c r="A698" s="267">
        <v>4700</v>
      </c>
      <c r="B698" s="291" t="s">
        <v>466</v>
      </c>
      <c r="C698" s="128">
        <v>2300</v>
      </c>
      <c r="D698" s="104">
        <f t="shared" si="82"/>
        <v>2300</v>
      </c>
      <c r="E698" s="129">
        <f>SUM(H698+K698+N698+Q698)</f>
        <v>377</v>
      </c>
      <c r="F698" s="105">
        <f>E698/D698*100</f>
        <v>16.391304347826086</v>
      </c>
      <c r="G698" s="128"/>
      <c r="H698" s="129"/>
      <c r="I698" s="416"/>
      <c r="J698" s="193"/>
      <c r="K698" s="129"/>
      <c r="L698" s="110"/>
      <c r="M698" s="128">
        <v>2300</v>
      </c>
      <c r="N698" s="129">
        <v>377</v>
      </c>
      <c r="O698" s="256">
        <f t="shared" si="81"/>
        <v>16.391304347826086</v>
      </c>
      <c r="P698" s="129"/>
      <c r="Q698" s="129"/>
      <c r="R698" s="200"/>
    </row>
    <row r="699" spans="1:18" s="327" customFormat="1" ht="60">
      <c r="A699" s="267">
        <v>4740</v>
      </c>
      <c r="B699" s="291" t="s">
        <v>380</v>
      </c>
      <c r="C699" s="128">
        <v>1500</v>
      </c>
      <c r="D699" s="104">
        <f t="shared" si="82"/>
        <v>1500</v>
      </c>
      <c r="E699" s="129">
        <f>SUM(H699+K699+N699+Q699)</f>
        <v>56</v>
      </c>
      <c r="F699" s="105">
        <f>E699/D699*100</f>
        <v>3.733333333333334</v>
      </c>
      <c r="G699" s="128"/>
      <c r="H699" s="129"/>
      <c r="I699" s="416"/>
      <c r="J699" s="193"/>
      <c r="K699" s="129"/>
      <c r="L699" s="110"/>
      <c r="M699" s="128">
        <v>1500</v>
      </c>
      <c r="N699" s="129">
        <v>56</v>
      </c>
      <c r="O699" s="256">
        <f t="shared" si="81"/>
        <v>3.733333333333334</v>
      </c>
      <c r="P699" s="129"/>
      <c r="Q699" s="129"/>
      <c r="R699" s="200"/>
    </row>
    <row r="700" spans="1:18" s="327" customFormat="1" ht="36">
      <c r="A700" s="267">
        <v>4750</v>
      </c>
      <c r="B700" s="291" t="s">
        <v>467</v>
      </c>
      <c r="C700" s="128">
        <v>4000</v>
      </c>
      <c r="D700" s="104">
        <f t="shared" si="82"/>
        <v>4000</v>
      </c>
      <c r="E700" s="129">
        <f t="shared" si="83"/>
        <v>540</v>
      </c>
      <c r="F700" s="105">
        <f t="shared" si="79"/>
        <v>13.5</v>
      </c>
      <c r="G700" s="128"/>
      <c r="H700" s="129"/>
      <c r="I700" s="416"/>
      <c r="J700" s="193"/>
      <c r="K700" s="129"/>
      <c r="L700" s="110"/>
      <c r="M700" s="128">
        <v>4000</v>
      </c>
      <c r="N700" s="129">
        <v>540</v>
      </c>
      <c r="O700" s="256">
        <f t="shared" si="81"/>
        <v>13.5</v>
      </c>
      <c r="P700" s="129"/>
      <c r="Q700" s="129"/>
      <c r="R700" s="200"/>
    </row>
    <row r="701" spans="1:18" s="327" customFormat="1" ht="60">
      <c r="A701" s="239">
        <v>80114</v>
      </c>
      <c r="B701" s="296" t="s">
        <v>692</v>
      </c>
      <c r="C701" s="136">
        <f>SUM(C702:C721)</f>
        <v>1600600</v>
      </c>
      <c r="D701" s="137">
        <f t="shared" si="82"/>
        <v>1602150</v>
      </c>
      <c r="E701" s="137">
        <f t="shared" si="83"/>
        <v>454996</v>
      </c>
      <c r="F701" s="138">
        <f t="shared" si="79"/>
        <v>28.39908872452642</v>
      </c>
      <c r="G701" s="136">
        <f>SUM(G702:G721)</f>
        <v>1602150</v>
      </c>
      <c r="H701" s="137">
        <f>SUM(H702:H721)</f>
        <v>454996</v>
      </c>
      <c r="I701" s="427">
        <f>H701/G701*100</f>
        <v>28.39908872452642</v>
      </c>
      <c r="J701" s="140"/>
      <c r="K701" s="137"/>
      <c r="L701" s="125"/>
      <c r="M701" s="136"/>
      <c r="N701" s="137"/>
      <c r="O701" s="396"/>
      <c r="P701" s="137"/>
      <c r="Q701" s="137"/>
      <c r="R701" s="266"/>
    </row>
    <row r="702" spans="1:18" s="327" customFormat="1" ht="36">
      <c r="A702" s="191">
        <v>3020</v>
      </c>
      <c r="B702" s="198" t="s">
        <v>677</v>
      </c>
      <c r="C702" s="132">
        <v>300</v>
      </c>
      <c r="D702" s="104">
        <f t="shared" si="82"/>
        <v>300</v>
      </c>
      <c r="E702" s="129">
        <f t="shared" si="83"/>
        <v>150</v>
      </c>
      <c r="F702" s="105">
        <f t="shared" si="79"/>
        <v>50</v>
      </c>
      <c r="G702" s="132">
        <v>300</v>
      </c>
      <c r="H702" s="150">
        <v>150</v>
      </c>
      <c r="I702" s="416">
        <f>H702/G702*100</f>
        <v>50</v>
      </c>
      <c r="J702" s="223"/>
      <c r="K702" s="150"/>
      <c r="L702" s="154"/>
      <c r="M702" s="132"/>
      <c r="N702" s="150"/>
      <c r="O702" s="222"/>
      <c r="P702" s="150"/>
      <c r="Q702" s="150"/>
      <c r="R702" s="226"/>
    </row>
    <row r="703" spans="1:18" s="327" customFormat="1" ht="24">
      <c r="A703" s="191">
        <v>4010</v>
      </c>
      <c r="B703" s="198" t="s">
        <v>626</v>
      </c>
      <c r="C703" s="128">
        <v>625400</v>
      </c>
      <c r="D703" s="104">
        <f t="shared" si="82"/>
        <v>625400</v>
      </c>
      <c r="E703" s="129">
        <f t="shared" si="83"/>
        <v>147748</v>
      </c>
      <c r="F703" s="105">
        <f t="shared" si="79"/>
        <v>23.62456028141989</v>
      </c>
      <c r="G703" s="128">
        <v>625400</v>
      </c>
      <c r="H703" s="129">
        <v>147748</v>
      </c>
      <c r="I703" s="416">
        <f>H703/G703*100</f>
        <v>23.62456028141989</v>
      </c>
      <c r="J703" s="193"/>
      <c r="K703" s="129"/>
      <c r="L703" s="110"/>
      <c r="M703" s="128"/>
      <c r="N703" s="129"/>
      <c r="O703" s="256"/>
      <c r="P703" s="129"/>
      <c r="Q703" s="129"/>
      <c r="R703" s="200"/>
    </row>
    <row r="704" spans="1:18" s="327" customFormat="1" ht="24">
      <c r="A704" s="191">
        <v>4040</v>
      </c>
      <c r="B704" s="198" t="s">
        <v>350</v>
      </c>
      <c r="C704" s="128">
        <v>48600</v>
      </c>
      <c r="D704" s="104">
        <f t="shared" si="82"/>
        <v>48950</v>
      </c>
      <c r="E704" s="129">
        <f t="shared" si="83"/>
        <v>48946</v>
      </c>
      <c r="F704" s="105">
        <f t="shared" si="79"/>
        <v>99.99182839632277</v>
      </c>
      <c r="G704" s="128">
        <f>48600+350</f>
        <v>48950</v>
      </c>
      <c r="H704" s="129">
        <v>48946</v>
      </c>
      <c r="I704" s="416">
        <f aca="true" t="shared" si="84" ref="I704:I721">H704/G704*100</f>
        <v>99.99182839632277</v>
      </c>
      <c r="J704" s="193"/>
      <c r="K704" s="129"/>
      <c r="L704" s="110"/>
      <c r="M704" s="128"/>
      <c r="N704" s="129"/>
      <c r="O704" s="256"/>
      <c r="P704" s="129"/>
      <c r="Q704" s="129"/>
      <c r="R704" s="200"/>
    </row>
    <row r="705" spans="1:18" s="327" customFormat="1" ht="24">
      <c r="A705" s="191">
        <v>4110</v>
      </c>
      <c r="B705" s="198" t="s">
        <v>352</v>
      </c>
      <c r="C705" s="128">
        <v>90600</v>
      </c>
      <c r="D705" s="104">
        <f t="shared" si="82"/>
        <v>90600</v>
      </c>
      <c r="E705" s="129">
        <f t="shared" si="83"/>
        <v>25402</v>
      </c>
      <c r="F705" s="105">
        <f t="shared" si="79"/>
        <v>28.037527593818982</v>
      </c>
      <c r="G705" s="128">
        <v>90600</v>
      </c>
      <c r="H705" s="129">
        <v>25402</v>
      </c>
      <c r="I705" s="416">
        <f t="shared" si="84"/>
        <v>28.037527593818982</v>
      </c>
      <c r="J705" s="193"/>
      <c r="K705" s="129"/>
      <c r="L705" s="110"/>
      <c r="M705" s="128"/>
      <c r="N705" s="129"/>
      <c r="O705" s="256"/>
      <c r="P705" s="129"/>
      <c r="Q705" s="129"/>
      <c r="R705" s="200"/>
    </row>
    <row r="706" spans="1:18" s="327" customFormat="1" ht="12.75">
      <c r="A706" s="191">
        <v>4120</v>
      </c>
      <c r="B706" s="198" t="s">
        <v>504</v>
      </c>
      <c r="C706" s="128">
        <v>15600</v>
      </c>
      <c r="D706" s="104">
        <f t="shared" si="82"/>
        <v>15600</v>
      </c>
      <c r="E706" s="129">
        <f t="shared" si="83"/>
        <v>3575</v>
      </c>
      <c r="F706" s="105">
        <f t="shared" si="79"/>
        <v>22.916666666666664</v>
      </c>
      <c r="G706" s="128">
        <v>15600</v>
      </c>
      <c r="H706" s="129">
        <v>3575</v>
      </c>
      <c r="I706" s="416">
        <f t="shared" si="84"/>
        <v>22.916666666666664</v>
      </c>
      <c r="J706" s="193"/>
      <c r="K706" s="129"/>
      <c r="L706" s="110"/>
      <c r="M706" s="128"/>
      <c r="N706" s="129"/>
      <c r="O706" s="256"/>
      <c r="P706" s="129"/>
      <c r="Q706" s="129"/>
      <c r="R706" s="200"/>
    </row>
    <row r="707" spans="1:18" s="327" customFormat="1" ht="24" hidden="1">
      <c r="A707" s="191">
        <v>4170</v>
      </c>
      <c r="B707" s="198" t="s">
        <v>392</v>
      </c>
      <c r="C707" s="128"/>
      <c r="D707" s="104">
        <f t="shared" si="82"/>
        <v>0</v>
      </c>
      <c r="E707" s="129">
        <f t="shared" si="83"/>
        <v>0</v>
      </c>
      <c r="F707" s="105" t="e">
        <f t="shared" si="79"/>
        <v>#DIV/0!</v>
      </c>
      <c r="G707" s="128"/>
      <c r="H707" s="129"/>
      <c r="I707" s="416" t="e">
        <f t="shared" si="84"/>
        <v>#DIV/0!</v>
      </c>
      <c r="J707" s="193"/>
      <c r="K707" s="129"/>
      <c r="L707" s="110"/>
      <c r="M707" s="128"/>
      <c r="N707" s="129"/>
      <c r="O707" s="256"/>
      <c r="P707" s="129"/>
      <c r="Q707" s="129"/>
      <c r="R707" s="200"/>
    </row>
    <row r="708" spans="1:18" s="327" customFormat="1" ht="24">
      <c r="A708" s="191">
        <v>4210</v>
      </c>
      <c r="B708" s="198" t="s">
        <v>356</v>
      </c>
      <c r="C708" s="128">
        <v>23900</v>
      </c>
      <c r="D708" s="104">
        <f t="shared" si="82"/>
        <v>24400</v>
      </c>
      <c r="E708" s="129">
        <f t="shared" si="83"/>
        <v>3419</v>
      </c>
      <c r="F708" s="105">
        <f aca="true" t="shared" si="85" ref="F708:F771">E708/D708*100</f>
        <v>14.012295081967213</v>
      </c>
      <c r="G708" s="128">
        <f>23900+500</f>
        <v>24400</v>
      </c>
      <c r="H708" s="129">
        <v>3419</v>
      </c>
      <c r="I708" s="416">
        <f t="shared" si="84"/>
        <v>14.012295081967213</v>
      </c>
      <c r="J708" s="193"/>
      <c r="K708" s="129"/>
      <c r="L708" s="110"/>
      <c r="M708" s="128"/>
      <c r="N708" s="129"/>
      <c r="O708" s="256"/>
      <c r="P708" s="129"/>
      <c r="Q708" s="129"/>
      <c r="R708" s="200"/>
    </row>
    <row r="709" spans="1:18" s="327" customFormat="1" ht="12.75">
      <c r="A709" s="191">
        <v>4260</v>
      </c>
      <c r="B709" s="198" t="s">
        <v>360</v>
      </c>
      <c r="C709" s="128">
        <v>12100</v>
      </c>
      <c r="D709" s="104">
        <f t="shared" si="82"/>
        <v>12100</v>
      </c>
      <c r="E709" s="129">
        <f t="shared" si="83"/>
        <v>2007</v>
      </c>
      <c r="F709" s="105">
        <f t="shared" si="85"/>
        <v>16.58677685950413</v>
      </c>
      <c r="G709" s="128">
        <v>12100</v>
      </c>
      <c r="H709" s="129">
        <v>2007</v>
      </c>
      <c r="I709" s="416">
        <f t="shared" si="84"/>
        <v>16.58677685950413</v>
      </c>
      <c r="J709" s="193"/>
      <c r="K709" s="129"/>
      <c r="L709" s="110"/>
      <c r="M709" s="128"/>
      <c r="N709" s="129"/>
      <c r="O709" s="256"/>
      <c r="P709" s="129"/>
      <c r="Q709" s="129"/>
      <c r="R709" s="200"/>
    </row>
    <row r="710" spans="1:18" s="327" customFormat="1" ht="24">
      <c r="A710" s="191">
        <v>4270</v>
      </c>
      <c r="B710" s="198" t="s">
        <v>362</v>
      </c>
      <c r="C710" s="128">
        <v>300000</v>
      </c>
      <c r="D710" s="104">
        <f t="shared" si="82"/>
        <v>300000</v>
      </c>
      <c r="E710" s="129">
        <f t="shared" si="83"/>
        <v>57941</v>
      </c>
      <c r="F710" s="105">
        <f t="shared" si="85"/>
        <v>19.313666666666666</v>
      </c>
      <c r="G710" s="128">
        <v>300000</v>
      </c>
      <c r="H710" s="129">
        <v>57941</v>
      </c>
      <c r="I710" s="416">
        <f t="shared" si="84"/>
        <v>19.313666666666666</v>
      </c>
      <c r="J710" s="193"/>
      <c r="K710" s="129"/>
      <c r="L710" s="110"/>
      <c r="M710" s="128"/>
      <c r="N710" s="129"/>
      <c r="O710" s="256"/>
      <c r="P710" s="129"/>
      <c r="Q710" s="129"/>
      <c r="R710" s="200"/>
    </row>
    <row r="711" spans="1:18" s="327" customFormat="1" ht="24">
      <c r="A711" s="191">
        <v>4280</v>
      </c>
      <c r="B711" s="198" t="s">
        <v>458</v>
      </c>
      <c r="C711" s="128">
        <v>200</v>
      </c>
      <c r="D711" s="104">
        <f t="shared" si="82"/>
        <v>200</v>
      </c>
      <c r="E711" s="129">
        <f t="shared" si="83"/>
        <v>0</v>
      </c>
      <c r="F711" s="105">
        <f t="shared" si="85"/>
        <v>0</v>
      </c>
      <c r="G711" s="128">
        <v>200</v>
      </c>
      <c r="H711" s="129"/>
      <c r="I711" s="416">
        <f t="shared" si="84"/>
        <v>0</v>
      </c>
      <c r="J711" s="193"/>
      <c r="K711" s="129"/>
      <c r="L711" s="110"/>
      <c r="M711" s="128"/>
      <c r="N711" s="129"/>
      <c r="O711" s="256"/>
      <c r="P711" s="129"/>
      <c r="Q711" s="129"/>
      <c r="R711" s="200"/>
    </row>
    <row r="712" spans="1:18" s="327" customFormat="1" ht="24">
      <c r="A712" s="191">
        <v>4300</v>
      </c>
      <c r="B712" s="198" t="s">
        <v>385</v>
      </c>
      <c r="C712" s="128">
        <v>27800</v>
      </c>
      <c r="D712" s="104">
        <f t="shared" si="82"/>
        <v>27800</v>
      </c>
      <c r="E712" s="129">
        <f t="shared" si="83"/>
        <v>6325</v>
      </c>
      <c r="F712" s="105">
        <f t="shared" si="85"/>
        <v>22.75179856115108</v>
      </c>
      <c r="G712" s="128">
        <v>27800</v>
      </c>
      <c r="H712" s="129">
        <v>6325</v>
      </c>
      <c r="I712" s="416">
        <f t="shared" si="84"/>
        <v>22.75179856115108</v>
      </c>
      <c r="J712" s="193"/>
      <c r="K712" s="129"/>
      <c r="L712" s="110"/>
      <c r="M712" s="128"/>
      <c r="N712" s="129"/>
      <c r="O712" s="256"/>
      <c r="P712" s="129"/>
      <c r="Q712" s="129"/>
      <c r="R712" s="200"/>
    </row>
    <row r="713" spans="1:18" s="327" customFormat="1" ht="24">
      <c r="A713" s="191">
        <v>4350</v>
      </c>
      <c r="B713" s="198" t="s">
        <v>460</v>
      </c>
      <c r="C713" s="128">
        <v>2300</v>
      </c>
      <c r="D713" s="104">
        <f t="shared" si="82"/>
        <v>2300</v>
      </c>
      <c r="E713" s="129">
        <f t="shared" si="83"/>
        <v>498</v>
      </c>
      <c r="F713" s="105">
        <f t="shared" si="85"/>
        <v>21.65217391304348</v>
      </c>
      <c r="G713" s="128">
        <v>2300</v>
      </c>
      <c r="H713" s="129">
        <v>498</v>
      </c>
      <c r="I713" s="416">
        <f t="shared" si="84"/>
        <v>21.65217391304348</v>
      </c>
      <c r="J713" s="193"/>
      <c r="K713" s="129"/>
      <c r="L713" s="110"/>
      <c r="M713" s="128"/>
      <c r="N713" s="129"/>
      <c r="O713" s="256"/>
      <c r="P713" s="129"/>
      <c r="Q713" s="129"/>
      <c r="R713" s="200"/>
    </row>
    <row r="714" spans="1:18" s="327" customFormat="1" ht="48">
      <c r="A714" s="267">
        <v>4370</v>
      </c>
      <c r="B714" s="291" t="s">
        <v>577</v>
      </c>
      <c r="C714" s="128">
        <v>7700</v>
      </c>
      <c r="D714" s="104">
        <f t="shared" si="82"/>
        <v>7700</v>
      </c>
      <c r="E714" s="129">
        <f t="shared" si="83"/>
        <v>1548</v>
      </c>
      <c r="F714" s="105">
        <f t="shared" si="85"/>
        <v>20.103896103896105</v>
      </c>
      <c r="G714" s="128">
        <v>7700</v>
      </c>
      <c r="H714" s="129">
        <v>1548</v>
      </c>
      <c r="I714" s="416">
        <f t="shared" si="84"/>
        <v>20.103896103896105</v>
      </c>
      <c r="J714" s="193"/>
      <c r="K714" s="129"/>
      <c r="L714" s="110"/>
      <c r="M714" s="128"/>
      <c r="N714" s="129"/>
      <c r="O714" s="256"/>
      <c r="P714" s="129"/>
      <c r="Q714" s="129"/>
      <c r="R714" s="200"/>
    </row>
    <row r="715" spans="1:18" s="327" customFormat="1" ht="24">
      <c r="A715" s="191">
        <v>4410</v>
      </c>
      <c r="B715" s="198" t="s">
        <v>338</v>
      </c>
      <c r="C715" s="128">
        <v>3300</v>
      </c>
      <c r="D715" s="104">
        <f t="shared" si="82"/>
        <v>3300</v>
      </c>
      <c r="E715" s="129">
        <f t="shared" si="83"/>
        <v>501</v>
      </c>
      <c r="F715" s="105">
        <f t="shared" si="85"/>
        <v>15.181818181818182</v>
      </c>
      <c r="G715" s="128">
        <v>3300</v>
      </c>
      <c r="H715" s="129">
        <v>501</v>
      </c>
      <c r="I715" s="416">
        <f t="shared" si="84"/>
        <v>15.181818181818182</v>
      </c>
      <c r="J715" s="193"/>
      <c r="K715" s="129"/>
      <c r="L715" s="110"/>
      <c r="M715" s="128"/>
      <c r="N715" s="129"/>
      <c r="O715" s="256"/>
      <c r="P715" s="129"/>
      <c r="Q715" s="129"/>
      <c r="R715" s="200"/>
    </row>
    <row r="716" spans="1:18" s="327" customFormat="1" ht="12.75">
      <c r="A716" s="191">
        <v>4430</v>
      </c>
      <c r="B716" s="198" t="s">
        <v>366</v>
      </c>
      <c r="C716" s="128">
        <v>900</v>
      </c>
      <c r="D716" s="104">
        <f t="shared" si="82"/>
        <v>900</v>
      </c>
      <c r="E716" s="129">
        <f t="shared" si="83"/>
        <v>440</v>
      </c>
      <c r="F716" s="105">
        <f t="shared" si="85"/>
        <v>48.888888888888886</v>
      </c>
      <c r="G716" s="128">
        <v>900</v>
      </c>
      <c r="H716" s="129">
        <v>440</v>
      </c>
      <c r="I716" s="416">
        <f t="shared" si="84"/>
        <v>48.888888888888886</v>
      </c>
      <c r="J716" s="193"/>
      <c r="K716" s="129"/>
      <c r="L716" s="110"/>
      <c r="M716" s="128"/>
      <c r="N716" s="129"/>
      <c r="O716" s="256"/>
      <c r="P716" s="129"/>
      <c r="Q716" s="129"/>
      <c r="R716" s="200"/>
    </row>
    <row r="717" spans="1:18" s="327" customFormat="1" ht="12.75">
      <c r="A717" s="191">
        <v>4440</v>
      </c>
      <c r="B717" s="198" t="s">
        <v>368</v>
      </c>
      <c r="C717" s="128">
        <v>15500</v>
      </c>
      <c r="D717" s="104">
        <f t="shared" si="82"/>
        <v>16200</v>
      </c>
      <c r="E717" s="129">
        <f t="shared" si="83"/>
        <v>0</v>
      </c>
      <c r="F717" s="105">
        <f t="shared" si="85"/>
        <v>0</v>
      </c>
      <c r="G717" s="128">
        <f>15500+700</f>
        <v>16200</v>
      </c>
      <c r="H717" s="129"/>
      <c r="I717" s="416">
        <f t="shared" si="84"/>
        <v>0</v>
      </c>
      <c r="J717" s="193"/>
      <c r="K717" s="129"/>
      <c r="L717" s="110"/>
      <c r="M717" s="128"/>
      <c r="N717" s="129"/>
      <c r="O717" s="256"/>
      <c r="P717" s="129"/>
      <c r="Q717" s="129"/>
      <c r="R717" s="200"/>
    </row>
    <row r="718" spans="1:18" s="327" customFormat="1" ht="36">
      <c r="A718" s="267">
        <v>4700</v>
      </c>
      <c r="B718" s="291" t="s">
        <v>466</v>
      </c>
      <c r="C718" s="128">
        <v>3000</v>
      </c>
      <c r="D718" s="104">
        <f t="shared" si="82"/>
        <v>3000</v>
      </c>
      <c r="E718" s="129">
        <f t="shared" si="83"/>
        <v>1500</v>
      </c>
      <c r="F718" s="105">
        <f t="shared" si="85"/>
        <v>50</v>
      </c>
      <c r="G718" s="128">
        <v>3000</v>
      </c>
      <c r="H718" s="129">
        <v>1500</v>
      </c>
      <c r="I718" s="416">
        <f t="shared" si="84"/>
        <v>50</v>
      </c>
      <c r="J718" s="193"/>
      <c r="K718" s="129"/>
      <c r="L718" s="110"/>
      <c r="M718" s="128"/>
      <c r="N718" s="129"/>
      <c r="O718" s="256"/>
      <c r="P718" s="129"/>
      <c r="Q718" s="129"/>
      <c r="R718" s="200"/>
    </row>
    <row r="719" spans="1:18" s="327" customFormat="1" ht="60">
      <c r="A719" s="267">
        <v>4740</v>
      </c>
      <c r="B719" s="291" t="s">
        <v>380</v>
      </c>
      <c r="C719" s="128">
        <v>3300</v>
      </c>
      <c r="D719" s="104">
        <f t="shared" si="82"/>
        <v>3300</v>
      </c>
      <c r="E719" s="129">
        <f t="shared" si="83"/>
        <v>702</v>
      </c>
      <c r="F719" s="105">
        <f t="shared" si="85"/>
        <v>21.272727272727273</v>
      </c>
      <c r="G719" s="128">
        <v>3300</v>
      </c>
      <c r="H719" s="129">
        <v>702</v>
      </c>
      <c r="I719" s="416">
        <f t="shared" si="84"/>
        <v>21.272727272727273</v>
      </c>
      <c r="J719" s="193"/>
      <c r="K719" s="129"/>
      <c r="L719" s="110"/>
      <c r="M719" s="128"/>
      <c r="N719" s="129"/>
      <c r="O719" s="256"/>
      <c r="P719" s="129"/>
      <c r="Q719" s="129"/>
      <c r="R719" s="200"/>
    </row>
    <row r="720" spans="1:18" s="327" customFormat="1" ht="36">
      <c r="A720" s="267">
        <v>4750</v>
      </c>
      <c r="B720" s="291" t="s">
        <v>467</v>
      </c>
      <c r="C720" s="128">
        <v>20100</v>
      </c>
      <c r="D720" s="104">
        <f t="shared" si="82"/>
        <v>20100</v>
      </c>
      <c r="E720" s="129">
        <f t="shared" si="83"/>
        <v>11590</v>
      </c>
      <c r="F720" s="105">
        <f t="shared" si="85"/>
        <v>57.661691542288565</v>
      </c>
      <c r="G720" s="128">
        <v>20100</v>
      </c>
      <c r="H720" s="129">
        <v>11590</v>
      </c>
      <c r="I720" s="416">
        <f t="shared" si="84"/>
        <v>57.661691542288565</v>
      </c>
      <c r="J720" s="193"/>
      <c r="K720" s="129"/>
      <c r="L720" s="110"/>
      <c r="M720" s="128"/>
      <c r="N720" s="129"/>
      <c r="O720" s="256"/>
      <c r="P720" s="129"/>
      <c r="Q720" s="129"/>
      <c r="R720" s="200"/>
    </row>
    <row r="721" spans="1:18" s="327" customFormat="1" ht="48">
      <c r="A721" s="191">
        <v>6050</v>
      </c>
      <c r="B721" s="259" t="s">
        <v>693</v>
      </c>
      <c r="C721" s="229">
        <v>400000</v>
      </c>
      <c r="D721" s="104">
        <f t="shared" si="82"/>
        <v>400000</v>
      </c>
      <c r="E721" s="129">
        <f t="shared" si="83"/>
        <v>142704</v>
      </c>
      <c r="F721" s="105">
        <f t="shared" si="85"/>
        <v>35.676</v>
      </c>
      <c r="G721" s="229">
        <v>400000</v>
      </c>
      <c r="H721" s="236">
        <v>142704</v>
      </c>
      <c r="I721" s="416">
        <f t="shared" si="84"/>
        <v>35.676</v>
      </c>
      <c r="J721" s="233"/>
      <c r="K721" s="236"/>
      <c r="L721" s="319"/>
      <c r="M721" s="229"/>
      <c r="N721" s="236"/>
      <c r="O721" s="232"/>
      <c r="P721" s="236"/>
      <c r="Q721" s="236"/>
      <c r="R721" s="238"/>
    </row>
    <row r="722" spans="1:18" s="327" customFormat="1" ht="15.75" customHeight="1">
      <c r="A722" s="186">
        <v>80120</v>
      </c>
      <c r="B722" s="294" t="s">
        <v>694</v>
      </c>
      <c r="C722" s="188">
        <f>SUM(C723:C749)</f>
        <v>13611650</v>
      </c>
      <c r="D722" s="137">
        <f>G722+J722+P722+M722</f>
        <v>13611793</v>
      </c>
      <c r="E722" s="119">
        <f>H722+K722+Q722+N722</f>
        <v>3615944</v>
      </c>
      <c r="F722" s="120">
        <f t="shared" si="85"/>
        <v>26.56478834199139</v>
      </c>
      <c r="G722" s="344"/>
      <c r="H722" s="345"/>
      <c r="I722" s="417"/>
      <c r="J722" s="346"/>
      <c r="K722" s="345"/>
      <c r="L722" s="347"/>
      <c r="M722" s="188">
        <f>SUM(M723:M749)</f>
        <v>13611793</v>
      </c>
      <c r="N722" s="119">
        <f>SUM(N723:N749)</f>
        <v>3615944</v>
      </c>
      <c r="O722" s="214">
        <f t="shared" si="81"/>
        <v>26.56478834199139</v>
      </c>
      <c r="P722" s="119"/>
      <c r="Q722" s="119"/>
      <c r="R722" s="283"/>
    </row>
    <row r="723" spans="1:18" s="327" customFormat="1" ht="48">
      <c r="A723" s="191">
        <v>2540</v>
      </c>
      <c r="B723" s="198" t="s">
        <v>676</v>
      </c>
      <c r="C723" s="128">
        <v>1700000</v>
      </c>
      <c r="D723" s="104">
        <f>G723+J723+P723+M723</f>
        <v>1700000</v>
      </c>
      <c r="E723" s="129">
        <f aca="true" t="shared" si="86" ref="E723:E749">SUM(H723+K723+N723+Q723)</f>
        <v>438863</v>
      </c>
      <c r="F723" s="105">
        <f t="shared" si="85"/>
        <v>25.815470588235296</v>
      </c>
      <c r="G723" s="128"/>
      <c r="H723" s="129"/>
      <c r="I723" s="416"/>
      <c r="J723" s="193"/>
      <c r="K723" s="129"/>
      <c r="L723" s="110"/>
      <c r="M723" s="128">
        <v>1700000</v>
      </c>
      <c r="N723" s="129">
        <v>438863</v>
      </c>
      <c r="O723" s="256">
        <f t="shared" si="81"/>
        <v>25.815470588235296</v>
      </c>
      <c r="P723" s="129"/>
      <c r="Q723" s="129"/>
      <c r="R723" s="200"/>
    </row>
    <row r="724" spans="1:18" s="327" customFormat="1" ht="36">
      <c r="A724" s="191">
        <v>3020</v>
      </c>
      <c r="B724" s="198" t="s">
        <v>677</v>
      </c>
      <c r="C724" s="128">
        <v>36000</v>
      </c>
      <c r="D724" s="104">
        <f>G724+J724+P724+M724</f>
        <v>36000</v>
      </c>
      <c r="E724" s="129">
        <f t="shared" si="86"/>
        <v>2876</v>
      </c>
      <c r="F724" s="105">
        <f t="shared" si="85"/>
        <v>7.988888888888888</v>
      </c>
      <c r="G724" s="128"/>
      <c r="H724" s="129"/>
      <c r="I724" s="416"/>
      <c r="J724" s="193"/>
      <c r="K724" s="129"/>
      <c r="L724" s="110"/>
      <c r="M724" s="128">
        <v>36000</v>
      </c>
      <c r="N724" s="129">
        <v>2876</v>
      </c>
      <c r="O724" s="256">
        <f t="shared" si="81"/>
        <v>7.988888888888888</v>
      </c>
      <c r="P724" s="129"/>
      <c r="Q724" s="129"/>
      <c r="R724" s="200"/>
    </row>
    <row r="725" spans="1:18" s="327" customFormat="1" ht="24" hidden="1">
      <c r="A725" s="191">
        <v>3030</v>
      </c>
      <c r="B725" s="198" t="s">
        <v>344</v>
      </c>
      <c r="C725" s="128"/>
      <c r="D725" s="104"/>
      <c r="E725" s="129" t="s">
        <v>521</v>
      </c>
      <c r="F725" s="105" t="s">
        <v>521</v>
      </c>
      <c r="G725" s="128"/>
      <c r="H725" s="129"/>
      <c r="I725" s="416"/>
      <c r="J725" s="193"/>
      <c r="K725" s="129"/>
      <c r="L725" s="110"/>
      <c r="M725" s="128"/>
      <c r="N725" s="129"/>
      <c r="O725" s="256"/>
      <c r="P725" s="129"/>
      <c r="Q725" s="129"/>
      <c r="R725" s="200"/>
    </row>
    <row r="726" spans="1:18" s="327" customFormat="1" ht="24">
      <c r="A726" s="191">
        <v>4010</v>
      </c>
      <c r="B726" s="198" t="s">
        <v>346</v>
      </c>
      <c r="C726" s="128">
        <v>8000000</v>
      </c>
      <c r="D726" s="104">
        <f aca="true" t="shared" si="87" ref="D726:D749">G726+J726+P726+M726</f>
        <v>8000000</v>
      </c>
      <c r="E726" s="129">
        <f t="shared" si="86"/>
        <v>1905046</v>
      </c>
      <c r="F726" s="105">
        <f t="shared" si="85"/>
        <v>23.813075</v>
      </c>
      <c r="G726" s="128"/>
      <c r="H726" s="129"/>
      <c r="I726" s="416"/>
      <c r="J726" s="193"/>
      <c r="K726" s="129"/>
      <c r="L726" s="110"/>
      <c r="M726" s="128">
        <v>8000000</v>
      </c>
      <c r="N726" s="129">
        <v>1905046</v>
      </c>
      <c r="O726" s="256">
        <f aca="true" t="shared" si="88" ref="O726:O789">N726/M726*100</f>
        <v>23.813075</v>
      </c>
      <c r="P726" s="129"/>
      <c r="Q726" s="129"/>
      <c r="R726" s="200"/>
    </row>
    <row r="727" spans="1:18" s="327" customFormat="1" ht="24">
      <c r="A727" s="191">
        <v>4040</v>
      </c>
      <c r="B727" s="198" t="s">
        <v>350</v>
      </c>
      <c r="C727" s="128">
        <v>667000</v>
      </c>
      <c r="D727" s="104">
        <f t="shared" si="87"/>
        <v>639056</v>
      </c>
      <c r="E727" s="129">
        <f t="shared" si="86"/>
        <v>440325</v>
      </c>
      <c r="F727" s="105">
        <f t="shared" si="85"/>
        <v>68.90241230815452</v>
      </c>
      <c r="G727" s="128"/>
      <c r="H727" s="129"/>
      <c r="I727" s="416"/>
      <c r="J727" s="193"/>
      <c r="K727" s="129"/>
      <c r="L727" s="110"/>
      <c r="M727" s="128">
        <f>667000-27944</f>
        <v>639056</v>
      </c>
      <c r="N727" s="129">
        <v>440325</v>
      </c>
      <c r="O727" s="256">
        <f t="shared" si="88"/>
        <v>68.90241230815452</v>
      </c>
      <c r="P727" s="129"/>
      <c r="Q727" s="129"/>
      <c r="R727" s="200"/>
    </row>
    <row r="728" spans="1:18" s="327" customFormat="1" ht="24">
      <c r="A728" s="191">
        <v>4110</v>
      </c>
      <c r="B728" s="198" t="s">
        <v>352</v>
      </c>
      <c r="C728" s="128">
        <v>1456100</v>
      </c>
      <c r="D728" s="104">
        <f t="shared" si="87"/>
        <v>1456100</v>
      </c>
      <c r="E728" s="129">
        <f t="shared" si="86"/>
        <v>269445</v>
      </c>
      <c r="F728" s="105">
        <f t="shared" si="85"/>
        <v>18.504566994025133</v>
      </c>
      <c r="G728" s="128"/>
      <c r="H728" s="129"/>
      <c r="I728" s="416"/>
      <c r="J728" s="193"/>
      <c r="K728" s="129"/>
      <c r="L728" s="110"/>
      <c r="M728" s="128">
        <v>1456100</v>
      </c>
      <c r="N728" s="129">
        <v>269445</v>
      </c>
      <c r="O728" s="256">
        <f t="shared" si="88"/>
        <v>18.504566994025133</v>
      </c>
      <c r="P728" s="129"/>
      <c r="Q728" s="129"/>
      <c r="R728" s="200"/>
    </row>
    <row r="729" spans="1:18" s="327" customFormat="1" ht="12.75">
      <c r="A729" s="191">
        <v>4120</v>
      </c>
      <c r="B729" s="198" t="s">
        <v>504</v>
      </c>
      <c r="C729" s="128">
        <v>211000</v>
      </c>
      <c r="D729" s="104">
        <f t="shared" si="87"/>
        <v>211000</v>
      </c>
      <c r="E729" s="129">
        <f t="shared" si="86"/>
        <v>43787</v>
      </c>
      <c r="F729" s="105">
        <f t="shared" si="85"/>
        <v>20.752132701421804</v>
      </c>
      <c r="G729" s="128"/>
      <c r="H729" s="129"/>
      <c r="I729" s="416"/>
      <c r="J729" s="193"/>
      <c r="K729" s="129"/>
      <c r="L729" s="110"/>
      <c r="M729" s="128">
        <v>211000</v>
      </c>
      <c r="N729" s="129">
        <v>43787</v>
      </c>
      <c r="O729" s="256">
        <f t="shared" si="88"/>
        <v>20.752132701421804</v>
      </c>
      <c r="P729" s="129"/>
      <c r="Q729" s="129"/>
      <c r="R729" s="200"/>
    </row>
    <row r="730" spans="1:18" s="327" customFormat="1" ht="24">
      <c r="A730" s="191">
        <v>4210</v>
      </c>
      <c r="B730" s="198" t="s">
        <v>356</v>
      </c>
      <c r="C730" s="128">
        <v>162000</v>
      </c>
      <c r="D730" s="104">
        <f t="shared" si="87"/>
        <v>166500</v>
      </c>
      <c r="E730" s="129">
        <f t="shared" si="86"/>
        <v>42946</v>
      </c>
      <c r="F730" s="105">
        <f t="shared" si="85"/>
        <v>25.793393393393394</v>
      </c>
      <c r="G730" s="128"/>
      <c r="H730" s="129"/>
      <c r="I730" s="416"/>
      <c r="J730" s="193"/>
      <c r="K730" s="129"/>
      <c r="L730" s="110"/>
      <c r="M730" s="128">
        <f>162000+4500</f>
        <v>166500</v>
      </c>
      <c r="N730" s="129">
        <v>42946</v>
      </c>
      <c r="O730" s="256">
        <f t="shared" si="88"/>
        <v>25.793393393393394</v>
      </c>
      <c r="P730" s="129"/>
      <c r="Q730" s="129"/>
      <c r="R730" s="200"/>
    </row>
    <row r="731" spans="1:18" s="327" customFormat="1" ht="36">
      <c r="A731" s="191">
        <v>4240</v>
      </c>
      <c r="B731" s="198" t="s">
        <v>489</v>
      </c>
      <c r="C731" s="128">
        <v>71000</v>
      </c>
      <c r="D731" s="104">
        <f t="shared" si="87"/>
        <v>71000</v>
      </c>
      <c r="E731" s="104">
        <f>H731+K731+Q731+N731</f>
        <v>5615</v>
      </c>
      <c r="F731" s="105">
        <f t="shared" si="85"/>
        <v>7.908450704225352</v>
      </c>
      <c r="G731" s="128"/>
      <c r="H731" s="129"/>
      <c r="I731" s="416"/>
      <c r="J731" s="193"/>
      <c r="K731" s="129"/>
      <c r="L731" s="110"/>
      <c r="M731" s="128">
        <v>71000</v>
      </c>
      <c r="N731" s="129">
        <v>5615</v>
      </c>
      <c r="O731" s="256">
        <f t="shared" si="88"/>
        <v>7.908450704225352</v>
      </c>
      <c r="P731" s="129"/>
      <c r="Q731" s="129"/>
      <c r="R731" s="200"/>
    </row>
    <row r="732" spans="1:18" s="327" customFormat="1" ht="18" customHeight="1">
      <c r="A732" s="191">
        <v>4260</v>
      </c>
      <c r="B732" s="198" t="s">
        <v>360</v>
      </c>
      <c r="C732" s="128">
        <v>500000</v>
      </c>
      <c r="D732" s="104">
        <f t="shared" si="87"/>
        <v>500000</v>
      </c>
      <c r="E732" s="129">
        <f t="shared" si="86"/>
        <v>243094</v>
      </c>
      <c r="F732" s="105">
        <f t="shared" si="85"/>
        <v>48.6188</v>
      </c>
      <c r="G732" s="128"/>
      <c r="H732" s="129"/>
      <c r="I732" s="416"/>
      <c r="J732" s="193"/>
      <c r="K732" s="129"/>
      <c r="L732" s="110"/>
      <c r="M732" s="128">
        <v>500000</v>
      </c>
      <c r="N732" s="129">
        <v>243094</v>
      </c>
      <c r="O732" s="256">
        <f t="shared" si="88"/>
        <v>48.6188</v>
      </c>
      <c r="P732" s="129"/>
      <c r="Q732" s="129"/>
      <c r="R732" s="200"/>
    </row>
    <row r="733" spans="1:18" s="327" customFormat="1" ht="18" customHeight="1">
      <c r="A733" s="191">
        <v>4270</v>
      </c>
      <c r="B733" s="198" t="s">
        <v>362</v>
      </c>
      <c r="C733" s="128">
        <v>29000</v>
      </c>
      <c r="D733" s="104">
        <f t="shared" si="87"/>
        <v>29000</v>
      </c>
      <c r="E733" s="129">
        <f t="shared" si="86"/>
        <v>13022</v>
      </c>
      <c r="F733" s="105">
        <f t="shared" si="85"/>
        <v>44.90344827586207</v>
      </c>
      <c r="G733" s="128"/>
      <c r="H733" s="129"/>
      <c r="I733" s="416"/>
      <c r="J733" s="193"/>
      <c r="K733" s="129"/>
      <c r="L733" s="110"/>
      <c r="M733" s="128">
        <v>29000</v>
      </c>
      <c r="N733" s="129">
        <v>13022</v>
      </c>
      <c r="O733" s="256">
        <f t="shared" si="88"/>
        <v>44.90344827586207</v>
      </c>
      <c r="P733" s="129"/>
      <c r="Q733" s="129"/>
      <c r="R733" s="200"/>
    </row>
    <row r="734" spans="1:18" s="327" customFormat="1" ht="18" customHeight="1" hidden="1">
      <c r="A734" s="191">
        <v>4270</v>
      </c>
      <c r="B734" s="198" t="s">
        <v>695</v>
      </c>
      <c r="C734" s="128"/>
      <c r="D734" s="104">
        <f t="shared" si="87"/>
        <v>0</v>
      </c>
      <c r="E734" s="129">
        <f t="shared" si="86"/>
        <v>0</v>
      </c>
      <c r="F734" s="105" t="e">
        <f t="shared" si="85"/>
        <v>#DIV/0!</v>
      </c>
      <c r="G734" s="128"/>
      <c r="H734" s="129"/>
      <c r="I734" s="416"/>
      <c r="J734" s="193"/>
      <c r="K734" s="129"/>
      <c r="L734" s="110"/>
      <c r="M734" s="128"/>
      <c r="N734" s="129"/>
      <c r="O734" s="256" t="e">
        <f t="shared" si="88"/>
        <v>#DIV/0!</v>
      </c>
      <c r="P734" s="129"/>
      <c r="Q734" s="129"/>
      <c r="R734" s="200"/>
    </row>
    <row r="735" spans="1:18" s="327" customFormat="1" ht="18" customHeight="1">
      <c r="A735" s="191">
        <v>4280</v>
      </c>
      <c r="B735" s="198" t="s">
        <v>458</v>
      </c>
      <c r="C735" s="128">
        <v>8900</v>
      </c>
      <c r="D735" s="104">
        <f t="shared" si="87"/>
        <v>8900</v>
      </c>
      <c r="E735" s="129">
        <f t="shared" si="86"/>
        <v>423</v>
      </c>
      <c r="F735" s="105">
        <f t="shared" si="85"/>
        <v>4.752808988764045</v>
      </c>
      <c r="G735" s="128"/>
      <c r="H735" s="129"/>
      <c r="I735" s="416"/>
      <c r="J735" s="193"/>
      <c r="K735" s="129"/>
      <c r="L735" s="110"/>
      <c r="M735" s="128">
        <v>8900</v>
      </c>
      <c r="N735" s="129">
        <v>423</v>
      </c>
      <c r="O735" s="256">
        <f t="shared" si="88"/>
        <v>4.752808988764045</v>
      </c>
      <c r="P735" s="129"/>
      <c r="Q735" s="129"/>
      <c r="R735" s="200"/>
    </row>
    <row r="736" spans="1:18" s="327" customFormat="1" ht="18" customHeight="1">
      <c r="A736" s="191">
        <v>4300</v>
      </c>
      <c r="B736" s="198" t="s">
        <v>364</v>
      </c>
      <c r="C736" s="128">
        <v>94000</v>
      </c>
      <c r="D736" s="104">
        <f t="shared" si="87"/>
        <v>94000</v>
      </c>
      <c r="E736" s="129">
        <f t="shared" si="86"/>
        <v>31809</v>
      </c>
      <c r="F736" s="105">
        <f t="shared" si="85"/>
        <v>33.839361702127654</v>
      </c>
      <c r="G736" s="128"/>
      <c r="H736" s="129"/>
      <c r="I736" s="416"/>
      <c r="J736" s="193"/>
      <c r="K736" s="129"/>
      <c r="L736" s="110"/>
      <c r="M736" s="128">
        <v>94000</v>
      </c>
      <c r="N736" s="129">
        <v>31809</v>
      </c>
      <c r="O736" s="256">
        <f t="shared" si="88"/>
        <v>33.839361702127654</v>
      </c>
      <c r="P736" s="129"/>
      <c r="Q736" s="129"/>
      <c r="R736" s="200"/>
    </row>
    <row r="737" spans="1:18" s="327" customFormat="1" ht="24">
      <c r="A737" s="191">
        <v>4350</v>
      </c>
      <c r="B737" s="198" t="s">
        <v>460</v>
      </c>
      <c r="C737" s="128">
        <v>9400</v>
      </c>
      <c r="D737" s="104">
        <f t="shared" si="87"/>
        <v>9400</v>
      </c>
      <c r="E737" s="129">
        <f t="shared" si="86"/>
        <v>2275</v>
      </c>
      <c r="F737" s="105">
        <f t="shared" si="85"/>
        <v>24.20212765957447</v>
      </c>
      <c r="G737" s="128"/>
      <c r="H737" s="129"/>
      <c r="I737" s="416"/>
      <c r="J737" s="193"/>
      <c r="K737" s="129"/>
      <c r="L737" s="110"/>
      <c r="M737" s="128">
        <v>9400</v>
      </c>
      <c r="N737" s="129">
        <v>2275</v>
      </c>
      <c r="O737" s="256">
        <f t="shared" si="88"/>
        <v>24.20212765957447</v>
      </c>
      <c r="P737" s="129"/>
      <c r="Q737" s="129"/>
      <c r="R737" s="200"/>
    </row>
    <row r="738" spans="1:18" s="327" customFormat="1" ht="48">
      <c r="A738" s="267">
        <v>4360</v>
      </c>
      <c r="B738" s="291" t="s">
        <v>635</v>
      </c>
      <c r="C738" s="128">
        <v>1100</v>
      </c>
      <c r="D738" s="104">
        <f t="shared" si="87"/>
        <v>1100</v>
      </c>
      <c r="E738" s="129">
        <f>SUM(H738+K738+N738+Q738)</f>
        <v>229</v>
      </c>
      <c r="F738" s="105">
        <f t="shared" si="85"/>
        <v>20.81818181818182</v>
      </c>
      <c r="G738" s="128"/>
      <c r="H738" s="129"/>
      <c r="I738" s="416"/>
      <c r="J738" s="193"/>
      <c r="K738" s="129"/>
      <c r="L738" s="110"/>
      <c r="M738" s="128">
        <v>1100</v>
      </c>
      <c r="N738" s="129">
        <v>229</v>
      </c>
      <c r="O738" s="256">
        <f t="shared" si="88"/>
        <v>20.81818181818182</v>
      </c>
      <c r="P738" s="129"/>
      <c r="Q738" s="129"/>
      <c r="R738" s="200"/>
    </row>
    <row r="739" spans="1:18" s="327" customFormat="1" ht="48">
      <c r="A739" s="267">
        <v>4370</v>
      </c>
      <c r="B739" s="291" t="s">
        <v>577</v>
      </c>
      <c r="C739" s="128">
        <v>30000</v>
      </c>
      <c r="D739" s="104">
        <f t="shared" si="87"/>
        <v>30000</v>
      </c>
      <c r="E739" s="129">
        <f>SUM(H739+K739+N739+Q739)</f>
        <v>7850</v>
      </c>
      <c r="F739" s="105">
        <f t="shared" si="85"/>
        <v>26.166666666666664</v>
      </c>
      <c r="G739" s="128"/>
      <c r="H739" s="129"/>
      <c r="I739" s="416"/>
      <c r="J739" s="193"/>
      <c r="K739" s="129"/>
      <c r="L739" s="110"/>
      <c r="M739" s="128">
        <v>30000</v>
      </c>
      <c r="N739" s="129">
        <v>7850</v>
      </c>
      <c r="O739" s="256">
        <f t="shared" si="88"/>
        <v>26.166666666666664</v>
      </c>
      <c r="P739" s="129"/>
      <c r="Q739" s="129"/>
      <c r="R739" s="200"/>
    </row>
    <row r="740" spans="1:18" s="327" customFormat="1" ht="36">
      <c r="A740" s="191">
        <v>4390</v>
      </c>
      <c r="B740" s="305" t="s">
        <v>393</v>
      </c>
      <c r="C740" s="128">
        <v>22000</v>
      </c>
      <c r="D740" s="104">
        <f t="shared" si="87"/>
        <v>22000</v>
      </c>
      <c r="E740" s="129">
        <f>SUM(H740+K740+N740+Q740)</f>
        <v>2830</v>
      </c>
      <c r="F740" s="105">
        <f t="shared" si="85"/>
        <v>12.863636363636363</v>
      </c>
      <c r="G740" s="128"/>
      <c r="H740" s="129"/>
      <c r="I740" s="416"/>
      <c r="J740" s="193"/>
      <c r="K740" s="129"/>
      <c r="L740" s="110"/>
      <c r="M740" s="128">
        <v>22000</v>
      </c>
      <c r="N740" s="129">
        <v>2830</v>
      </c>
      <c r="O740" s="256">
        <f t="shared" si="88"/>
        <v>12.863636363636363</v>
      </c>
      <c r="P740" s="129"/>
      <c r="Q740" s="129"/>
      <c r="R740" s="200"/>
    </row>
    <row r="741" spans="1:18" s="327" customFormat="1" ht="15.75" customHeight="1">
      <c r="A741" s="191">
        <v>4410</v>
      </c>
      <c r="B741" s="198" t="s">
        <v>338</v>
      </c>
      <c r="C741" s="128">
        <v>26300</v>
      </c>
      <c r="D741" s="104">
        <f t="shared" si="87"/>
        <v>26300</v>
      </c>
      <c r="E741" s="129">
        <f t="shared" si="86"/>
        <v>10126</v>
      </c>
      <c r="F741" s="105">
        <f t="shared" si="85"/>
        <v>38.50190114068441</v>
      </c>
      <c r="G741" s="128"/>
      <c r="H741" s="129"/>
      <c r="I741" s="416"/>
      <c r="J741" s="193"/>
      <c r="K741" s="129"/>
      <c r="L741" s="110"/>
      <c r="M741" s="128">
        <v>26300</v>
      </c>
      <c r="N741" s="129">
        <v>10126</v>
      </c>
      <c r="O741" s="256">
        <f t="shared" si="88"/>
        <v>38.50190114068441</v>
      </c>
      <c r="P741" s="129"/>
      <c r="Q741" s="129"/>
      <c r="R741" s="200"/>
    </row>
    <row r="742" spans="1:18" s="327" customFormat="1" ht="27" customHeight="1">
      <c r="A742" s="191">
        <v>4420</v>
      </c>
      <c r="B742" s="198" t="s">
        <v>477</v>
      </c>
      <c r="C742" s="128">
        <v>500</v>
      </c>
      <c r="D742" s="104">
        <f t="shared" si="87"/>
        <v>500</v>
      </c>
      <c r="E742" s="129">
        <f t="shared" si="86"/>
        <v>0</v>
      </c>
      <c r="F742" s="105">
        <f t="shared" si="85"/>
        <v>0</v>
      </c>
      <c r="G742" s="128"/>
      <c r="H742" s="129"/>
      <c r="I742" s="416"/>
      <c r="J742" s="193"/>
      <c r="K742" s="129"/>
      <c r="L742" s="110"/>
      <c r="M742" s="128">
        <v>500</v>
      </c>
      <c r="N742" s="129"/>
      <c r="O742" s="256">
        <f t="shared" si="88"/>
        <v>0</v>
      </c>
      <c r="P742" s="129"/>
      <c r="Q742" s="129"/>
      <c r="R742" s="200"/>
    </row>
    <row r="743" spans="1:18" s="327" customFormat="1" ht="12.75">
      <c r="A743" s="191">
        <v>4430</v>
      </c>
      <c r="B743" s="198" t="s">
        <v>366</v>
      </c>
      <c r="C743" s="128">
        <v>500</v>
      </c>
      <c r="D743" s="104">
        <f>G743+J743+P743+M743</f>
        <v>500</v>
      </c>
      <c r="E743" s="129">
        <f>SUM(H743+K743+N743+Q743)</f>
        <v>0</v>
      </c>
      <c r="F743" s="105">
        <f>E743/D743*100</f>
        <v>0</v>
      </c>
      <c r="G743" s="128"/>
      <c r="H743" s="129"/>
      <c r="I743" s="416"/>
      <c r="J743" s="193"/>
      <c r="K743" s="129"/>
      <c r="L743" s="110"/>
      <c r="M743" s="128">
        <v>500</v>
      </c>
      <c r="N743" s="129"/>
      <c r="O743" s="256">
        <f t="shared" si="88"/>
        <v>0</v>
      </c>
      <c r="P743" s="129"/>
      <c r="Q743" s="129"/>
      <c r="R743" s="200"/>
    </row>
    <row r="744" spans="1:18" s="327" customFormat="1" ht="12.75">
      <c r="A744" s="191">
        <v>4440</v>
      </c>
      <c r="B744" s="198" t="s">
        <v>368</v>
      </c>
      <c r="C744" s="128">
        <v>472350</v>
      </c>
      <c r="D744" s="104">
        <f t="shared" si="87"/>
        <v>495937</v>
      </c>
      <c r="E744" s="129">
        <f t="shared" si="86"/>
        <v>133640</v>
      </c>
      <c r="F744" s="105">
        <f t="shared" si="85"/>
        <v>26.946971087053395</v>
      </c>
      <c r="G744" s="128"/>
      <c r="H744" s="129"/>
      <c r="I744" s="416"/>
      <c r="J744" s="193"/>
      <c r="K744" s="129"/>
      <c r="L744" s="110"/>
      <c r="M744" s="128">
        <f>472350+23587</f>
        <v>495937</v>
      </c>
      <c r="N744" s="129">
        <v>133640</v>
      </c>
      <c r="O744" s="256">
        <f t="shared" si="88"/>
        <v>26.946971087053395</v>
      </c>
      <c r="P744" s="129"/>
      <c r="Q744" s="129"/>
      <c r="R744" s="200"/>
    </row>
    <row r="745" spans="1:18" s="327" customFormat="1" ht="36">
      <c r="A745" s="267">
        <v>4700</v>
      </c>
      <c r="B745" s="291" t="s">
        <v>466</v>
      </c>
      <c r="C745" s="128">
        <v>15000</v>
      </c>
      <c r="D745" s="104">
        <f t="shared" si="87"/>
        <v>15000</v>
      </c>
      <c r="E745" s="129">
        <f>SUM(H745+K745+N745+Q745)</f>
        <v>3574</v>
      </c>
      <c r="F745" s="105">
        <f t="shared" si="85"/>
        <v>23.826666666666664</v>
      </c>
      <c r="G745" s="128"/>
      <c r="H745" s="129"/>
      <c r="I745" s="416"/>
      <c r="J745" s="193"/>
      <c r="K745" s="129"/>
      <c r="L745" s="110"/>
      <c r="M745" s="128">
        <v>15000</v>
      </c>
      <c r="N745" s="129">
        <v>3574</v>
      </c>
      <c r="O745" s="256">
        <f t="shared" si="88"/>
        <v>23.826666666666664</v>
      </c>
      <c r="P745" s="129"/>
      <c r="Q745" s="129"/>
      <c r="R745" s="200"/>
    </row>
    <row r="746" spans="1:18" s="327" customFormat="1" ht="60">
      <c r="A746" s="267">
        <v>4740</v>
      </c>
      <c r="B746" s="291" t="s">
        <v>380</v>
      </c>
      <c r="C746" s="128">
        <v>15000</v>
      </c>
      <c r="D746" s="104">
        <f t="shared" si="87"/>
        <v>15000</v>
      </c>
      <c r="E746" s="129">
        <f>SUM(H746+K746+N746+Q746)</f>
        <v>4090</v>
      </c>
      <c r="F746" s="105">
        <f t="shared" si="85"/>
        <v>27.266666666666666</v>
      </c>
      <c r="G746" s="128"/>
      <c r="H746" s="129"/>
      <c r="I746" s="416"/>
      <c r="J746" s="193"/>
      <c r="K746" s="129"/>
      <c r="L746" s="110"/>
      <c r="M746" s="128">
        <v>15000</v>
      </c>
      <c r="N746" s="129">
        <v>4090</v>
      </c>
      <c r="O746" s="256">
        <f t="shared" si="88"/>
        <v>27.266666666666666</v>
      </c>
      <c r="P746" s="129"/>
      <c r="Q746" s="129"/>
      <c r="R746" s="200"/>
    </row>
    <row r="747" spans="1:18" s="327" customFormat="1" ht="36">
      <c r="A747" s="267">
        <v>4750</v>
      </c>
      <c r="B747" s="291" t="s">
        <v>467</v>
      </c>
      <c r="C747" s="128">
        <v>20000</v>
      </c>
      <c r="D747" s="104">
        <f t="shared" si="87"/>
        <v>20000</v>
      </c>
      <c r="E747" s="129">
        <f t="shared" si="86"/>
        <v>5194</v>
      </c>
      <c r="F747" s="105">
        <f t="shared" si="85"/>
        <v>25.97</v>
      </c>
      <c r="G747" s="128"/>
      <c r="H747" s="129"/>
      <c r="I747" s="416"/>
      <c r="J747" s="193"/>
      <c r="K747" s="129"/>
      <c r="L747" s="110"/>
      <c r="M747" s="128">
        <v>20000</v>
      </c>
      <c r="N747" s="129">
        <v>5194</v>
      </c>
      <c r="O747" s="256">
        <f t="shared" si="88"/>
        <v>25.97</v>
      </c>
      <c r="P747" s="129"/>
      <c r="Q747" s="129"/>
      <c r="R747" s="200"/>
    </row>
    <row r="748" spans="1:18" s="327" customFormat="1" ht="24">
      <c r="A748" s="191">
        <v>6050</v>
      </c>
      <c r="B748" s="259" t="s">
        <v>396</v>
      </c>
      <c r="C748" s="128">
        <v>64500</v>
      </c>
      <c r="D748" s="104">
        <f t="shared" si="87"/>
        <v>64500</v>
      </c>
      <c r="E748" s="129">
        <f t="shared" si="86"/>
        <v>8885</v>
      </c>
      <c r="F748" s="105">
        <f t="shared" si="85"/>
        <v>13.775193798449612</v>
      </c>
      <c r="G748" s="128"/>
      <c r="H748" s="129"/>
      <c r="I748" s="416"/>
      <c r="J748" s="193"/>
      <c r="K748" s="129"/>
      <c r="L748" s="110"/>
      <c r="M748" s="128">
        <v>64500</v>
      </c>
      <c r="N748" s="129">
        <v>8885</v>
      </c>
      <c r="O748" s="256">
        <f t="shared" si="88"/>
        <v>13.775193798449612</v>
      </c>
      <c r="P748" s="129"/>
      <c r="Q748" s="129"/>
      <c r="R748" s="200"/>
    </row>
    <row r="749" spans="1:18" s="327" customFormat="1" ht="36" hidden="1">
      <c r="A749" s="227">
        <v>6060</v>
      </c>
      <c r="B749" s="318" t="s">
        <v>515</v>
      </c>
      <c r="C749" s="229"/>
      <c r="D749" s="230">
        <f t="shared" si="87"/>
        <v>0</v>
      </c>
      <c r="E749" s="236">
        <f t="shared" si="86"/>
        <v>0</v>
      </c>
      <c r="F749" s="168" t="e">
        <f t="shared" si="85"/>
        <v>#DIV/0!</v>
      </c>
      <c r="G749" s="229"/>
      <c r="H749" s="236"/>
      <c r="I749" s="424"/>
      <c r="J749" s="233"/>
      <c r="K749" s="236"/>
      <c r="L749" s="319"/>
      <c r="M749" s="229"/>
      <c r="N749" s="236"/>
      <c r="O749" s="256" t="e">
        <f t="shared" si="88"/>
        <v>#DIV/0!</v>
      </c>
      <c r="P749" s="236"/>
      <c r="Q749" s="236"/>
      <c r="R749" s="238"/>
    </row>
    <row r="750" spans="1:18" s="304" customFormat="1" ht="16.5" customHeight="1">
      <c r="A750" s="239">
        <v>80123</v>
      </c>
      <c r="B750" s="296" t="s">
        <v>696</v>
      </c>
      <c r="C750" s="136">
        <f>SUM(C751:C771)</f>
        <v>1846800</v>
      </c>
      <c r="D750" s="137">
        <f>G750+J750+P750+M750</f>
        <v>1840139</v>
      </c>
      <c r="E750" s="119">
        <f>H750+K750+Q750+N750</f>
        <v>480850</v>
      </c>
      <c r="F750" s="120">
        <f t="shared" si="85"/>
        <v>26.13117813382576</v>
      </c>
      <c r="G750" s="136"/>
      <c r="H750" s="137"/>
      <c r="I750" s="417"/>
      <c r="J750" s="140"/>
      <c r="K750" s="137"/>
      <c r="L750" s="125"/>
      <c r="M750" s="136">
        <f>SUM(M751:M771)</f>
        <v>1840139</v>
      </c>
      <c r="N750" s="137">
        <f>SUM(N751:N771)</f>
        <v>480850</v>
      </c>
      <c r="O750" s="214">
        <f t="shared" si="88"/>
        <v>26.13117813382576</v>
      </c>
      <c r="P750" s="137"/>
      <c r="Q750" s="137"/>
      <c r="R750" s="266"/>
    </row>
    <row r="751" spans="1:18" s="327" customFormat="1" ht="36">
      <c r="A751" s="172">
        <v>3020</v>
      </c>
      <c r="B751" s="198" t="s">
        <v>677</v>
      </c>
      <c r="C751" s="132">
        <v>7100</v>
      </c>
      <c r="D751" s="149">
        <f aca="true" t="shared" si="89" ref="D751:D801">G751+J751+P751+M751</f>
        <v>7100</v>
      </c>
      <c r="E751" s="150">
        <f aca="true" t="shared" si="90" ref="E751:E771">SUM(H751+K751+N751+Q751)</f>
        <v>430</v>
      </c>
      <c r="F751" s="130">
        <f t="shared" si="85"/>
        <v>6.056338028169014</v>
      </c>
      <c r="G751" s="132"/>
      <c r="H751" s="150"/>
      <c r="I751" s="426"/>
      <c r="J751" s="223"/>
      <c r="K751" s="150"/>
      <c r="L751" s="154"/>
      <c r="M751" s="132">
        <v>7100</v>
      </c>
      <c r="N751" s="150">
        <v>430</v>
      </c>
      <c r="O751" s="130">
        <f>N751/M751*100</f>
        <v>6.056338028169014</v>
      </c>
      <c r="P751" s="132"/>
      <c r="Q751" s="150"/>
      <c r="R751" s="226"/>
    </row>
    <row r="752" spans="1:18" s="327" customFormat="1" ht="24">
      <c r="A752" s="191">
        <v>4010</v>
      </c>
      <c r="B752" s="198" t="s">
        <v>346</v>
      </c>
      <c r="C752" s="128">
        <v>1244500</v>
      </c>
      <c r="D752" s="104">
        <f t="shared" si="89"/>
        <v>1244500</v>
      </c>
      <c r="E752" s="129">
        <f t="shared" si="90"/>
        <v>287804</v>
      </c>
      <c r="F752" s="105">
        <f t="shared" si="85"/>
        <v>23.12607472880675</v>
      </c>
      <c r="G752" s="128"/>
      <c r="H752" s="129"/>
      <c r="I752" s="416"/>
      <c r="J752" s="193"/>
      <c r="K752" s="129"/>
      <c r="L752" s="110"/>
      <c r="M752" s="128">
        <v>1244500</v>
      </c>
      <c r="N752" s="129">
        <v>287804</v>
      </c>
      <c r="O752" s="105">
        <f aca="true" t="shared" si="91" ref="O752:O771">N752/M752*100</f>
        <v>23.12607472880675</v>
      </c>
      <c r="P752" s="129"/>
      <c r="Q752" s="129"/>
      <c r="R752" s="200"/>
    </row>
    <row r="753" spans="1:18" s="327" customFormat="1" ht="24">
      <c r="A753" s="191">
        <v>4040</v>
      </c>
      <c r="B753" s="198" t="s">
        <v>350</v>
      </c>
      <c r="C753" s="128">
        <v>109000</v>
      </c>
      <c r="D753" s="104">
        <f t="shared" si="89"/>
        <v>97919</v>
      </c>
      <c r="E753" s="129">
        <f t="shared" si="90"/>
        <v>67433</v>
      </c>
      <c r="F753" s="105">
        <f t="shared" si="85"/>
        <v>68.86610361625425</v>
      </c>
      <c r="G753" s="128"/>
      <c r="H753" s="129"/>
      <c r="I753" s="416"/>
      <c r="J753" s="193"/>
      <c r="K753" s="129"/>
      <c r="L753" s="110"/>
      <c r="M753" s="128">
        <f>109000-11081</f>
        <v>97919</v>
      </c>
      <c r="N753" s="129">
        <v>67433</v>
      </c>
      <c r="O753" s="105">
        <f t="shared" si="91"/>
        <v>68.86610361625425</v>
      </c>
      <c r="P753" s="129"/>
      <c r="Q753" s="129"/>
      <c r="R753" s="200"/>
    </row>
    <row r="754" spans="1:18" s="327" customFormat="1" ht="24">
      <c r="A754" s="191">
        <v>4110</v>
      </c>
      <c r="B754" s="198" t="s">
        <v>352</v>
      </c>
      <c r="C754" s="128">
        <v>225300</v>
      </c>
      <c r="D754" s="104">
        <f t="shared" si="89"/>
        <v>225300</v>
      </c>
      <c r="E754" s="129">
        <f t="shared" si="90"/>
        <v>42794</v>
      </c>
      <c r="F754" s="105">
        <f t="shared" si="85"/>
        <v>18.994229915667997</v>
      </c>
      <c r="G754" s="128"/>
      <c r="H754" s="129"/>
      <c r="I754" s="416"/>
      <c r="J754" s="193"/>
      <c r="K754" s="129"/>
      <c r="L754" s="110"/>
      <c r="M754" s="128">
        <v>225300</v>
      </c>
      <c r="N754" s="129">
        <v>42794</v>
      </c>
      <c r="O754" s="105">
        <f t="shared" si="91"/>
        <v>18.994229915667997</v>
      </c>
      <c r="P754" s="129"/>
      <c r="Q754" s="129"/>
      <c r="R754" s="200"/>
    </row>
    <row r="755" spans="1:18" s="327" customFormat="1" ht="12.75">
      <c r="A755" s="191">
        <v>4120</v>
      </c>
      <c r="B755" s="198" t="s">
        <v>504</v>
      </c>
      <c r="C755" s="128">
        <v>32600</v>
      </c>
      <c r="D755" s="104">
        <f t="shared" si="89"/>
        <v>32600</v>
      </c>
      <c r="E755" s="129">
        <f t="shared" si="90"/>
        <v>6334</v>
      </c>
      <c r="F755" s="105">
        <f t="shared" si="85"/>
        <v>19.429447852760738</v>
      </c>
      <c r="G755" s="128"/>
      <c r="H755" s="129"/>
      <c r="I755" s="416"/>
      <c r="J755" s="193"/>
      <c r="K755" s="129"/>
      <c r="L755" s="110"/>
      <c r="M755" s="128">
        <v>32600</v>
      </c>
      <c r="N755" s="129">
        <v>6334</v>
      </c>
      <c r="O755" s="105">
        <f t="shared" si="91"/>
        <v>19.429447852760738</v>
      </c>
      <c r="P755" s="129"/>
      <c r="Q755" s="129"/>
      <c r="R755" s="200"/>
    </row>
    <row r="756" spans="1:18" s="327" customFormat="1" ht="12.75">
      <c r="A756" s="191">
        <v>4140</v>
      </c>
      <c r="B756" s="198" t="s">
        <v>457</v>
      </c>
      <c r="C756" s="128">
        <v>5100</v>
      </c>
      <c r="D756" s="104">
        <f t="shared" si="89"/>
        <v>5100</v>
      </c>
      <c r="E756" s="129">
        <f t="shared" si="90"/>
        <v>593</v>
      </c>
      <c r="F756" s="105">
        <f t="shared" si="85"/>
        <v>11.627450980392156</v>
      </c>
      <c r="G756" s="128"/>
      <c r="H756" s="129"/>
      <c r="I756" s="416"/>
      <c r="J756" s="193"/>
      <c r="K756" s="129"/>
      <c r="L756" s="110"/>
      <c r="M756" s="128">
        <v>5100</v>
      </c>
      <c r="N756" s="129">
        <v>593</v>
      </c>
      <c r="O756" s="105">
        <f t="shared" si="91"/>
        <v>11.627450980392156</v>
      </c>
      <c r="P756" s="129"/>
      <c r="Q756" s="129"/>
      <c r="R756" s="200"/>
    </row>
    <row r="757" spans="1:18" s="327" customFormat="1" ht="24">
      <c r="A757" s="191">
        <v>4210</v>
      </c>
      <c r="B757" s="198" t="s">
        <v>356</v>
      </c>
      <c r="C757" s="128">
        <v>25000</v>
      </c>
      <c r="D757" s="104">
        <f t="shared" si="89"/>
        <v>25000</v>
      </c>
      <c r="E757" s="129">
        <f t="shared" si="90"/>
        <v>8580</v>
      </c>
      <c r="F757" s="105">
        <f t="shared" si="85"/>
        <v>34.32</v>
      </c>
      <c r="G757" s="128"/>
      <c r="H757" s="129"/>
      <c r="I757" s="416"/>
      <c r="J757" s="193"/>
      <c r="K757" s="129"/>
      <c r="L757" s="110"/>
      <c r="M757" s="128">
        <v>25000</v>
      </c>
      <c r="N757" s="129">
        <v>8580</v>
      </c>
      <c r="O757" s="105">
        <f t="shared" si="91"/>
        <v>34.32</v>
      </c>
      <c r="P757" s="129"/>
      <c r="Q757" s="129"/>
      <c r="R757" s="200"/>
    </row>
    <row r="758" spans="1:18" s="327" customFormat="1" ht="24">
      <c r="A758" s="191">
        <v>4240</v>
      </c>
      <c r="B758" s="198" t="s">
        <v>619</v>
      </c>
      <c r="C758" s="128">
        <v>9900</v>
      </c>
      <c r="D758" s="104">
        <f t="shared" si="89"/>
        <v>9900</v>
      </c>
      <c r="E758" s="129">
        <f t="shared" si="90"/>
        <v>0</v>
      </c>
      <c r="F758" s="105">
        <f t="shared" si="85"/>
        <v>0</v>
      </c>
      <c r="G758" s="128"/>
      <c r="H758" s="129"/>
      <c r="I758" s="416"/>
      <c r="J758" s="193"/>
      <c r="K758" s="129"/>
      <c r="L758" s="110"/>
      <c r="M758" s="128">
        <v>9900</v>
      </c>
      <c r="N758" s="129"/>
      <c r="O758" s="105">
        <f t="shared" si="91"/>
        <v>0</v>
      </c>
      <c r="P758" s="129"/>
      <c r="Q758" s="129"/>
      <c r="R758" s="200"/>
    </row>
    <row r="759" spans="1:18" s="327" customFormat="1" ht="12.75">
      <c r="A759" s="191">
        <v>4260</v>
      </c>
      <c r="B759" s="198" t="s">
        <v>360</v>
      </c>
      <c r="C759" s="128">
        <v>74500</v>
      </c>
      <c r="D759" s="104">
        <f t="shared" si="89"/>
        <v>74500</v>
      </c>
      <c r="E759" s="129">
        <f t="shared" si="90"/>
        <v>41092</v>
      </c>
      <c r="F759" s="105">
        <f t="shared" si="85"/>
        <v>55.157046979865775</v>
      </c>
      <c r="G759" s="128"/>
      <c r="H759" s="129"/>
      <c r="I759" s="416"/>
      <c r="J759" s="193"/>
      <c r="K759" s="129"/>
      <c r="L759" s="110"/>
      <c r="M759" s="128">
        <v>74500</v>
      </c>
      <c r="N759" s="129">
        <v>41092</v>
      </c>
      <c r="O759" s="105">
        <f t="shared" si="91"/>
        <v>55.157046979865775</v>
      </c>
      <c r="P759" s="129"/>
      <c r="Q759" s="129"/>
      <c r="R759" s="200"/>
    </row>
    <row r="760" spans="1:18" s="327" customFormat="1" ht="24">
      <c r="A760" s="191">
        <v>4270</v>
      </c>
      <c r="B760" s="198" t="s">
        <v>362</v>
      </c>
      <c r="C760" s="128">
        <v>4400</v>
      </c>
      <c r="D760" s="104">
        <f t="shared" si="89"/>
        <v>4400</v>
      </c>
      <c r="E760" s="129">
        <f t="shared" si="90"/>
        <v>0</v>
      </c>
      <c r="F760" s="105">
        <f t="shared" si="85"/>
        <v>0</v>
      </c>
      <c r="G760" s="128"/>
      <c r="H760" s="129"/>
      <c r="I760" s="416"/>
      <c r="J760" s="193"/>
      <c r="K760" s="129"/>
      <c r="L760" s="110"/>
      <c r="M760" s="128">
        <v>4400</v>
      </c>
      <c r="N760" s="129"/>
      <c r="O760" s="105">
        <f t="shared" si="91"/>
        <v>0</v>
      </c>
      <c r="P760" s="129"/>
      <c r="Q760" s="129"/>
      <c r="R760" s="200"/>
    </row>
    <row r="761" spans="1:18" s="327" customFormat="1" ht="24">
      <c r="A761" s="191">
        <v>4280</v>
      </c>
      <c r="B761" s="198" t="s">
        <v>458</v>
      </c>
      <c r="C761" s="128">
        <v>2200</v>
      </c>
      <c r="D761" s="104">
        <f t="shared" si="89"/>
        <v>2200</v>
      </c>
      <c r="E761" s="129">
        <f t="shared" si="90"/>
        <v>0</v>
      </c>
      <c r="F761" s="105">
        <f t="shared" si="85"/>
        <v>0</v>
      </c>
      <c r="G761" s="128"/>
      <c r="H761" s="129"/>
      <c r="I761" s="416"/>
      <c r="J761" s="193"/>
      <c r="K761" s="129"/>
      <c r="L761" s="110"/>
      <c r="M761" s="128">
        <v>2200</v>
      </c>
      <c r="N761" s="129"/>
      <c r="O761" s="105">
        <f t="shared" si="91"/>
        <v>0</v>
      </c>
      <c r="P761" s="129"/>
      <c r="Q761" s="129"/>
      <c r="R761" s="200"/>
    </row>
    <row r="762" spans="1:18" s="327" customFormat="1" ht="24">
      <c r="A762" s="191">
        <v>4300</v>
      </c>
      <c r="B762" s="198" t="s">
        <v>364</v>
      </c>
      <c r="C762" s="128">
        <v>11700</v>
      </c>
      <c r="D762" s="104">
        <f t="shared" si="89"/>
        <v>11700</v>
      </c>
      <c r="E762" s="129">
        <f t="shared" si="90"/>
        <v>2918</v>
      </c>
      <c r="F762" s="105">
        <f t="shared" si="85"/>
        <v>24.94017094017094</v>
      </c>
      <c r="G762" s="128"/>
      <c r="H762" s="129"/>
      <c r="I762" s="416"/>
      <c r="J762" s="193"/>
      <c r="K762" s="129"/>
      <c r="L762" s="110"/>
      <c r="M762" s="128">
        <v>11700</v>
      </c>
      <c r="N762" s="129">
        <v>2918</v>
      </c>
      <c r="O762" s="105">
        <f t="shared" si="91"/>
        <v>24.94017094017094</v>
      </c>
      <c r="P762" s="129"/>
      <c r="Q762" s="129"/>
      <c r="R762" s="200"/>
    </row>
    <row r="763" spans="1:18" s="327" customFormat="1" ht="24">
      <c r="A763" s="191">
        <v>4350</v>
      </c>
      <c r="B763" s="198" t="s">
        <v>460</v>
      </c>
      <c r="C763" s="128">
        <v>1100</v>
      </c>
      <c r="D763" s="104">
        <f t="shared" si="89"/>
        <v>1100</v>
      </c>
      <c r="E763" s="129">
        <f t="shared" si="90"/>
        <v>92</v>
      </c>
      <c r="F763" s="105">
        <f t="shared" si="85"/>
        <v>8.363636363636363</v>
      </c>
      <c r="G763" s="193"/>
      <c r="H763" s="193"/>
      <c r="I763" s="416"/>
      <c r="J763" s="193"/>
      <c r="K763" s="129"/>
      <c r="L763" s="110"/>
      <c r="M763" s="128">
        <v>1100</v>
      </c>
      <c r="N763" s="129">
        <v>92</v>
      </c>
      <c r="O763" s="105">
        <f t="shared" si="91"/>
        <v>8.363636363636363</v>
      </c>
      <c r="P763" s="129"/>
      <c r="Q763" s="129"/>
      <c r="R763" s="200"/>
    </row>
    <row r="764" spans="1:18" s="327" customFormat="1" ht="48">
      <c r="A764" s="267">
        <v>4360</v>
      </c>
      <c r="B764" s="291" t="s">
        <v>635</v>
      </c>
      <c r="C764" s="128">
        <v>300</v>
      </c>
      <c r="D764" s="104">
        <f>G764+J764+P764+M764</f>
        <v>300</v>
      </c>
      <c r="E764" s="129">
        <f>SUM(H764+K764+N764+Q764)</f>
        <v>146</v>
      </c>
      <c r="F764" s="105">
        <f>E764/D764*100</f>
        <v>48.66666666666667</v>
      </c>
      <c r="G764" s="193"/>
      <c r="H764" s="193"/>
      <c r="I764" s="416"/>
      <c r="J764" s="193"/>
      <c r="K764" s="129"/>
      <c r="L764" s="110"/>
      <c r="M764" s="128">
        <v>300</v>
      </c>
      <c r="N764" s="129">
        <v>146</v>
      </c>
      <c r="O764" s="105">
        <f t="shared" si="91"/>
        <v>48.66666666666667</v>
      </c>
      <c r="P764" s="129"/>
      <c r="Q764" s="129"/>
      <c r="R764" s="200"/>
    </row>
    <row r="765" spans="1:18" s="327" customFormat="1" ht="48">
      <c r="A765" s="267">
        <v>4370</v>
      </c>
      <c r="B765" s="291" t="s">
        <v>577</v>
      </c>
      <c r="C765" s="128">
        <v>3500</v>
      </c>
      <c r="D765" s="104">
        <f>G765+J765+P765+M765</f>
        <v>3500</v>
      </c>
      <c r="E765" s="129">
        <f>SUM(H765+K765+N765+Q765)</f>
        <v>752</v>
      </c>
      <c r="F765" s="105">
        <f>E765/D765*100</f>
        <v>21.485714285714288</v>
      </c>
      <c r="G765" s="193"/>
      <c r="H765" s="193"/>
      <c r="I765" s="416"/>
      <c r="J765" s="193"/>
      <c r="K765" s="129"/>
      <c r="L765" s="110"/>
      <c r="M765" s="128">
        <v>3500</v>
      </c>
      <c r="N765" s="129">
        <v>752</v>
      </c>
      <c r="O765" s="105">
        <f t="shared" si="91"/>
        <v>21.485714285714288</v>
      </c>
      <c r="P765" s="129"/>
      <c r="Q765" s="129"/>
      <c r="R765" s="200"/>
    </row>
    <row r="766" spans="1:18" s="327" customFormat="1" ht="36">
      <c r="A766" s="191">
        <v>4390</v>
      </c>
      <c r="B766" s="305" t="s">
        <v>393</v>
      </c>
      <c r="C766" s="128">
        <v>2000</v>
      </c>
      <c r="D766" s="104">
        <f>G766+J766+P766+M766</f>
        <v>2000</v>
      </c>
      <c r="E766" s="129">
        <f>SUM(H766+K766+N766+Q766)</f>
        <v>0</v>
      </c>
      <c r="F766" s="105">
        <f>E766/D766*100</f>
        <v>0</v>
      </c>
      <c r="G766" s="193"/>
      <c r="H766" s="193"/>
      <c r="I766" s="416"/>
      <c r="J766" s="193"/>
      <c r="K766" s="129"/>
      <c r="L766" s="110"/>
      <c r="M766" s="128">
        <v>2000</v>
      </c>
      <c r="N766" s="129"/>
      <c r="O766" s="105">
        <f t="shared" si="91"/>
        <v>0</v>
      </c>
      <c r="P766" s="129"/>
      <c r="Q766" s="129"/>
      <c r="R766" s="200"/>
    </row>
    <row r="767" spans="1:18" s="327" customFormat="1" ht="24">
      <c r="A767" s="191">
        <v>4410</v>
      </c>
      <c r="B767" s="198" t="s">
        <v>338</v>
      </c>
      <c r="C767" s="128">
        <v>900</v>
      </c>
      <c r="D767" s="104">
        <f t="shared" si="89"/>
        <v>900</v>
      </c>
      <c r="E767" s="129">
        <f t="shared" si="90"/>
        <v>82</v>
      </c>
      <c r="F767" s="105">
        <f t="shared" si="85"/>
        <v>9.11111111111111</v>
      </c>
      <c r="G767" s="129"/>
      <c r="H767" s="193"/>
      <c r="I767" s="416"/>
      <c r="J767" s="193"/>
      <c r="K767" s="129"/>
      <c r="L767" s="110"/>
      <c r="M767" s="128">
        <v>900</v>
      </c>
      <c r="N767" s="129">
        <v>82</v>
      </c>
      <c r="O767" s="105">
        <f t="shared" si="91"/>
        <v>9.11111111111111</v>
      </c>
      <c r="P767" s="129"/>
      <c r="Q767" s="129"/>
      <c r="R767" s="200"/>
    </row>
    <row r="768" spans="1:18" s="327" customFormat="1" ht="12.75">
      <c r="A768" s="191">
        <v>4440</v>
      </c>
      <c r="B768" s="198" t="s">
        <v>368</v>
      </c>
      <c r="C768" s="128">
        <v>77300</v>
      </c>
      <c r="D768" s="104">
        <f t="shared" si="89"/>
        <v>81720</v>
      </c>
      <c r="E768" s="129">
        <f>SUM(H768+K768+N768+Q768)</f>
        <v>21690</v>
      </c>
      <c r="F768" s="105">
        <f>E768/D768*100</f>
        <v>26.54185022026432</v>
      </c>
      <c r="G768" s="129"/>
      <c r="H768" s="193"/>
      <c r="I768" s="416"/>
      <c r="J768" s="193"/>
      <c r="K768" s="129"/>
      <c r="L768" s="110"/>
      <c r="M768" s="128">
        <f>77300+4420</f>
        <v>81720</v>
      </c>
      <c r="N768" s="129">
        <v>21690</v>
      </c>
      <c r="O768" s="105">
        <f t="shared" si="91"/>
        <v>26.54185022026432</v>
      </c>
      <c r="P768" s="129"/>
      <c r="Q768" s="129"/>
      <c r="R768" s="200"/>
    </row>
    <row r="769" spans="1:18" s="327" customFormat="1" ht="36">
      <c r="A769" s="267">
        <v>4700</v>
      </c>
      <c r="B769" s="291" t="s">
        <v>466</v>
      </c>
      <c r="C769" s="128">
        <v>1000</v>
      </c>
      <c r="D769" s="104">
        <f t="shared" si="89"/>
        <v>1000</v>
      </c>
      <c r="E769" s="129">
        <f>SUM(H769+K769+N769+Q769)</f>
        <v>0</v>
      </c>
      <c r="F769" s="105">
        <f>E769/D769*100</f>
        <v>0</v>
      </c>
      <c r="G769" s="129"/>
      <c r="H769" s="193"/>
      <c r="I769" s="416"/>
      <c r="J769" s="193"/>
      <c r="K769" s="129"/>
      <c r="L769" s="110"/>
      <c r="M769" s="128">
        <v>1000</v>
      </c>
      <c r="N769" s="129"/>
      <c r="O769" s="105">
        <f t="shared" si="91"/>
        <v>0</v>
      </c>
      <c r="P769" s="129"/>
      <c r="Q769" s="129"/>
      <c r="R769" s="200"/>
    </row>
    <row r="770" spans="1:18" s="327" customFormat="1" ht="60">
      <c r="A770" s="267">
        <v>4740</v>
      </c>
      <c r="B770" s="291" t="s">
        <v>380</v>
      </c>
      <c r="C770" s="128">
        <v>4100</v>
      </c>
      <c r="D770" s="104">
        <f t="shared" si="89"/>
        <v>4100</v>
      </c>
      <c r="E770" s="129">
        <f t="shared" si="90"/>
        <v>0</v>
      </c>
      <c r="F770" s="105">
        <f t="shared" si="85"/>
        <v>0</v>
      </c>
      <c r="G770" s="129"/>
      <c r="H770" s="193"/>
      <c r="I770" s="416"/>
      <c r="J770" s="193"/>
      <c r="K770" s="129"/>
      <c r="L770" s="110"/>
      <c r="M770" s="128">
        <v>4100</v>
      </c>
      <c r="N770" s="129"/>
      <c r="O770" s="105">
        <f t="shared" si="91"/>
        <v>0</v>
      </c>
      <c r="P770" s="129"/>
      <c r="Q770" s="129"/>
      <c r="R770" s="200"/>
    </row>
    <row r="771" spans="1:18" s="327" customFormat="1" ht="36">
      <c r="A771" s="267">
        <v>4750</v>
      </c>
      <c r="B771" s="291" t="s">
        <v>467</v>
      </c>
      <c r="C771" s="229">
        <v>5300</v>
      </c>
      <c r="D771" s="104">
        <f t="shared" si="89"/>
        <v>5300</v>
      </c>
      <c r="E771" s="129">
        <f t="shared" si="90"/>
        <v>110</v>
      </c>
      <c r="F771" s="105">
        <f t="shared" si="85"/>
        <v>2.0754716981132075</v>
      </c>
      <c r="G771" s="236"/>
      <c r="H771" s="233"/>
      <c r="I771" s="424"/>
      <c r="J771" s="233"/>
      <c r="K771" s="236"/>
      <c r="L771" s="319"/>
      <c r="M771" s="229">
        <v>5300</v>
      </c>
      <c r="N771" s="236">
        <v>110</v>
      </c>
      <c r="O771" s="105">
        <f t="shared" si="91"/>
        <v>2.0754716981132075</v>
      </c>
      <c r="P771" s="236"/>
      <c r="Q771" s="236"/>
      <c r="R771" s="238"/>
    </row>
    <row r="772" spans="1:18" s="327" customFormat="1" ht="17.25" customHeight="1">
      <c r="A772" s="186">
        <v>80130</v>
      </c>
      <c r="B772" s="294" t="s">
        <v>697</v>
      </c>
      <c r="C772" s="188">
        <f>SUM(C773:C801)</f>
        <v>17709400</v>
      </c>
      <c r="D772" s="137">
        <f t="shared" si="89"/>
        <v>18192396</v>
      </c>
      <c r="E772" s="119">
        <f>H772+K772+Q772+N772</f>
        <v>4668991</v>
      </c>
      <c r="F772" s="120">
        <f aca="true" t="shared" si="92" ref="F772:F801">E772/D772*100</f>
        <v>25.66451939590585</v>
      </c>
      <c r="G772" s="345"/>
      <c r="H772" s="346"/>
      <c r="I772" s="417"/>
      <c r="J772" s="346"/>
      <c r="K772" s="345"/>
      <c r="L772" s="347"/>
      <c r="M772" s="188">
        <f>SUM(M773:M801)</f>
        <v>18192396</v>
      </c>
      <c r="N772" s="119">
        <f>SUM(N773:N801)</f>
        <v>4668991</v>
      </c>
      <c r="O772" s="214">
        <f t="shared" si="88"/>
        <v>25.66451939590585</v>
      </c>
      <c r="P772" s="119"/>
      <c r="Q772" s="119"/>
      <c r="R772" s="283"/>
    </row>
    <row r="773" spans="1:18" s="327" customFormat="1" ht="48">
      <c r="A773" s="191">
        <v>2540</v>
      </c>
      <c r="B773" s="198" t="s">
        <v>676</v>
      </c>
      <c r="C773" s="128">
        <v>2000000</v>
      </c>
      <c r="D773" s="104">
        <f t="shared" si="89"/>
        <v>2476060</v>
      </c>
      <c r="E773" s="129">
        <f>SUM(H773+K773+N773+Q773)</f>
        <v>602915</v>
      </c>
      <c r="F773" s="105">
        <f t="shared" si="92"/>
        <v>24.349773430369215</v>
      </c>
      <c r="G773" s="129"/>
      <c r="H773" s="193"/>
      <c r="I773" s="416"/>
      <c r="J773" s="193"/>
      <c r="K773" s="129"/>
      <c r="L773" s="110"/>
      <c r="M773" s="128">
        <f>2000000+476060</f>
        <v>2476060</v>
      </c>
      <c r="N773" s="129">
        <v>602915</v>
      </c>
      <c r="O773" s="256">
        <f t="shared" si="88"/>
        <v>24.349773430369215</v>
      </c>
      <c r="P773" s="129"/>
      <c r="Q773" s="129"/>
      <c r="R773" s="200"/>
    </row>
    <row r="774" spans="1:18" s="327" customFormat="1" ht="84">
      <c r="A774" s="191">
        <v>2590</v>
      </c>
      <c r="B774" s="198" t="s">
        <v>698</v>
      </c>
      <c r="C774" s="128">
        <v>330000</v>
      </c>
      <c r="D774" s="104">
        <f>G774+J774+P774+M774</f>
        <v>330000</v>
      </c>
      <c r="E774" s="129">
        <f>SUM(H774+K774+N774+Q774)</f>
        <v>64573</v>
      </c>
      <c r="F774" s="105">
        <f>E774/D774*100</f>
        <v>19.56757575757576</v>
      </c>
      <c r="G774" s="129"/>
      <c r="H774" s="193"/>
      <c r="I774" s="416"/>
      <c r="J774" s="193"/>
      <c r="K774" s="129"/>
      <c r="L774" s="110"/>
      <c r="M774" s="128">
        <v>330000</v>
      </c>
      <c r="N774" s="129">
        <v>64573</v>
      </c>
      <c r="O774" s="256">
        <f t="shared" si="88"/>
        <v>19.56757575757576</v>
      </c>
      <c r="P774" s="129"/>
      <c r="Q774" s="129"/>
      <c r="R774" s="200"/>
    </row>
    <row r="775" spans="1:18" s="327" customFormat="1" ht="36">
      <c r="A775" s="191">
        <v>3020</v>
      </c>
      <c r="B775" s="198" t="s">
        <v>677</v>
      </c>
      <c r="C775" s="128">
        <v>79300</v>
      </c>
      <c r="D775" s="104">
        <f t="shared" si="89"/>
        <v>79300</v>
      </c>
      <c r="E775" s="129">
        <f aca="true" t="shared" si="93" ref="E775:E801">SUM(H775+K775+N775+Q775)</f>
        <v>9890</v>
      </c>
      <c r="F775" s="105">
        <f t="shared" si="92"/>
        <v>12.471626733921816</v>
      </c>
      <c r="G775" s="129"/>
      <c r="H775" s="193"/>
      <c r="I775" s="416"/>
      <c r="J775" s="193"/>
      <c r="K775" s="129"/>
      <c r="L775" s="110"/>
      <c r="M775" s="128">
        <v>79300</v>
      </c>
      <c r="N775" s="129">
        <v>9890</v>
      </c>
      <c r="O775" s="256">
        <f t="shared" si="88"/>
        <v>12.471626733921816</v>
      </c>
      <c r="P775" s="129"/>
      <c r="Q775" s="129"/>
      <c r="R775" s="200"/>
    </row>
    <row r="776" spans="1:18" s="327" customFormat="1" ht="12.75">
      <c r="A776" s="191">
        <v>3050</v>
      </c>
      <c r="B776" s="198" t="s">
        <v>699</v>
      </c>
      <c r="C776" s="128">
        <v>17300</v>
      </c>
      <c r="D776" s="104">
        <f t="shared" si="89"/>
        <v>17300</v>
      </c>
      <c r="E776" s="129">
        <f t="shared" si="93"/>
        <v>4387</v>
      </c>
      <c r="F776" s="105">
        <f t="shared" si="92"/>
        <v>25.358381502890175</v>
      </c>
      <c r="G776" s="129"/>
      <c r="H776" s="193"/>
      <c r="I776" s="416"/>
      <c r="J776" s="193"/>
      <c r="K776" s="129"/>
      <c r="L776" s="110"/>
      <c r="M776" s="128">
        <v>17300</v>
      </c>
      <c r="N776" s="129">
        <v>4387</v>
      </c>
      <c r="O776" s="256">
        <f t="shared" si="88"/>
        <v>25.358381502890175</v>
      </c>
      <c r="P776" s="129"/>
      <c r="Q776" s="129"/>
      <c r="R776" s="200"/>
    </row>
    <row r="777" spans="1:18" s="327" customFormat="1" ht="12.75" hidden="1">
      <c r="A777" s="191">
        <v>3110</v>
      </c>
      <c r="B777" s="198" t="s">
        <v>682</v>
      </c>
      <c r="C777" s="128"/>
      <c r="D777" s="104">
        <f>G777+J777+P777+M777</f>
        <v>0</v>
      </c>
      <c r="E777" s="129">
        <f>SUM(H777+K777+N777+Q777)</f>
        <v>0</v>
      </c>
      <c r="F777" s="105" t="e">
        <f>E777/D777*100</f>
        <v>#DIV/0!</v>
      </c>
      <c r="G777" s="129"/>
      <c r="H777" s="193"/>
      <c r="I777" s="416"/>
      <c r="J777" s="193"/>
      <c r="K777" s="129"/>
      <c r="L777" s="110"/>
      <c r="M777" s="128"/>
      <c r="N777" s="129"/>
      <c r="O777" s="256" t="e">
        <f t="shared" si="88"/>
        <v>#DIV/0!</v>
      </c>
      <c r="P777" s="129"/>
      <c r="Q777" s="129"/>
      <c r="R777" s="200"/>
    </row>
    <row r="778" spans="1:18" s="327" customFormat="1" ht="24">
      <c r="A778" s="191">
        <v>4010</v>
      </c>
      <c r="B778" s="198" t="s">
        <v>346</v>
      </c>
      <c r="C778" s="128">
        <v>10000000</v>
      </c>
      <c r="D778" s="104">
        <f t="shared" si="89"/>
        <v>10000000</v>
      </c>
      <c r="E778" s="129">
        <f t="shared" si="93"/>
        <v>2353535</v>
      </c>
      <c r="F778" s="105">
        <f t="shared" si="92"/>
        <v>23.53535</v>
      </c>
      <c r="G778" s="129"/>
      <c r="H778" s="193"/>
      <c r="I778" s="416"/>
      <c r="J778" s="193"/>
      <c r="K778" s="129"/>
      <c r="L778" s="110"/>
      <c r="M778" s="128">
        <v>10000000</v>
      </c>
      <c r="N778" s="129">
        <v>2353535</v>
      </c>
      <c r="O778" s="256">
        <f t="shared" si="88"/>
        <v>23.53535</v>
      </c>
      <c r="P778" s="129"/>
      <c r="Q778" s="129"/>
      <c r="R778" s="200"/>
    </row>
    <row r="779" spans="1:18" s="327" customFormat="1" ht="24">
      <c r="A779" s="191">
        <v>4040</v>
      </c>
      <c r="B779" s="198" t="s">
        <v>350</v>
      </c>
      <c r="C779" s="128">
        <v>793200</v>
      </c>
      <c r="D779" s="104">
        <f t="shared" si="89"/>
        <v>778110</v>
      </c>
      <c r="E779" s="129">
        <f t="shared" si="93"/>
        <v>535774</v>
      </c>
      <c r="F779" s="105">
        <f t="shared" si="92"/>
        <v>68.85581730089577</v>
      </c>
      <c r="G779" s="129"/>
      <c r="H779" s="193"/>
      <c r="I779" s="416"/>
      <c r="J779" s="193"/>
      <c r="K779" s="129"/>
      <c r="L779" s="110"/>
      <c r="M779" s="128">
        <f>793200-15090</f>
        <v>778110</v>
      </c>
      <c r="N779" s="129">
        <v>535774</v>
      </c>
      <c r="O779" s="256">
        <f t="shared" si="88"/>
        <v>68.85581730089577</v>
      </c>
      <c r="P779" s="129"/>
      <c r="Q779" s="129"/>
      <c r="R779" s="200"/>
    </row>
    <row r="780" spans="1:18" s="327" customFormat="1" ht="24">
      <c r="A780" s="191">
        <v>4110</v>
      </c>
      <c r="B780" s="198" t="s">
        <v>352</v>
      </c>
      <c r="C780" s="128">
        <v>1788700</v>
      </c>
      <c r="D780" s="104">
        <f t="shared" si="89"/>
        <v>1788700</v>
      </c>
      <c r="E780" s="129">
        <f t="shared" si="93"/>
        <v>356493</v>
      </c>
      <c r="F780" s="105">
        <f t="shared" si="92"/>
        <v>19.93028456420864</v>
      </c>
      <c r="G780" s="129"/>
      <c r="H780" s="193"/>
      <c r="I780" s="416"/>
      <c r="J780" s="193"/>
      <c r="K780" s="129"/>
      <c r="L780" s="110"/>
      <c r="M780" s="128">
        <v>1788700</v>
      </c>
      <c r="N780" s="129">
        <v>356493</v>
      </c>
      <c r="O780" s="256">
        <f t="shared" si="88"/>
        <v>19.93028456420864</v>
      </c>
      <c r="P780" s="129"/>
      <c r="Q780" s="129"/>
      <c r="R780" s="200"/>
    </row>
    <row r="781" spans="1:18" s="327" customFormat="1" ht="12.75">
      <c r="A781" s="191">
        <v>4120</v>
      </c>
      <c r="B781" s="198" t="s">
        <v>504</v>
      </c>
      <c r="C781" s="128">
        <v>260000</v>
      </c>
      <c r="D781" s="104">
        <f t="shared" si="89"/>
        <v>260000</v>
      </c>
      <c r="E781" s="129">
        <f t="shared" si="93"/>
        <v>52775</v>
      </c>
      <c r="F781" s="105">
        <f t="shared" si="92"/>
        <v>20.298076923076923</v>
      </c>
      <c r="G781" s="129"/>
      <c r="H781" s="193"/>
      <c r="I781" s="416"/>
      <c r="J781" s="193"/>
      <c r="K781" s="129"/>
      <c r="L781" s="110"/>
      <c r="M781" s="128">
        <v>260000</v>
      </c>
      <c r="N781" s="129">
        <v>52775</v>
      </c>
      <c r="O781" s="256">
        <f t="shared" si="88"/>
        <v>20.298076923076923</v>
      </c>
      <c r="P781" s="129"/>
      <c r="Q781" s="129"/>
      <c r="R781" s="200"/>
    </row>
    <row r="782" spans="1:18" s="327" customFormat="1" ht="12.75">
      <c r="A782" s="191">
        <v>4140</v>
      </c>
      <c r="B782" s="198" t="s">
        <v>700</v>
      </c>
      <c r="C782" s="128">
        <v>58000</v>
      </c>
      <c r="D782" s="104">
        <f t="shared" si="89"/>
        <v>58000</v>
      </c>
      <c r="E782" s="129">
        <f t="shared" si="93"/>
        <v>8217</v>
      </c>
      <c r="F782" s="105">
        <f t="shared" si="92"/>
        <v>14.167241379310344</v>
      </c>
      <c r="G782" s="129"/>
      <c r="H782" s="193"/>
      <c r="I782" s="416"/>
      <c r="J782" s="193"/>
      <c r="K782" s="129"/>
      <c r="L782" s="110"/>
      <c r="M782" s="128">
        <v>58000</v>
      </c>
      <c r="N782" s="129">
        <v>8217</v>
      </c>
      <c r="O782" s="256">
        <f t="shared" si="88"/>
        <v>14.167241379310344</v>
      </c>
      <c r="P782" s="129"/>
      <c r="Q782" s="129"/>
      <c r="R782" s="200"/>
    </row>
    <row r="783" spans="1:18" s="327" customFormat="1" ht="24">
      <c r="A783" s="191">
        <v>4210</v>
      </c>
      <c r="B783" s="198" t="s">
        <v>356</v>
      </c>
      <c r="C783" s="128">
        <v>325000</v>
      </c>
      <c r="D783" s="104">
        <f t="shared" si="89"/>
        <v>308800</v>
      </c>
      <c r="E783" s="129">
        <f t="shared" si="93"/>
        <v>71139</v>
      </c>
      <c r="F783" s="105">
        <f t="shared" si="92"/>
        <v>23.037240932642487</v>
      </c>
      <c r="G783" s="129"/>
      <c r="H783" s="193"/>
      <c r="I783" s="416"/>
      <c r="J783" s="193"/>
      <c r="K783" s="129"/>
      <c r="L783" s="110"/>
      <c r="M783" s="128">
        <f>325000-16200</f>
        <v>308800</v>
      </c>
      <c r="N783" s="129">
        <v>71139</v>
      </c>
      <c r="O783" s="256">
        <f t="shared" si="88"/>
        <v>23.037240932642487</v>
      </c>
      <c r="P783" s="129"/>
      <c r="Q783" s="129"/>
      <c r="R783" s="200"/>
    </row>
    <row r="784" spans="1:18" s="327" customFormat="1" ht="36">
      <c r="A784" s="191">
        <v>4240</v>
      </c>
      <c r="B784" s="198" t="s">
        <v>489</v>
      </c>
      <c r="C784" s="128">
        <v>128000</v>
      </c>
      <c r="D784" s="104">
        <f t="shared" si="89"/>
        <v>128000</v>
      </c>
      <c r="E784" s="129">
        <f t="shared" si="93"/>
        <v>16975</v>
      </c>
      <c r="F784" s="105">
        <f t="shared" si="92"/>
        <v>13.261718750000002</v>
      </c>
      <c r="G784" s="129"/>
      <c r="H784" s="193"/>
      <c r="I784" s="416"/>
      <c r="J784" s="193"/>
      <c r="K784" s="129"/>
      <c r="L784" s="110"/>
      <c r="M784" s="128">
        <v>128000</v>
      </c>
      <c r="N784" s="129">
        <v>16975</v>
      </c>
      <c r="O784" s="256">
        <f t="shared" si="88"/>
        <v>13.261718750000002</v>
      </c>
      <c r="P784" s="129"/>
      <c r="Q784" s="129"/>
      <c r="R784" s="200"/>
    </row>
    <row r="785" spans="1:18" s="327" customFormat="1" ht="12.75">
      <c r="A785" s="191">
        <v>4260</v>
      </c>
      <c r="B785" s="198" t="s">
        <v>360</v>
      </c>
      <c r="C785" s="128">
        <v>834000</v>
      </c>
      <c r="D785" s="104">
        <f t="shared" si="89"/>
        <v>834000</v>
      </c>
      <c r="E785" s="129">
        <f t="shared" si="93"/>
        <v>273332</v>
      </c>
      <c r="F785" s="105">
        <f t="shared" si="92"/>
        <v>32.773621103117506</v>
      </c>
      <c r="G785" s="129"/>
      <c r="H785" s="193"/>
      <c r="I785" s="416"/>
      <c r="J785" s="193"/>
      <c r="K785" s="129"/>
      <c r="L785" s="110"/>
      <c r="M785" s="128">
        <v>834000</v>
      </c>
      <c r="N785" s="129">
        <v>273332</v>
      </c>
      <c r="O785" s="256">
        <f t="shared" si="88"/>
        <v>32.773621103117506</v>
      </c>
      <c r="P785" s="129"/>
      <c r="Q785" s="129"/>
      <c r="R785" s="200"/>
    </row>
    <row r="786" spans="1:18" s="327" customFormat="1" ht="24">
      <c r="A786" s="191">
        <v>4270</v>
      </c>
      <c r="B786" s="198" t="s">
        <v>362</v>
      </c>
      <c r="C786" s="128">
        <v>46000</v>
      </c>
      <c r="D786" s="104">
        <f t="shared" si="89"/>
        <v>46000</v>
      </c>
      <c r="E786" s="129">
        <f t="shared" si="93"/>
        <v>3039</v>
      </c>
      <c r="F786" s="105">
        <f t="shared" si="92"/>
        <v>6.606521739130435</v>
      </c>
      <c r="G786" s="129"/>
      <c r="H786" s="193"/>
      <c r="I786" s="416"/>
      <c r="J786" s="193"/>
      <c r="K786" s="129"/>
      <c r="L786" s="110"/>
      <c r="M786" s="128">
        <v>46000</v>
      </c>
      <c r="N786" s="129">
        <v>3039</v>
      </c>
      <c r="O786" s="256">
        <f t="shared" si="88"/>
        <v>6.606521739130435</v>
      </c>
      <c r="P786" s="129"/>
      <c r="Q786" s="129"/>
      <c r="R786" s="200"/>
    </row>
    <row r="787" spans="1:18" s="327" customFormat="1" ht="24">
      <c r="A787" s="191">
        <v>4280</v>
      </c>
      <c r="B787" s="198" t="s">
        <v>458</v>
      </c>
      <c r="C787" s="128">
        <v>14300</v>
      </c>
      <c r="D787" s="104">
        <f t="shared" si="89"/>
        <v>14300</v>
      </c>
      <c r="E787" s="129">
        <f t="shared" si="93"/>
        <v>2340</v>
      </c>
      <c r="F787" s="105">
        <f t="shared" si="92"/>
        <v>16.363636363636363</v>
      </c>
      <c r="G787" s="129"/>
      <c r="H787" s="193"/>
      <c r="I787" s="416"/>
      <c r="J787" s="193"/>
      <c r="K787" s="129"/>
      <c r="L787" s="110"/>
      <c r="M787" s="128">
        <v>14300</v>
      </c>
      <c r="N787" s="129">
        <v>2340</v>
      </c>
      <c r="O787" s="256">
        <f t="shared" si="88"/>
        <v>16.363636363636363</v>
      </c>
      <c r="P787" s="129"/>
      <c r="Q787" s="129"/>
      <c r="R787" s="200"/>
    </row>
    <row r="788" spans="1:18" s="327" customFormat="1" ht="24">
      <c r="A788" s="191">
        <v>4300</v>
      </c>
      <c r="B788" s="198" t="s">
        <v>364</v>
      </c>
      <c r="C788" s="128">
        <v>135000</v>
      </c>
      <c r="D788" s="104">
        <f t="shared" si="89"/>
        <v>135000</v>
      </c>
      <c r="E788" s="129">
        <f t="shared" si="93"/>
        <v>51302</v>
      </c>
      <c r="F788" s="105">
        <f t="shared" si="92"/>
        <v>38.00148148148148</v>
      </c>
      <c r="G788" s="129"/>
      <c r="H788" s="193"/>
      <c r="I788" s="416"/>
      <c r="J788" s="193"/>
      <c r="K788" s="129"/>
      <c r="L788" s="110"/>
      <c r="M788" s="128">
        <v>135000</v>
      </c>
      <c r="N788" s="129">
        <v>51302</v>
      </c>
      <c r="O788" s="256">
        <f t="shared" si="88"/>
        <v>38.00148148148148</v>
      </c>
      <c r="P788" s="129"/>
      <c r="Q788" s="129"/>
      <c r="R788" s="200"/>
    </row>
    <row r="789" spans="1:18" s="327" customFormat="1" ht="24">
      <c r="A789" s="191">
        <v>4350</v>
      </c>
      <c r="B789" s="198" t="s">
        <v>460</v>
      </c>
      <c r="C789" s="128">
        <v>12900</v>
      </c>
      <c r="D789" s="104">
        <f t="shared" si="89"/>
        <v>12900</v>
      </c>
      <c r="E789" s="129">
        <f t="shared" si="93"/>
        <v>2977</v>
      </c>
      <c r="F789" s="105">
        <f t="shared" si="92"/>
        <v>23.07751937984496</v>
      </c>
      <c r="G789" s="129"/>
      <c r="H789" s="193"/>
      <c r="I789" s="416"/>
      <c r="J789" s="193"/>
      <c r="K789" s="129"/>
      <c r="L789" s="110"/>
      <c r="M789" s="128">
        <v>12900</v>
      </c>
      <c r="N789" s="129">
        <v>2977</v>
      </c>
      <c r="O789" s="256">
        <f t="shared" si="88"/>
        <v>23.07751937984496</v>
      </c>
      <c r="P789" s="129"/>
      <c r="Q789" s="129"/>
      <c r="R789" s="200"/>
    </row>
    <row r="790" spans="1:18" s="327" customFormat="1" ht="48">
      <c r="A790" s="267">
        <v>4360</v>
      </c>
      <c r="B790" s="291" t="s">
        <v>635</v>
      </c>
      <c r="C790" s="128">
        <v>2000</v>
      </c>
      <c r="D790" s="104">
        <f>G790+J790+P790+M790</f>
        <v>2000</v>
      </c>
      <c r="E790" s="129">
        <f>SUM(H790+K790+N790+Q790)</f>
        <v>561</v>
      </c>
      <c r="F790" s="105">
        <f>E790/D790*100</f>
        <v>28.050000000000004</v>
      </c>
      <c r="G790" s="129"/>
      <c r="H790" s="193"/>
      <c r="I790" s="416"/>
      <c r="J790" s="193"/>
      <c r="K790" s="129"/>
      <c r="L790" s="110"/>
      <c r="M790" s="128">
        <v>2000</v>
      </c>
      <c r="N790" s="129">
        <v>561</v>
      </c>
      <c r="O790" s="256">
        <f aca="true" t="shared" si="94" ref="O790:O800">N790/M790*100</f>
        <v>28.050000000000004</v>
      </c>
      <c r="P790" s="129"/>
      <c r="Q790" s="129"/>
      <c r="R790" s="200"/>
    </row>
    <row r="791" spans="1:18" s="327" customFormat="1" ht="48">
      <c r="A791" s="267">
        <v>4370</v>
      </c>
      <c r="B791" s="291" t="s">
        <v>577</v>
      </c>
      <c r="C791" s="128">
        <v>44200</v>
      </c>
      <c r="D791" s="104">
        <f>G791+J791+P791+M791</f>
        <v>44200</v>
      </c>
      <c r="E791" s="129">
        <f>SUM(H791+K791+N791+Q791)</f>
        <v>8584</v>
      </c>
      <c r="F791" s="105">
        <f>E791/D791*100</f>
        <v>19.42081447963801</v>
      </c>
      <c r="G791" s="129"/>
      <c r="H791" s="193"/>
      <c r="I791" s="416"/>
      <c r="J791" s="193"/>
      <c r="K791" s="129"/>
      <c r="L791" s="110"/>
      <c r="M791" s="128">
        <v>44200</v>
      </c>
      <c r="N791" s="129">
        <v>8584</v>
      </c>
      <c r="O791" s="256">
        <f t="shared" si="94"/>
        <v>19.42081447963801</v>
      </c>
      <c r="P791" s="129"/>
      <c r="Q791" s="129"/>
      <c r="R791" s="200"/>
    </row>
    <row r="792" spans="1:18" s="327" customFormat="1" ht="36">
      <c r="A792" s="191">
        <v>4380</v>
      </c>
      <c r="B792" s="198" t="s">
        <v>679</v>
      </c>
      <c r="C792" s="128">
        <v>2000</v>
      </c>
      <c r="D792" s="104">
        <f>G792+J792+P792+M792</f>
        <v>2000</v>
      </c>
      <c r="E792" s="129">
        <f>SUM(H792+K792+N792+Q792)</f>
        <v>0</v>
      </c>
      <c r="F792" s="105">
        <f>E792/D792*100</f>
        <v>0</v>
      </c>
      <c r="G792" s="129"/>
      <c r="H792" s="193"/>
      <c r="I792" s="416"/>
      <c r="J792" s="193"/>
      <c r="K792" s="129"/>
      <c r="L792" s="110"/>
      <c r="M792" s="128">
        <v>2000</v>
      </c>
      <c r="N792" s="129"/>
      <c r="O792" s="256">
        <f t="shared" si="94"/>
        <v>0</v>
      </c>
      <c r="P792" s="129"/>
      <c r="Q792" s="129"/>
      <c r="R792" s="200"/>
    </row>
    <row r="793" spans="1:18" s="327" customFormat="1" ht="36">
      <c r="A793" s="191">
        <v>4390</v>
      </c>
      <c r="B793" s="305" t="s">
        <v>393</v>
      </c>
      <c r="C793" s="128">
        <v>40000</v>
      </c>
      <c r="D793" s="104">
        <f>G793+J793+P793+M793</f>
        <v>40000</v>
      </c>
      <c r="E793" s="129">
        <f>SUM(H793+K793+N793+Q793)</f>
        <v>2163</v>
      </c>
      <c r="F793" s="105">
        <f>E793/D793*100</f>
        <v>5.4075</v>
      </c>
      <c r="G793" s="129"/>
      <c r="H793" s="193"/>
      <c r="I793" s="416"/>
      <c r="J793" s="193"/>
      <c r="K793" s="129"/>
      <c r="L793" s="110"/>
      <c r="M793" s="128">
        <v>40000</v>
      </c>
      <c r="N793" s="129">
        <v>2163</v>
      </c>
      <c r="O793" s="256">
        <f t="shared" si="94"/>
        <v>5.4075</v>
      </c>
      <c r="P793" s="129"/>
      <c r="Q793" s="129"/>
      <c r="R793" s="200"/>
    </row>
    <row r="794" spans="1:18" s="327" customFormat="1" ht="24">
      <c r="A794" s="191">
        <v>4410</v>
      </c>
      <c r="B794" s="198" t="s">
        <v>338</v>
      </c>
      <c r="C794" s="128">
        <v>20800</v>
      </c>
      <c r="D794" s="104">
        <f t="shared" si="89"/>
        <v>20800</v>
      </c>
      <c r="E794" s="129">
        <f t="shared" si="93"/>
        <v>9397</v>
      </c>
      <c r="F794" s="105">
        <f t="shared" si="92"/>
        <v>45.17788461538462</v>
      </c>
      <c r="G794" s="129"/>
      <c r="H794" s="193"/>
      <c r="I794" s="416"/>
      <c r="J794" s="193"/>
      <c r="K794" s="129"/>
      <c r="L794" s="110"/>
      <c r="M794" s="128">
        <v>20800</v>
      </c>
      <c r="N794" s="129">
        <v>9397</v>
      </c>
      <c r="O794" s="256">
        <f t="shared" si="94"/>
        <v>45.17788461538462</v>
      </c>
      <c r="P794" s="129"/>
      <c r="Q794" s="129"/>
      <c r="R794" s="200"/>
    </row>
    <row r="795" spans="1:18" s="327" customFormat="1" ht="24">
      <c r="A795" s="191">
        <v>4420</v>
      </c>
      <c r="B795" s="198" t="s">
        <v>477</v>
      </c>
      <c r="C795" s="128">
        <v>18400</v>
      </c>
      <c r="D795" s="104">
        <f t="shared" si="89"/>
        <v>18400</v>
      </c>
      <c r="E795" s="129">
        <f t="shared" si="93"/>
        <v>223</v>
      </c>
      <c r="F795" s="105">
        <f t="shared" si="92"/>
        <v>1.2119565217391306</v>
      </c>
      <c r="G795" s="129"/>
      <c r="H795" s="193"/>
      <c r="I795" s="416"/>
      <c r="J795" s="193"/>
      <c r="K795" s="129"/>
      <c r="L795" s="110"/>
      <c r="M795" s="128">
        <v>18400</v>
      </c>
      <c r="N795" s="129">
        <v>223</v>
      </c>
      <c r="O795" s="256">
        <f t="shared" si="94"/>
        <v>1.2119565217391306</v>
      </c>
      <c r="P795" s="129"/>
      <c r="Q795" s="129"/>
      <c r="R795" s="200"/>
    </row>
    <row r="796" spans="1:18" s="327" customFormat="1" ht="12.75">
      <c r="A796" s="191">
        <v>4440</v>
      </c>
      <c r="B796" s="198" t="s">
        <v>368</v>
      </c>
      <c r="C796" s="128">
        <v>625100</v>
      </c>
      <c r="D796" s="104">
        <f t="shared" si="89"/>
        <v>647126</v>
      </c>
      <c r="E796" s="129">
        <f t="shared" si="93"/>
        <v>195725</v>
      </c>
      <c r="F796" s="105">
        <f t="shared" si="92"/>
        <v>30.24526908206439</v>
      </c>
      <c r="G796" s="129"/>
      <c r="H796" s="193"/>
      <c r="I796" s="416"/>
      <c r="J796" s="193"/>
      <c r="K796" s="129"/>
      <c r="L796" s="110"/>
      <c r="M796" s="128">
        <f>625100+22026</f>
        <v>647126</v>
      </c>
      <c r="N796" s="129">
        <v>195725</v>
      </c>
      <c r="O796" s="256">
        <f t="shared" si="94"/>
        <v>30.24526908206439</v>
      </c>
      <c r="P796" s="129"/>
      <c r="Q796" s="129"/>
      <c r="R796" s="200"/>
    </row>
    <row r="797" spans="1:18" s="327" customFormat="1" ht="36">
      <c r="A797" s="267">
        <v>4700</v>
      </c>
      <c r="B797" s="291" t="s">
        <v>466</v>
      </c>
      <c r="C797" s="128">
        <v>20700</v>
      </c>
      <c r="D797" s="104">
        <f>G797+J797+P797+M797</f>
        <v>20700</v>
      </c>
      <c r="E797" s="129">
        <f>SUM(H797+K797+N797+Q797)</f>
        <v>8298</v>
      </c>
      <c r="F797" s="105">
        <f>E797/D797*100</f>
        <v>40.08695652173913</v>
      </c>
      <c r="G797" s="129"/>
      <c r="H797" s="193"/>
      <c r="I797" s="416"/>
      <c r="J797" s="193"/>
      <c r="K797" s="129"/>
      <c r="L797" s="110"/>
      <c r="M797" s="128">
        <v>20700</v>
      </c>
      <c r="N797" s="129">
        <v>8298</v>
      </c>
      <c r="O797" s="256">
        <f t="shared" si="94"/>
        <v>40.08695652173913</v>
      </c>
      <c r="P797" s="129"/>
      <c r="Q797" s="129"/>
      <c r="R797" s="200"/>
    </row>
    <row r="798" spans="1:18" s="327" customFormat="1" ht="60">
      <c r="A798" s="267">
        <v>4740</v>
      </c>
      <c r="B798" s="291" t="s">
        <v>380</v>
      </c>
      <c r="C798" s="128">
        <v>22000</v>
      </c>
      <c r="D798" s="104">
        <f>G798+J798+P798+M798</f>
        <v>22000</v>
      </c>
      <c r="E798" s="129">
        <f>SUM(H798+K798+N798+Q798)</f>
        <v>3404</v>
      </c>
      <c r="F798" s="105">
        <f>E798/D798*100</f>
        <v>15.472727272727274</v>
      </c>
      <c r="G798" s="129"/>
      <c r="H798" s="193"/>
      <c r="I798" s="416"/>
      <c r="J798" s="193"/>
      <c r="K798" s="129"/>
      <c r="L798" s="110"/>
      <c r="M798" s="128">
        <v>22000</v>
      </c>
      <c r="N798" s="129">
        <v>3404</v>
      </c>
      <c r="O798" s="256">
        <f t="shared" si="94"/>
        <v>15.472727272727274</v>
      </c>
      <c r="P798" s="129"/>
      <c r="Q798" s="129"/>
      <c r="R798" s="200"/>
    </row>
    <row r="799" spans="1:18" s="327" customFormat="1" ht="36">
      <c r="A799" s="267">
        <v>4750</v>
      </c>
      <c r="B799" s="291" t="s">
        <v>467</v>
      </c>
      <c r="C799" s="128">
        <v>37800</v>
      </c>
      <c r="D799" s="104">
        <f>G799+J799+P799+M799</f>
        <v>37800</v>
      </c>
      <c r="E799" s="129">
        <f>SUM(H799+K799+N799+Q799)</f>
        <v>9695</v>
      </c>
      <c r="F799" s="105">
        <f>E799/D799*100</f>
        <v>25.64814814814815</v>
      </c>
      <c r="G799" s="129"/>
      <c r="H799" s="193"/>
      <c r="I799" s="416"/>
      <c r="J799" s="193"/>
      <c r="K799" s="129"/>
      <c r="L799" s="110"/>
      <c r="M799" s="128">
        <v>37800</v>
      </c>
      <c r="N799" s="129">
        <v>9695</v>
      </c>
      <c r="O799" s="256">
        <f t="shared" si="94"/>
        <v>25.64814814814815</v>
      </c>
      <c r="P799" s="129"/>
      <c r="Q799" s="129"/>
      <c r="R799" s="200"/>
    </row>
    <row r="800" spans="1:18" s="327" customFormat="1" ht="24">
      <c r="A800" s="191">
        <v>6050</v>
      </c>
      <c r="B800" s="198" t="s">
        <v>396</v>
      </c>
      <c r="C800" s="128">
        <v>54700</v>
      </c>
      <c r="D800" s="104">
        <f t="shared" si="89"/>
        <v>70900</v>
      </c>
      <c r="E800" s="129">
        <f t="shared" si="93"/>
        <v>21278</v>
      </c>
      <c r="F800" s="105">
        <f t="shared" si="92"/>
        <v>30.011283497884346</v>
      </c>
      <c r="G800" s="129"/>
      <c r="H800" s="193"/>
      <c r="I800" s="416"/>
      <c r="J800" s="193"/>
      <c r="K800" s="129"/>
      <c r="L800" s="110"/>
      <c r="M800" s="128">
        <f>54700+16200</f>
        <v>70900</v>
      </c>
      <c r="N800" s="129">
        <v>21278</v>
      </c>
      <c r="O800" s="256">
        <f t="shared" si="94"/>
        <v>30.011283497884346</v>
      </c>
      <c r="P800" s="129"/>
      <c r="Q800" s="129"/>
      <c r="R800" s="200"/>
    </row>
    <row r="801" spans="1:18" s="327" customFormat="1" ht="36" hidden="1">
      <c r="A801" s="191">
        <v>6060</v>
      </c>
      <c r="B801" s="198" t="s">
        <v>515</v>
      </c>
      <c r="C801" s="128"/>
      <c r="D801" s="104">
        <f t="shared" si="89"/>
        <v>0</v>
      </c>
      <c r="E801" s="129">
        <f t="shared" si="93"/>
        <v>0</v>
      </c>
      <c r="F801" s="105" t="e">
        <f t="shared" si="92"/>
        <v>#DIV/0!</v>
      </c>
      <c r="G801" s="129"/>
      <c r="H801" s="193"/>
      <c r="I801" s="416"/>
      <c r="J801" s="193"/>
      <c r="K801" s="129"/>
      <c r="L801" s="110"/>
      <c r="M801" s="128">
        <f>31100-31100</f>
        <v>0</v>
      </c>
      <c r="N801" s="236"/>
      <c r="O801" s="256"/>
      <c r="P801" s="129"/>
      <c r="Q801" s="129"/>
      <c r="R801" s="200"/>
    </row>
    <row r="802" spans="1:18" s="304" customFormat="1" ht="30" customHeight="1" hidden="1">
      <c r="A802" s="239">
        <v>80133</v>
      </c>
      <c r="B802" s="296" t="s">
        <v>701</v>
      </c>
      <c r="C802" s="136">
        <f>SUM(C803)</f>
        <v>0</v>
      </c>
      <c r="D802" s="137"/>
      <c r="E802" s="137"/>
      <c r="F802" s="120"/>
      <c r="G802" s="137"/>
      <c r="H802" s="140"/>
      <c r="I802" s="417"/>
      <c r="J802" s="140"/>
      <c r="K802" s="137"/>
      <c r="L802" s="125"/>
      <c r="M802" s="136"/>
      <c r="N802" s="137"/>
      <c r="O802" s="214"/>
      <c r="P802" s="137"/>
      <c r="Q802" s="137"/>
      <c r="R802" s="266"/>
    </row>
    <row r="803" spans="1:18" s="327" customFormat="1" ht="60" hidden="1">
      <c r="A803" s="191">
        <v>2540</v>
      </c>
      <c r="B803" s="198" t="s">
        <v>702</v>
      </c>
      <c r="C803" s="128">
        <v>0</v>
      </c>
      <c r="D803" s="104"/>
      <c r="E803" s="375"/>
      <c r="F803" s="120"/>
      <c r="G803" s="129"/>
      <c r="H803" s="193"/>
      <c r="I803" s="416"/>
      <c r="J803" s="193"/>
      <c r="K803" s="129"/>
      <c r="L803" s="110"/>
      <c r="M803" s="128"/>
      <c r="N803" s="129"/>
      <c r="O803" s="256"/>
      <c r="P803" s="129"/>
      <c r="Q803" s="129"/>
      <c r="R803" s="200"/>
    </row>
    <row r="804" spans="1:18" s="327" customFormat="1" ht="26.25" customHeight="1">
      <c r="A804" s="186">
        <v>80134</v>
      </c>
      <c r="B804" s="294" t="s">
        <v>703</v>
      </c>
      <c r="C804" s="188">
        <f>SUM(C805:C824)</f>
        <v>1257700</v>
      </c>
      <c r="D804" s="137">
        <f>G804+J804+P804+M804</f>
        <v>1251340</v>
      </c>
      <c r="E804" s="119">
        <f>H804+K804+Q804+N804</f>
        <v>299308</v>
      </c>
      <c r="F804" s="120">
        <f aca="true" t="shared" si="95" ref="F804:F849">E804/D804*100</f>
        <v>23.918998833250754</v>
      </c>
      <c r="G804" s="345"/>
      <c r="H804" s="346"/>
      <c r="I804" s="417"/>
      <c r="J804" s="346"/>
      <c r="K804" s="345"/>
      <c r="L804" s="347"/>
      <c r="M804" s="282">
        <f>SUM(M805:M824)</f>
        <v>1251340</v>
      </c>
      <c r="N804" s="119">
        <f>SUM(N805:N824)</f>
        <v>299308</v>
      </c>
      <c r="O804" s="214">
        <f aca="true" t="shared" si="96" ref="O804:O849">N804/M804*100</f>
        <v>23.918998833250754</v>
      </c>
      <c r="P804" s="119"/>
      <c r="Q804" s="119"/>
      <c r="R804" s="283"/>
    </row>
    <row r="805" spans="1:18" s="327" customFormat="1" ht="36">
      <c r="A805" s="172">
        <v>3020</v>
      </c>
      <c r="B805" s="198" t="s">
        <v>677</v>
      </c>
      <c r="C805" s="132">
        <v>3800</v>
      </c>
      <c r="D805" s="149">
        <f aca="true" t="shared" si="97" ref="D805:D819">G805+J805+P805+M805</f>
        <v>3800</v>
      </c>
      <c r="E805" s="150">
        <f aca="true" t="shared" si="98" ref="E805:E810">SUM(H805+K805+N805+Q805)</f>
        <v>46</v>
      </c>
      <c r="F805" s="130">
        <f t="shared" si="95"/>
        <v>1.2105263157894737</v>
      </c>
      <c r="G805" s="150"/>
      <c r="H805" s="223"/>
      <c r="I805" s="426"/>
      <c r="J805" s="223"/>
      <c r="K805" s="150"/>
      <c r="L805" s="154"/>
      <c r="M805" s="132">
        <v>3800</v>
      </c>
      <c r="N805" s="150">
        <v>46</v>
      </c>
      <c r="O805" s="256">
        <f t="shared" si="96"/>
        <v>1.2105263157894737</v>
      </c>
      <c r="P805" s="150"/>
      <c r="Q805" s="150"/>
      <c r="R805" s="226"/>
    </row>
    <row r="806" spans="1:18" s="327" customFormat="1" ht="28.5" customHeight="1">
      <c r="A806" s="191">
        <v>4010</v>
      </c>
      <c r="B806" s="198" t="s">
        <v>346</v>
      </c>
      <c r="C806" s="128">
        <v>873800</v>
      </c>
      <c r="D806" s="104">
        <f t="shared" si="97"/>
        <v>877300</v>
      </c>
      <c r="E806" s="129">
        <f t="shared" si="98"/>
        <v>185079</v>
      </c>
      <c r="F806" s="105">
        <f t="shared" si="95"/>
        <v>21.096432235267297</v>
      </c>
      <c r="G806" s="129"/>
      <c r="H806" s="193"/>
      <c r="I806" s="416"/>
      <c r="J806" s="193"/>
      <c r="K806" s="129"/>
      <c r="L806" s="110"/>
      <c r="M806" s="128">
        <f>873800+3500</f>
        <v>877300</v>
      </c>
      <c r="N806" s="129">
        <v>185079</v>
      </c>
      <c r="O806" s="256">
        <f t="shared" si="96"/>
        <v>21.096432235267297</v>
      </c>
      <c r="P806" s="129"/>
      <c r="Q806" s="129"/>
      <c r="R806" s="200"/>
    </row>
    <row r="807" spans="1:18" s="327" customFormat="1" ht="24.75" customHeight="1">
      <c r="A807" s="191">
        <v>4040</v>
      </c>
      <c r="B807" s="198" t="s">
        <v>350</v>
      </c>
      <c r="C807" s="128">
        <v>67600</v>
      </c>
      <c r="D807" s="104">
        <f t="shared" si="97"/>
        <v>63840</v>
      </c>
      <c r="E807" s="129">
        <f t="shared" si="98"/>
        <v>43994</v>
      </c>
      <c r="F807" s="105">
        <f t="shared" si="95"/>
        <v>68.91290726817043</v>
      </c>
      <c r="G807" s="129"/>
      <c r="H807" s="193"/>
      <c r="I807" s="416"/>
      <c r="J807" s="193"/>
      <c r="K807" s="129"/>
      <c r="L807" s="110"/>
      <c r="M807" s="128">
        <f>67600-3760</f>
        <v>63840</v>
      </c>
      <c r="N807" s="129">
        <v>43994</v>
      </c>
      <c r="O807" s="256">
        <f t="shared" si="96"/>
        <v>68.91290726817043</v>
      </c>
      <c r="P807" s="129"/>
      <c r="Q807" s="129"/>
      <c r="R807" s="200"/>
    </row>
    <row r="808" spans="1:18" s="327" customFormat="1" ht="23.25" customHeight="1">
      <c r="A808" s="191">
        <v>4110</v>
      </c>
      <c r="B808" s="198" t="s">
        <v>352</v>
      </c>
      <c r="C808" s="128">
        <v>154000</v>
      </c>
      <c r="D808" s="104">
        <f t="shared" si="97"/>
        <v>154500</v>
      </c>
      <c r="E808" s="129">
        <f t="shared" si="98"/>
        <v>25593</v>
      </c>
      <c r="F808" s="105">
        <f t="shared" si="95"/>
        <v>16.565048543689322</v>
      </c>
      <c r="G808" s="129"/>
      <c r="H808" s="193"/>
      <c r="I808" s="416"/>
      <c r="J808" s="193"/>
      <c r="K808" s="129"/>
      <c r="L808" s="110"/>
      <c r="M808" s="128">
        <f>154000+500</f>
        <v>154500</v>
      </c>
      <c r="N808" s="129">
        <v>25593</v>
      </c>
      <c r="O808" s="256">
        <f t="shared" si="96"/>
        <v>16.565048543689322</v>
      </c>
      <c r="P808" s="129"/>
      <c r="Q808" s="129"/>
      <c r="R808" s="200"/>
    </row>
    <row r="809" spans="1:18" s="327" customFormat="1" ht="15" customHeight="1">
      <c r="A809" s="191">
        <v>4120</v>
      </c>
      <c r="B809" s="198" t="s">
        <v>504</v>
      </c>
      <c r="C809" s="128">
        <v>22900</v>
      </c>
      <c r="D809" s="104">
        <f t="shared" si="97"/>
        <v>23000</v>
      </c>
      <c r="E809" s="129">
        <f t="shared" si="98"/>
        <v>3246</v>
      </c>
      <c r="F809" s="105">
        <f t="shared" si="95"/>
        <v>14.11304347826087</v>
      </c>
      <c r="G809" s="129"/>
      <c r="H809" s="193"/>
      <c r="I809" s="416"/>
      <c r="J809" s="193"/>
      <c r="K809" s="129"/>
      <c r="L809" s="110"/>
      <c r="M809" s="128">
        <f>22900+100</f>
        <v>23000</v>
      </c>
      <c r="N809" s="129">
        <v>3246</v>
      </c>
      <c r="O809" s="256">
        <f t="shared" si="96"/>
        <v>14.11304347826087</v>
      </c>
      <c r="P809" s="129"/>
      <c r="Q809" s="129"/>
      <c r="R809" s="200"/>
    </row>
    <row r="810" spans="1:18" s="327" customFormat="1" ht="24.75" customHeight="1">
      <c r="A810" s="191">
        <v>4210</v>
      </c>
      <c r="B810" s="198" t="s">
        <v>356</v>
      </c>
      <c r="C810" s="128">
        <v>14000</v>
      </c>
      <c r="D810" s="104">
        <f t="shared" si="97"/>
        <v>17000</v>
      </c>
      <c r="E810" s="129">
        <f t="shared" si="98"/>
        <v>2161</v>
      </c>
      <c r="F810" s="105">
        <f t="shared" si="95"/>
        <v>12.711764705882352</v>
      </c>
      <c r="G810" s="129"/>
      <c r="H810" s="193"/>
      <c r="I810" s="416"/>
      <c r="J810" s="193"/>
      <c r="K810" s="129"/>
      <c r="L810" s="110"/>
      <c r="M810" s="128">
        <f>14000+3000</f>
        <v>17000</v>
      </c>
      <c r="N810" s="129">
        <v>2161</v>
      </c>
      <c r="O810" s="256">
        <f t="shared" si="96"/>
        <v>12.711764705882352</v>
      </c>
      <c r="P810" s="129"/>
      <c r="Q810" s="129"/>
      <c r="R810" s="200"/>
    </row>
    <row r="811" spans="1:18" s="327" customFormat="1" ht="37.5" customHeight="1">
      <c r="A811" s="191">
        <v>4240</v>
      </c>
      <c r="B811" s="198" t="s">
        <v>489</v>
      </c>
      <c r="C811" s="128">
        <v>2000</v>
      </c>
      <c r="D811" s="104">
        <f t="shared" si="97"/>
        <v>2000</v>
      </c>
      <c r="E811" s="104">
        <f>H811+K811+Q811+N811</f>
        <v>407</v>
      </c>
      <c r="F811" s="105">
        <f t="shared" si="95"/>
        <v>20.349999999999998</v>
      </c>
      <c r="G811" s="129"/>
      <c r="H811" s="193"/>
      <c r="I811" s="416"/>
      <c r="J811" s="193"/>
      <c r="K811" s="129"/>
      <c r="L811" s="110"/>
      <c r="M811" s="128">
        <v>2000</v>
      </c>
      <c r="N811" s="129">
        <v>407</v>
      </c>
      <c r="O811" s="256">
        <f t="shared" si="96"/>
        <v>20.349999999999998</v>
      </c>
      <c r="P811" s="129"/>
      <c r="Q811" s="129"/>
      <c r="R811" s="200"/>
    </row>
    <row r="812" spans="1:18" s="327" customFormat="1" ht="15.75" customHeight="1">
      <c r="A812" s="191">
        <v>4260</v>
      </c>
      <c r="B812" s="198" t="s">
        <v>360</v>
      </c>
      <c r="C812" s="128">
        <v>30000</v>
      </c>
      <c r="D812" s="104">
        <f t="shared" si="97"/>
        <v>30000</v>
      </c>
      <c r="E812" s="104">
        <f>H812+K812+Q812+N812</f>
        <v>10752</v>
      </c>
      <c r="F812" s="105">
        <f t="shared" si="95"/>
        <v>35.839999999999996</v>
      </c>
      <c r="G812" s="129"/>
      <c r="H812" s="193"/>
      <c r="I812" s="416"/>
      <c r="J812" s="193"/>
      <c r="K812" s="129"/>
      <c r="L812" s="110"/>
      <c r="M812" s="128">
        <v>30000</v>
      </c>
      <c r="N812" s="129">
        <v>10752</v>
      </c>
      <c r="O812" s="256">
        <f t="shared" si="96"/>
        <v>35.839999999999996</v>
      </c>
      <c r="P812" s="129"/>
      <c r="Q812" s="129"/>
      <c r="R812" s="200"/>
    </row>
    <row r="813" spans="1:18" s="327" customFormat="1" ht="19.5" customHeight="1">
      <c r="A813" s="191">
        <v>4270</v>
      </c>
      <c r="B813" s="198" t="s">
        <v>362</v>
      </c>
      <c r="C813" s="128">
        <v>1400</v>
      </c>
      <c r="D813" s="104">
        <f t="shared" si="97"/>
        <v>1400</v>
      </c>
      <c r="E813" s="104">
        <f>H813+K813+Q813+N813</f>
        <v>838</v>
      </c>
      <c r="F813" s="105">
        <f t="shared" si="95"/>
        <v>59.857142857142854</v>
      </c>
      <c r="G813" s="129"/>
      <c r="H813" s="193"/>
      <c r="I813" s="416"/>
      <c r="J813" s="193"/>
      <c r="K813" s="129"/>
      <c r="L813" s="110"/>
      <c r="M813" s="128">
        <v>1400</v>
      </c>
      <c r="N813" s="129">
        <v>838</v>
      </c>
      <c r="O813" s="256">
        <f t="shared" si="96"/>
        <v>59.857142857142854</v>
      </c>
      <c r="P813" s="129"/>
      <c r="Q813" s="129"/>
      <c r="R813" s="200"/>
    </row>
    <row r="814" spans="1:18" s="327" customFormat="1" ht="21.75" customHeight="1">
      <c r="A814" s="191">
        <v>4280</v>
      </c>
      <c r="B814" s="198" t="s">
        <v>458</v>
      </c>
      <c r="C814" s="128">
        <v>900</v>
      </c>
      <c r="D814" s="104">
        <f t="shared" si="97"/>
        <v>900</v>
      </c>
      <c r="E814" s="104">
        <f>H814+K814+Q814+N814</f>
        <v>213</v>
      </c>
      <c r="F814" s="105">
        <f t="shared" si="95"/>
        <v>23.666666666666668</v>
      </c>
      <c r="G814" s="129"/>
      <c r="H814" s="193"/>
      <c r="I814" s="416"/>
      <c r="J814" s="193"/>
      <c r="K814" s="129"/>
      <c r="L814" s="110"/>
      <c r="M814" s="128">
        <v>900</v>
      </c>
      <c r="N814" s="129">
        <v>213</v>
      </c>
      <c r="O814" s="256">
        <f t="shared" si="96"/>
        <v>23.666666666666668</v>
      </c>
      <c r="P814" s="129"/>
      <c r="Q814" s="129"/>
      <c r="R814" s="200"/>
    </row>
    <row r="815" spans="1:18" s="327" customFormat="1" ht="16.5" customHeight="1">
      <c r="A815" s="191">
        <v>4300</v>
      </c>
      <c r="B815" s="198" t="s">
        <v>364</v>
      </c>
      <c r="C815" s="128">
        <v>28400</v>
      </c>
      <c r="D815" s="104">
        <f t="shared" si="97"/>
        <v>30800</v>
      </c>
      <c r="E815" s="129">
        <f aca="true" t="shared" si="99" ref="E815:E824">SUM(H815+K815+N815+Q815)</f>
        <v>8084</v>
      </c>
      <c r="F815" s="105">
        <f t="shared" si="95"/>
        <v>26.246753246753247</v>
      </c>
      <c r="G815" s="129"/>
      <c r="H815" s="193"/>
      <c r="I815" s="416"/>
      <c r="J815" s="193"/>
      <c r="K815" s="129"/>
      <c r="L815" s="110"/>
      <c r="M815" s="128">
        <f>28400+2400</f>
        <v>30800</v>
      </c>
      <c r="N815" s="129">
        <v>8084</v>
      </c>
      <c r="O815" s="256">
        <f t="shared" si="96"/>
        <v>26.246753246753247</v>
      </c>
      <c r="P815" s="129"/>
      <c r="Q815" s="129"/>
      <c r="R815" s="200"/>
    </row>
    <row r="816" spans="1:18" s="327" customFormat="1" ht="24">
      <c r="A816" s="191">
        <v>4350</v>
      </c>
      <c r="B816" s="198" t="s">
        <v>460</v>
      </c>
      <c r="C816" s="128">
        <v>600</v>
      </c>
      <c r="D816" s="104">
        <f t="shared" si="97"/>
        <v>600</v>
      </c>
      <c r="E816" s="129">
        <f t="shared" si="99"/>
        <v>246</v>
      </c>
      <c r="F816" s="105">
        <f t="shared" si="95"/>
        <v>41</v>
      </c>
      <c r="G816" s="129"/>
      <c r="H816" s="193"/>
      <c r="I816" s="416"/>
      <c r="J816" s="193"/>
      <c r="K816" s="129"/>
      <c r="L816" s="110"/>
      <c r="M816" s="128">
        <v>600</v>
      </c>
      <c r="N816" s="129">
        <v>246</v>
      </c>
      <c r="O816" s="256">
        <f t="shared" si="96"/>
        <v>41</v>
      </c>
      <c r="P816" s="129"/>
      <c r="Q816" s="129"/>
      <c r="R816" s="200"/>
    </row>
    <row r="817" spans="1:18" s="327" customFormat="1" ht="48">
      <c r="A817" s="267">
        <v>4360</v>
      </c>
      <c r="B817" s="291" t="s">
        <v>635</v>
      </c>
      <c r="C817" s="128">
        <v>200</v>
      </c>
      <c r="D817" s="104">
        <f t="shared" si="97"/>
        <v>200</v>
      </c>
      <c r="E817" s="129">
        <f t="shared" si="99"/>
        <v>48</v>
      </c>
      <c r="F817" s="105">
        <f t="shared" si="95"/>
        <v>24</v>
      </c>
      <c r="G817" s="129"/>
      <c r="H817" s="193"/>
      <c r="I817" s="416"/>
      <c r="J817" s="193"/>
      <c r="K817" s="129"/>
      <c r="L817" s="110"/>
      <c r="M817" s="128">
        <v>200</v>
      </c>
      <c r="N817" s="129">
        <v>48</v>
      </c>
      <c r="O817" s="256">
        <f t="shared" si="96"/>
        <v>24</v>
      </c>
      <c r="P817" s="129"/>
      <c r="Q817" s="129"/>
      <c r="R817" s="200"/>
    </row>
    <row r="818" spans="1:18" s="327" customFormat="1" ht="48">
      <c r="A818" s="267">
        <v>4370</v>
      </c>
      <c r="B818" s="291" t="s">
        <v>577</v>
      </c>
      <c r="C818" s="128">
        <v>1400</v>
      </c>
      <c r="D818" s="104">
        <f t="shared" si="97"/>
        <v>1400</v>
      </c>
      <c r="E818" s="129">
        <f t="shared" si="99"/>
        <v>151</v>
      </c>
      <c r="F818" s="105">
        <f t="shared" si="95"/>
        <v>10.785714285714286</v>
      </c>
      <c r="G818" s="129"/>
      <c r="H818" s="193"/>
      <c r="I818" s="416"/>
      <c r="J818" s="193"/>
      <c r="K818" s="129"/>
      <c r="L818" s="110"/>
      <c r="M818" s="128">
        <v>1400</v>
      </c>
      <c r="N818" s="129">
        <v>151</v>
      </c>
      <c r="O818" s="256">
        <f t="shared" si="96"/>
        <v>10.785714285714286</v>
      </c>
      <c r="P818" s="129"/>
      <c r="Q818" s="129"/>
      <c r="R818" s="200"/>
    </row>
    <row r="819" spans="1:18" s="327" customFormat="1" ht="36">
      <c r="A819" s="191">
        <v>4390</v>
      </c>
      <c r="B819" s="305" t="s">
        <v>393</v>
      </c>
      <c r="C819" s="128">
        <v>1400</v>
      </c>
      <c r="D819" s="104">
        <f t="shared" si="97"/>
        <v>1400</v>
      </c>
      <c r="E819" s="129">
        <f t="shared" si="99"/>
        <v>1013</v>
      </c>
      <c r="F819" s="105">
        <f t="shared" si="95"/>
        <v>72.35714285714285</v>
      </c>
      <c r="G819" s="129"/>
      <c r="H819" s="193"/>
      <c r="I819" s="416"/>
      <c r="J819" s="193"/>
      <c r="K819" s="129"/>
      <c r="L819" s="110"/>
      <c r="M819" s="128">
        <v>1400</v>
      </c>
      <c r="N819" s="129">
        <v>1013</v>
      </c>
      <c r="O819" s="256">
        <f t="shared" si="96"/>
        <v>72.35714285714285</v>
      </c>
      <c r="P819" s="129"/>
      <c r="Q819" s="129"/>
      <c r="R819" s="200"/>
    </row>
    <row r="820" spans="1:18" s="327" customFormat="1" ht="16.5" customHeight="1">
      <c r="A820" s="191">
        <v>4410</v>
      </c>
      <c r="B820" s="198" t="s">
        <v>338</v>
      </c>
      <c r="C820" s="128">
        <v>900</v>
      </c>
      <c r="D820" s="104">
        <f>G820+J820+P820+M820</f>
        <v>900</v>
      </c>
      <c r="E820" s="129">
        <f t="shared" si="99"/>
        <v>724</v>
      </c>
      <c r="F820" s="105">
        <f t="shared" si="95"/>
        <v>80.44444444444444</v>
      </c>
      <c r="G820" s="129"/>
      <c r="H820" s="193"/>
      <c r="I820" s="416"/>
      <c r="J820" s="193"/>
      <c r="K820" s="129"/>
      <c r="L820" s="110"/>
      <c r="M820" s="128">
        <v>900</v>
      </c>
      <c r="N820" s="129">
        <v>724</v>
      </c>
      <c r="O820" s="256">
        <f t="shared" si="96"/>
        <v>80.44444444444444</v>
      </c>
      <c r="P820" s="129"/>
      <c r="Q820" s="129"/>
      <c r="R820" s="200"/>
    </row>
    <row r="821" spans="1:18" s="327" customFormat="1" ht="12.75">
      <c r="A821" s="191">
        <v>4440</v>
      </c>
      <c r="B821" s="198" t="s">
        <v>368</v>
      </c>
      <c r="C821" s="128">
        <v>50700</v>
      </c>
      <c r="D821" s="104">
        <f>G821+J821+P821+M821</f>
        <v>38600</v>
      </c>
      <c r="E821" s="129">
        <f t="shared" si="99"/>
        <v>15980</v>
      </c>
      <c r="F821" s="105">
        <f t="shared" si="95"/>
        <v>41.398963730569946</v>
      </c>
      <c r="G821" s="129"/>
      <c r="H821" s="193"/>
      <c r="I821" s="416"/>
      <c r="J821" s="193"/>
      <c r="K821" s="129"/>
      <c r="L821" s="110"/>
      <c r="M821" s="128">
        <f>50700-12100</f>
        <v>38600</v>
      </c>
      <c r="N821" s="129">
        <v>15980</v>
      </c>
      <c r="O821" s="256">
        <f t="shared" si="96"/>
        <v>41.398963730569946</v>
      </c>
      <c r="P821" s="129"/>
      <c r="Q821" s="129"/>
      <c r="R821" s="200"/>
    </row>
    <row r="822" spans="1:18" s="327" customFormat="1" ht="36">
      <c r="A822" s="267">
        <v>4700</v>
      </c>
      <c r="B822" s="291" t="s">
        <v>466</v>
      </c>
      <c r="C822" s="128">
        <v>1100</v>
      </c>
      <c r="D822" s="104">
        <f>G822+J822+P822+M822</f>
        <v>1100</v>
      </c>
      <c r="E822" s="129">
        <f t="shared" si="99"/>
        <v>416</v>
      </c>
      <c r="F822" s="105">
        <f t="shared" si="95"/>
        <v>37.81818181818182</v>
      </c>
      <c r="G822" s="129"/>
      <c r="H822" s="193"/>
      <c r="I822" s="416"/>
      <c r="J822" s="193"/>
      <c r="K822" s="129"/>
      <c r="L822" s="110"/>
      <c r="M822" s="128">
        <v>1100</v>
      </c>
      <c r="N822" s="129">
        <v>416</v>
      </c>
      <c r="O822" s="256">
        <f t="shared" si="96"/>
        <v>37.81818181818182</v>
      </c>
      <c r="P822" s="129"/>
      <c r="Q822" s="129"/>
      <c r="R822" s="200"/>
    </row>
    <row r="823" spans="1:18" s="327" customFormat="1" ht="60">
      <c r="A823" s="267">
        <v>4740</v>
      </c>
      <c r="B823" s="291" t="s">
        <v>380</v>
      </c>
      <c r="C823" s="128">
        <v>800</v>
      </c>
      <c r="D823" s="104">
        <f>G823+J823+P823+M823</f>
        <v>800</v>
      </c>
      <c r="E823" s="129">
        <f t="shared" si="99"/>
        <v>85</v>
      </c>
      <c r="F823" s="105">
        <f t="shared" si="95"/>
        <v>10.625</v>
      </c>
      <c r="G823" s="129"/>
      <c r="H823" s="193"/>
      <c r="I823" s="416"/>
      <c r="J823" s="193"/>
      <c r="K823" s="129"/>
      <c r="L823" s="110"/>
      <c r="M823" s="128">
        <v>800</v>
      </c>
      <c r="N823" s="129">
        <v>85</v>
      </c>
      <c r="O823" s="256">
        <f t="shared" si="96"/>
        <v>10.625</v>
      </c>
      <c r="P823" s="129"/>
      <c r="Q823" s="129"/>
      <c r="R823" s="200"/>
    </row>
    <row r="824" spans="1:18" s="327" customFormat="1" ht="36">
      <c r="A824" s="267">
        <v>4750</v>
      </c>
      <c r="B824" s="291" t="s">
        <v>467</v>
      </c>
      <c r="C824" s="128">
        <v>1800</v>
      </c>
      <c r="D824" s="230">
        <f aca="true" t="shared" si="100" ref="D824:E857">G824+J824+P824+M824</f>
        <v>1800</v>
      </c>
      <c r="E824" s="236">
        <f t="shared" si="99"/>
        <v>232</v>
      </c>
      <c r="F824" s="168">
        <f t="shared" si="95"/>
        <v>12.88888888888889</v>
      </c>
      <c r="G824" s="236"/>
      <c r="H824" s="233"/>
      <c r="I824" s="424"/>
      <c r="J824" s="233"/>
      <c r="K824" s="236"/>
      <c r="L824" s="319"/>
      <c r="M824" s="128">
        <v>1800</v>
      </c>
      <c r="N824" s="236">
        <v>232</v>
      </c>
      <c r="O824" s="256">
        <f t="shared" si="96"/>
        <v>12.88888888888889</v>
      </c>
      <c r="P824" s="236"/>
      <c r="Q824" s="236"/>
      <c r="R824" s="238"/>
    </row>
    <row r="825" spans="1:18" s="327" customFormat="1" ht="60">
      <c r="A825" s="186">
        <v>80140</v>
      </c>
      <c r="B825" s="294" t="s">
        <v>704</v>
      </c>
      <c r="C825" s="188">
        <f>SUM(C826:C849)</f>
        <v>2464400</v>
      </c>
      <c r="D825" s="137">
        <f t="shared" si="100"/>
        <v>2472814</v>
      </c>
      <c r="E825" s="119">
        <f>H825+K825+Q825+N825</f>
        <v>656918</v>
      </c>
      <c r="F825" s="120">
        <f t="shared" si="95"/>
        <v>26.56560501517704</v>
      </c>
      <c r="G825" s="345"/>
      <c r="H825" s="346"/>
      <c r="I825" s="417"/>
      <c r="J825" s="346"/>
      <c r="K825" s="345"/>
      <c r="L825" s="347"/>
      <c r="M825" s="188">
        <f>SUM(M826:M849)</f>
        <v>2472814</v>
      </c>
      <c r="N825" s="119">
        <f>SUM(N826:N849)</f>
        <v>656918</v>
      </c>
      <c r="O825" s="214">
        <f t="shared" si="96"/>
        <v>26.56560501517704</v>
      </c>
      <c r="P825" s="119"/>
      <c r="Q825" s="119"/>
      <c r="R825" s="283"/>
    </row>
    <row r="826" spans="1:18" s="327" customFormat="1" ht="36">
      <c r="A826" s="191">
        <v>3020</v>
      </c>
      <c r="B826" s="198" t="s">
        <v>677</v>
      </c>
      <c r="C826" s="128">
        <v>7000</v>
      </c>
      <c r="D826" s="104">
        <f t="shared" si="100"/>
        <v>14000</v>
      </c>
      <c r="E826" s="129">
        <f aca="true" t="shared" si="101" ref="E826:E849">SUM(H826+K826+N826+Q826)</f>
        <v>6330</v>
      </c>
      <c r="F826" s="105">
        <f t="shared" si="95"/>
        <v>45.214285714285715</v>
      </c>
      <c r="G826" s="129"/>
      <c r="H826" s="193"/>
      <c r="I826" s="416"/>
      <c r="J826" s="193"/>
      <c r="K826" s="129"/>
      <c r="L826" s="110"/>
      <c r="M826" s="128">
        <f>7000+7000</f>
        <v>14000</v>
      </c>
      <c r="N826" s="129">
        <v>6330</v>
      </c>
      <c r="O826" s="256">
        <f t="shared" si="96"/>
        <v>45.214285714285715</v>
      </c>
      <c r="P826" s="129"/>
      <c r="Q826" s="129"/>
      <c r="R826" s="200"/>
    </row>
    <row r="827" spans="1:18" s="327" customFormat="1" ht="24">
      <c r="A827" s="191">
        <v>4010</v>
      </c>
      <c r="B827" s="198" t="s">
        <v>346</v>
      </c>
      <c r="C827" s="128">
        <v>1560000</v>
      </c>
      <c r="D827" s="104">
        <f t="shared" si="100"/>
        <v>1560000</v>
      </c>
      <c r="E827" s="129">
        <f t="shared" si="101"/>
        <v>355953</v>
      </c>
      <c r="F827" s="105">
        <f t="shared" si="95"/>
        <v>22.8175</v>
      </c>
      <c r="G827" s="129"/>
      <c r="H827" s="193"/>
      <c r="I827" s="416"/>
      <c r="J827" s="193"/>
      <c r="K827" s="129"/>
      <c r="L827" s="110"/>
      <c r="M827" s="128">
        <v>1560000</v>
      </c>
      <c r="N827" s="129">
        <v>355953</v>
      </c>
      <c r="O827" s="256">
        <f t="shared" si="96"/>
        <v>22.8175</v>
      </c>
      <c r="P827" s="129"/>
      <c r="Q827" s="129"/>
      <c r="R827" s="200"/>
    </row>
    <row r="828" spans="1:18" s="327" customFormat="1" ht="24">
      <c r="A828" s="191">
        <v>4040</v>
      </c>
      <c r="B828" s="198" t="s">
        <v>350</v>
      </c>
      <c r="C828" s="128">
        <v>130000</v>
      </c>
      <c r="D828" s="104">
        <f t="shared" si="100"/>
        <v>131414</v>
      </c>
      <c r="E828" s="129">
        <f t="shared" si="101"/>
        <v>90773</v>
      </c>
      <c r="F828" s="105">
        <f t="shared" si="95"/>
        <v>69.07407125572618</v>
      </c>
      <c r="G828" s="129"/>
      <c r="H828" s="193"/>
      <c r="I828" s="416"/>
      <c r="J828" s="193"/>
      <c r="K828" s="129"/>
      <c r="L828" s="110"/>
      <c r="M828" s="128">
        <f>130000+1414</f>
        <v>131414</v>
      </c>
      <c r="N828" s="129">
        <v>90773</v>
      </c>
      <c r="O828" s="256">
        <f t="shared" si="96"/>
        <v>69.07407125572618</v>
      </c>
      <c r="P828" s="129"/>
      <c r="Q828" s="129"/>
      <c r="R828" s="200"/>
    </row>
    <row r="829" spans="1:18" s="327" customFormat="1" ht="24">
      <c r="A829" s="191">
        <v>4110</v>
      </c>
      <c r="B829" s="198" t="s">
        <v>352</v>
      </c>
      <c r="C829" s="128">
        <v>280000</v>
      </c>
      <c r="D829" s="104">
        <f t="shared" si="100"/>
        <v>280000</v>
      </c>
      <c r="E829" s="129">
        <f t="shared" si="101"/>
        <v>56668</v>
      </c>
      <c r="F829" s="105">
        <f t="shared" si="95"/>
        <v>20.23857142857143</v>
      </c>
      <c r="G829" s="129"/>
      <c r="H829" s="193"/>
      <c r="I829" s="416"/>
      <c r="J829" s="193"/>
      <c r="K829" s="129"/>
      <c r="L829" s="110"/>
      <c r="M829" s="128">
        <v>280000</v>
      </c>
      <c r="N829" s="129">
        <v>56668</v>
      </c>
      <c r="O829" s="256">
        <f t="shared" si="96"/>
        <v>20.23857142857143</v>
      </c>
      <c r="P829" s="129"/>
      <c r="Q829" s="129"/>
      <c r="R829" s="200"/>
    </row>
    <row r="830" spans="1:18" s="327" customFormat="1" ht="12.75">
      <c r="A830" s="191">
        <v>4120</v>
      </c>
      <c r="B830" s="198" t="s">
        <v>504</v>
      </c>
      <c r="C830" s="128">
        <v>41000</v>
      </c>
      <c r="D830" s="104">
        <f t="shared" si="100"/>
        <v>41000</v>
      </c>
      <c r="E830" s="129">
        <f t="shared" si="101"/>
        <v>8781</v>
      </c>
      <c r="F830" s="105">
        <f t="shared" si="95"/>
        <v>21.417073170731708</v>
      </c>
      <c r="G830" s="129"/>
      <c r="H830" s="193"/>
      <c r="I830" s="416"/>
      <c r="J830" s="193"/>
      <c r="K830" s="129"/>
      <c r="L830" s="110"/>
      <c r="M830" s="128">
        <v>41000</v>
      </c>
      <c r="N830" s="129">
        <v>8781</v>
      </c>
      <c r="O830" s="256">
        <f t="shared" si="96"/>
        <v>21.417073170731708</v>
      </c>
      <c r="P830" s="129"/>
      <c r="Q830" s="129"/>
      <c r="R830" s="200"/>
    </row>
    <row r="831" spans="1:18" s="327" customFormat="1" ht="12.75">
      <c r="A831" s="191">
        <v>4140</v>
      </c>
      <c r="B831" s="198" t="s">
        <v>457</v>
      </c>
      <c r="C831" s="128">
        <v>28300</v>
      </c>
      <c r="D831" s="104">
        <f t="shared" si="100"/>
        <v>28300</v>
      </c>
      <c r="E831" s="129">
        <f>SUM(H831+K831+N831+Q831)</f>
        <v>3090</v>
      </c>
      <c r="F831" s="105">
        <f>E831/D831*100</f>
        <v>10.918727915194346</v>
      </c>
      <c r="G831" s="129"/>
      <c r="H831" s="193"/>
      <c r="I831" s="416"/>
      <c r="J831" s="193"/>
      <c r="K831" s="129"/>
      <c r="L831" s="110"/>
      <c r="M831" s="128">
        <v>28300</v>
      </c>
      <c r="N831" s="129">
        <v>3090</v>
      </c>
      <c r="O831" s="256">
        <f t="shared" si="96"/>
        <v>10.918727915194346</v>
      </c>
      <c r="P831" s="129"/>
      <c r="Q831" s="129"/>
      <c r="R831" s="200"/>
    </row>
    <row r="832" spans="1:18" s="327" customFormat="1" ht="24">
      <c r="A832" s="191">
        <v>4210</v>
      </c>
      <c r="B832" s="198" t="s">
        <v>356</v>
      </c>
      <c r="C832" s="128">
        <v>30000</v>
      </c>
      <c r="D832" s="104">
        <f t="shared" si="100"/>
        <v>30000</v>
      </c>
      <c r="E832" s="129">
        <f t="shared" si="101"/>
        <v>7097</v>
      </c>
      <c r="F832" s="105">
        <f t="shared" si="95"/>
        <v>23.656666666666666</v>
      </c>
      <c r="G832" s="129"/>
      <c r="H832" s="193"/>
      <c r="I832" s="416"/>
      <c r="J832" s="193"/>
      <c r="K832" s="129"/>
      <c r="L832" s="110"/>
      <c r="M832" s="128">
        <v>30000</v>
      </c>
      <c r="N832" s="129">
        <v>7097</v>
      </c>
      <c r="O832" s="256">
        <f t="shared" si="96"/>
        <v>23.656666666666666</v>
      </c>
      <c r="P832" s="129"/>
      <c r="Q832" s="129"/>
      <c r="R832" s="200"/>
    </row>
    <row r="833" spans="1:18" s="327" customFormat="1" ht="36">
      <c r="A833" s="191">
        <v>4240</v>
      </c>
      <c r="B833" s="198" t="s">
        <v>489</v>
      </c>
      <c r="C833" s="128">
        <v>10000</v>
      </c>
      <c r="D833" s="104">
        <f t="shared" si="100"/>
        <v>10000</v>
      </c>
      <c r="E833" s="129">
        <f t="shared" si="101"/>
        <v>507</v>
      </c>
      <c r="F833" s="105">
        <f t="shared" si="95"/>
        <v>5.07</v>
      </c>
      <c r="G833" s="129"/>
      <c r="H833" s="193"/>
      <c r="I833" s="416"/>
      <c r="J833" s="193"/>
      <c r="K833" s="129"/>
      <c r="L833" s="110"/>
      <c r="M833" s="128">
        <v>10000</v>
      </c>
      <c r="N833" s="129">
        <v>507</v>
      </c>
      <c r="O833" s="256">
        <f t="shared" si="96"/>
        <v>5.07</v>
      </c>
      <c r="P833" s="129"/>
      <c r="Q833" s="129"/>
      <c r="R833" s="200"/>
    </row>
    <row r="834" spans="1:18" s="327" customFormat="1" ht="12.75">
      <c r="A834" s="191">
        <v>4260</v>
      </c>
      <c r="B834" s="198" t="s">
        <v>360</v>
      </c>
      <c r="C834" s="128">
        <v>180000</v>
      </c>
      <c r="D834" s="104">
        <f t="shared" si="100"/>
        <v>180000</v>
      </c>
      <c r="E834" s="129">
        <f t="shared" si="101"/>
        <v>68794</v>
      </c>
      <c r="F834" s="105">
        <f t="shared" si="95"/>
        <v>38.21888888888889</v>
      </c>
      <c r="G834" s="129"/>
      <c r="H834" s="193"/>
      <c r="I834" s="416"/>
      <c r="J834" s="193"/>
      <c r="K834" s="129"/>
      <c r="L834" s="110"/>
      <c r="M834" s="128">
        <v>180000</v>
      </c>
      <c r="N834" s="129">
        <v>68794</v>
      </c>
      <c r="O834" s="256">
        <f t="shared" si="96"/>
        <v>38.21888888888889</v>
      </c>
      <c r="P834" s="129"/>
      <c r="Q834" s="129"/>
      <c r="R834" s="200"/>
    </row>
    <row r="835" spans="1:18" s="327" customFormat="1" ht="14.25" customHeight="1">
      <c r="A835" s="191">
        <v>4270</v>
      </c>
      <c r="B835" s="198" t="s">
        <v>362</v>
      </c>
      <c r="C835" s="128">
        <v>10000</v>
      </c>
      <c r="D835" s="104">
        <f t="shared" si="100"/>
        <v>10000</v>
      </c>
      <c r="E835" s="129">
        <f t="shared" si="101"/>
        <v>1813</v>
      </c>
      <c r="F835" s="105">
        <f t="shared" si="95"/>
        <v>18.13</v>
      </c>
      <c r="G835" s="129"/>
      <c r="H835" s="193"/>
      <c r="I835" s="416"/>
      <c r="J835" s="193"/>
      <c r="K835" s="129"/>
      <c r="L835" s="110"/>
      <c r="M835" s="128">
        <v>10000</v>
      </c>
      <c r="N835" s="129">
        <v>1813</v>
      </c>
      <c r="O835" s="256">
        <f t="shared" si="96"/>
        <v>18.13</v>
      </c>
      <c r="P835" s="129"/>
      <c r="Q835" s="129"/>
      <c r="R835" s="200"/>
    </row>
    <row r="836" spans="1:18" s="327" customFormat="1" ht="24">
      <c r="A836" s="191">
        <v>4280</v>
      </c>
      <c r="B836" s="198" t="s">
        <v>458</v>
      </c>
      <c r="C836" s="128">
        <v>1500</v>
      </c>
      <c r="D836" s="104">
        <f t="shared" si="100"/>
        <v>1500</v>
      </c>
      <c r="E836" s="129">
        <f t="shared" si="101"/>
        <v>0</v>
      </c>
      <c r="F836" s="105">
        <f t="shared" si="95"/>
        <v>0</v>
      </c>
      <c r="G836" s="129"/>
      <c r="H836" s="193"/>
      <c r="I836" s="416"/>
      <c r="J836" s="193"/>
      <c r="K836" s="129"/>
      <c r="L836" s="110"/>
      <c r="M836" s="128">
        <v>1500</v>
      </c>
      <c r="N836" s="129"/>
      <c r="O836" s="256">
        <f t="shared" si="96"/>
        <v>0</v>
      </c>
      <c r="P836" s="129"/>
      <c r="Q836" s="129"/>
      <c r="R836" s="200"/>
    </row>
    <row r="837" spans="1:18" s="327" customFormat="1" ht="24">
      <c r="A837" s="191">
        <v>4300</v>
      </c>
      <c r="B837" s="198" t="s">
        <v>364</v>
      </c>
      <c r="C837" s="128">
        <v>16000</v>
      </c>
      <c r="D837" s="104">
        <f t="shared" si="100"/>
        <v>16000</v>
      </c>
      <c r="E837" s="129">
        <f t="shared" si="101"/>
        <v>3108</v>
      </c>
      <c r="F837" s="105">
        <f t="shared" si="95"/>
        <v>19.425</v>
      </c>
      <c r="G837" s="129"/>
      <c r="H837" s="193"/>
      <c r="I837" s="416"/>
      <c r="J837" s="193"/>
      <c r="K837" s="129"/>
      <c r="L837" s="110"/>
      <c r="M837" s="128">
        <v>16000</v>
      </c>
      <c r="N837" s="129">
        <v>3108</v>
      </c>
      <c r="O837" s="256">
        <f t="shared" si="96"/>
        <v>19.425</v>
      </c>
      <c r="P837" s="129"/>
      <c r="Q837" s="129"/>
      <c r="R837" s="200"/>
    </row>
    <row r="838" spans="1:18" s="327" customFormat="1" ht="24">
      <c r="A838" s="191">
        <v>4350</v>
      </c>
      <c r="B838" s="198" t="s">
        <v>460</v>
      </c>
      <c r="C838" s="128">
        <v>6700</v>
      </c>
      <c r="D838" s="104">
        <f t="shared" si="100"/>
        <v>6700</v>
      </c>
      <c r="E838" s="129">
        <f t="shared" si="101"/>
        <v>1639</v>
      </c>
      <c r="F838" s="105">
        <f t="shared" si="95"/>
        <v>24.46268656716418</v>
      </c>
      <c r="G838" s="129"/>
      <c r="H838" s="193"/>
      <c r="I838" s="416"/>
      <c r="J838" s="193"/>
      <c r="K838" s="129"/>
      <c r="L838" s="110"/>
      <c r="M838" s="128">
        <v>6700</v>
      </c>
      <c r="N838" s="129">
        <v>1639</v>
      </c>
      <c r="O838" s="256">
        <f t="shared" si="96"/>
        <v>24.46268656716418</v>
      </c>
      <c r="P838" s="129"/>
      <c r="Q838" s="129"/>
      <c r="R838" s="200"/>
    </row>
    <row r="839" spans="1:18" s="327" customFormat="1" ht="48">
      <c r="A839" s="267">
        <v>4360</v>
      </c>
      <c r="B839" s="291" t="s">
        <v>635</v>
      </c>
      <c r="C839" s="128">
        <v>1300</v>
      </c>
      <c r="D839" s="104">
        <f t="shared" si="100"/>
        <v>1300</v>
      </c>
      <c r="E839" s="129">
        <f>SUM(H839+K839+N839+Q839)</f>
        <v>308</v>
      </c>
      <c r="F839" s="105">
        <f>E839/D839*100</f>
        <v>23.692307692307693</v>
      </c>
      <c r="G839" s="129"/>
      <c r="H839" s="193"/>
      <c r="I839" s="416"/>
      <c r="J839" s="193"/>
      <c r="K839" s="129"/>
      <c r="L839" s="110"/>
      <c r="M839" s="128">
        <v>1300</v>
      </c>
      <c r="N839" s="129">
        <v>308</v>
      </c>
      <c r="O839" s="256">
        <f t="shared" si="96"/>
        <v>23.692307692307693</v>
      </c>
      <c r="P839" s="129"/>
      <c r="Q839" s="129"/>
      <c r="R839" s="200"/>
    </row>
    <row r="840" spans="1:18" s="327" customFormat="1" ht="48">
      <c r="A840" s="267">
        <v>4370</v>
      </c>
      <c r="B840" s="291" t="s">
        <v>577</v>
      </c>
      <c r="C840" s="128">
        <v>13000</v>
      </c>
      <c r="D840" s="104">
        <f t="shared" si="100"/>
        <v>13000</v>
      </c>
      <c r="E840" s="129">
        <f>SUM(H840+K840+N840+Q840)</f>
        <v>2834</v>
      </c>
      <c r="F840" s="105">
        <f>E840/D840*100</f>
        <v>21.8</v>
      </c>
      <c r="G840" s="129"/>
      <c r="H840" s="193"/>
      <c r="I840" s="416"/>
      <c r="J840" s="193"/>
      <c r="K840" s="129"/>
      <c r="L840" s="110"/>
      <c r="M840" s="128">
        <v>13000</v>
      </c>
      <c r="N840" s="129">
        <v>2834</v>
      </c>
      <c r="O840" s="256">
        <f t="shared" si="96"/>
        <v>21.8</v>
      </c>
      <c r="P840" s="129"/>
      <c r="Q840" s="129"/>
      <c r="R840" s="200"/>
    </row>
    <row r="841" spans="1:18" s="327" customFormat="1" ht="36">
      <c r="A841" s="191">
        <v>4390</v>
      </c>
      <c r="B841" s="305" t="s">
        <v>393</v>
      </c>
      <c r="C841" s="128">
        <v>4000</v>
      </c>
      <c r="D841" s="104">
        <f t="shared" si="100"/>
        <v>4000</v>
      </c>
      <c r="E841" s="129">
        <f>SUM(H841+K841+N841+Q841)</f>
        <v>0</v>
      </c>
      <c r="F841" s="105">
        <f>E841/D841*100</f>
        <v>0</v>
      </c>
      <c r="G841" s="129"/>
      <c r="H841" s="193"/>
      <c r="I841" s="416"/>
      <c r="J841" s="193"/>
      <c r="K841" s="129"/>
      <c r="L841" s="110"/>
      <c r="M841" s="128">
        <v>4000</v>
      </c>
      <c r="N841" s="129"/>
      <c r="O841" s="256">
        <f t="shared" si="96"/>
        <v>0</v>
      </c>
      <c r="P841" s="129"/>
      <c r="Q841" s="129"/>
      <c r="R841" s="200"/>
    </row>
    <row r="842" spans="1:18" s="327" customFormat="1" ht="24">
      <c r="A842" s="191">
        <v>4410</v>
      </c>
      <c r="B842" s="198" t="s">
        <v>338</v>
      </c>
      <c r="C842" s="128">
        <v>1500</v>
      </c>
      <c r="D842" s="104">
        <f t="shared" si="100"/>
        <v>1500</v>
      </c>
      <c r="E842" s="129">
        <f t="shared" si="101"/>
        <v>0</v>
      </c>
      <c r="F842" s="105">
        <f t="shared" si="95"/>
        <v>0</v>
      </c>
      <c r="G842" s="129"/>
      <c r="H842" s="193"/>
      <c r="I842" s="416"/>
      <c r="J842" s="193"/>
      <c r="K842" s="129"/>
      <c r="L842" s="110"/>
      <c r="M842" s="128">
        <v>1500</v>
      </c>
      <c r="N842" s="129"/>
      <c r="O842" s="256">
        <f t="shared" si="96"/>
        <v>0</v>
      </c>
      <c r="P842" s="129"/>
      <c r="Q842" s="129"/>
      <c r="R842" s="200"/>
    </row>
    <row r="843" spans="1:18" s="327" customFormat="1" ht="12.75" hidden="1">
      <c r="A843" s="191">
        <v>4430</v>
      </c>
      <c r="B843" s="198" t="s">
        <v>366</v>
      </c>
      <c r="C843" s="128"/>
      <c r="D843" s="104">
        <f t="shared" si="100"/>
        <v>0</v>
      </c>
      <c r="E843" s="129">
        <f t="shared" si="101"/>
        <v>0</v>
      </c>
      <c r="F843" s="105" t="e">
        <f t="shared" si="95"/>
        <v>#DIV/0!</v>
      </c>
      <c r="G843" s="129"/>
      <c r="H843" s="193"/>
      <c r="I843" s="416"/>
      <c r="J843" s="193"/>
      <c r="K843" s="129"/>
      <c r="L843" s="110"/>
      <c r="M843" s="128"/>
      <c r="N843" s="129"/>
      <c r="O843" s="256" t="e">
        <f t="shared" si="96"/>
        <v>#DIV/0!</v>
      </c>
      <c r="P843" s="129"/>
      <c r="Q843" s="129"/>
      <c r="R843" s="200"/>
    </row>
    <row r="844" spans="1:18" s="327" customFormat="1" ht="12.75">
      <c r="A844" s="191">
        <v>4440</v>
      </c>
      <c r="B844" s="198" t="s">
        <v>368</v>
      </c>
      <c r="C844" s="128">
        <v>94000</v>
      </c>
      <c r="D844" s="104">
        <f t="shared" si="100"/>
        <v>94000</v>
      </c>
      <c r="E844" s="129">
        <f t="shared" si="101"/>
        <v>44225</v>
      </c>
      <c r="F844" s="105">
        <f t="shared" si="95"/>
        <v>47.047872340425535</v>
      </c>
      <c r="G844" s="129"/>
      <c r="H844" s="193"/>
      <c r="I844" s="416"/>
      <c r="J844" s="193"/>
      <c r="K844" s="129"/>
      <c r="L844" s="110"/>
      <c r="M844" s="128">
        <v>94000</v>
      </c>
      <c r="N844" s="129">
        <v>44225</v>
      </c>
      <c r="O844" s="256">
        <f t="shared" si="96"/>
        <v>47.047872340425535</v>
      </c>
      <c r="P844" s="129"/>
      <c r="Q844" s="129"/>
      <c r="R844" s="200"/>
    </row>
    <row r="845" spans="1:18" s="327" customFormat="1" ht="36">
      <c r="A845" s="267">
        <v>4700</v>
      </c>
      <c r="B845" s="291" t="s">
        <v>466</v>
      </c>
      <c r="C845" s="128">
        <v>5000</v>
      </c>
      <c r="D845" s="104">
        <f t="shared" si="100"/>
        <v>5000</v>
      </c>
      <c r="E845" s="129">
        <f t="shared" si="101"/>
        <v>1320</v>
      </c>
      <c r="F845" s="105">
        <f t="shared" si="95"/>
        <v>26.400000000000002</v>
      </c>
      <c r="G845" s="129"/>
      <c r="H845" s="193"/>
      <c r="I845" s="416"/>
      <c r="J845" s="193"/>
      <c r="K845" s="129"/>
      <c r="L845" s="110"/>
      <c r="M845" s="128">
        <v>5000</v>
      </c>
      <c r="N845" s="129">
        <v>1320</v>
      </c>
      <c r="O845" s="256">
        <f t="shared" si="96"/>
        <v>26.400000000000002</v>
      </c>
      <c r="P845" s="129"/>
      <c r="Q845" s="129"/>
      <c r="R845" s="200"/>
    </row>
    <row r="846" spans="1:18" s="327" customFormat="1" ht="60">
      <c r="A846" s="267">
        <v>4740</v>
      </c>
      <c r="B846" s="291" t="s">
        <v>380</v>
      </c>
      <c r="C846" s="128">
        <v>2700</v>
      </c>
      <c r="D846" s="104">
        <f t="shared" si="100"/>
        <v>2700</v>
      </c>
      <c r="E846" s="129">
        <f t="shared" si="101"/>
        <v>369</v>
      </c>
      <c r="F846" s="105">
        <f t="shared" si="95"/>
        <v>13.666666666666666</v>
      </c>
      <c r="G846" s="129"/>
      <c r="H846" s="193"/>
      <c r="I846" s="416"/>
      <c r="J846" s="193"/>
      <c r="K846" s="129"/>
      <c r="L846" s="110"/>
      <c r="M846" s="128">
        <v>2700</v>
      </c>
      <c r="N846" s="129">
        <v>369</v>
      </c>
      <c r="O846" s="256">
        <f t="shared" si="96"/>
        <v>13.666666666666666</v>
      </c>
      <c r="P846" s="129"/>
      <c r="Q846" s="129"/>
      <c r="R846" s="200"/>
    </row>
    <row r="847" spans="1:18" s="327" customFormat="1" ht="36">
      <c r="A847" s="267">
        <v>4750</v>
      </c>
      <c r="B847" s="291" t="s">
        <v>467</v>
      </c>
      <c r="C847" s="128">
        <v>10000</v>
      </c>
      <c r="D847" s="104">
        <f t="shared" si="100"/>
        <v>10000</v>
      </c>
      <c r="E847" s="129">
        <f t="shared" si="101"/>
        <v>3309</v>
      </c>
      <c r="F847" s="105">
        <f t="shared" si="95"/>
        <v>33.09</v>
      </c>
      <c r="G847" s="129"/>
      <c r="H847" s="193"/>
      <c r="I847" s="416"/>
      <c r="J847" s="193"/>
      <c r="K847" s="129"/>
      <c r="L847" s="110"/>
      <c r="M847" s="128">
        <v>10000</v>
      </c>
      <c r="N847" s="129">
        <v>3309</v>
      </c>
      <c r="O847" s="256">
        <f t="shared" si="96"/>
        <v>33.09</v>
      </c>
      <c r="P847" s="129"/>
      <c r="Q847" s="129"/>
      <c r="R847" s="200"/>
    </row>
    <row r="848" spans="1:18" s="327" customFormat="1" ht="24">
      <c r="A848" s="267">
        <v>6050</v>
      </c>
      <c r="B848" s="198" t="s">
        <v>396</v>
      </c>
      <c r="C848" s="128">
        <v>28300</v>
      </c>
      <c r="D848" s="104">
        <f>G848+J848+P848+M848</f>
        <v>28300</v>
      </c>
      <c r="E848" s="129">
        <f t="shared" si="101"/>
        <v>0</v>
      </c>
      <c r="F848" s="105">
        <f t="shared" si="95"/>
        <v>0</v>
      </c>
      <c r="G848" s="129"/>
      <c r="H848" s="193"/>
      <c r="I848" s="416"/>
      <c r="J848" s="193"/>
      <c r="K848" s="129"/>
      <c r="L848" s="110"/>
      <c r="M848" s="128">
        <v>28300</v>
      </c>
      <c r="N848" s="129"/>
      <c r="O848" s="256">
        <f t="shared" si="96"/>
        <v>0</v>
      </c>
      <c r="P848" s="129"/>
      <c r="Q848" s="129"/>
      <c r="R848" s="200"/>
    </row>
    <row r="849" spans="1:18" s="327" customFormat="1" ht="36">
      <c r="A849" s="191">
        <v>6060</v>
      </c>
      <c r="B849" s="198" t="s">
        <v>515</v>
      </c>
      <c r="C849" s="128">
        <v>4100</v>
      </c>
      <c r="D849" s="104">
        <f t="shared" si="100"/>
        <v>4100</v>
      </c>
      <c r="E849" s="129">
        <f t="shared" si="101"/>
        <v>0</v>
      </c>
      <c r="F849" s="105">
        <f t="shared" si="95"/>
        <v>0</v>
      </c>
      <c r="G849" s="129"/>
      <c r="H849" s="193"/>
      <c r="I849" s="416"/>
      <c r="J849" s="193"/>
      <c r="K849" s="129"/>
      <c r="L849" s="110"/>
      <c r="M849" s="128">
        <v>4100</v>
      </c>
      <c r="N849" s="129"/>
      <c r="O849" s="256">
        <f t="shared" si="96"/>
        <v>0</v>
      </c>
      <c r="P849" s="129"/>
      <c r="Q849" s="129"/>
      <c r="R849" s="200"/>
    </row>
    <row r="850" spans="1:18" s="304" customFormat="1" ht="15" customHeight="1" hidden="1">
      <c r="A850" s="239">
        <v>80145</v>
      </c>
      <c r="B850" s="296" t="s">
        <v>705</v>
      </c>
      <c r="C850" s="136">
        <f>SUM(C852)</f>
        <v>0</v>
      </c>
      <c r="D850" s="137">
        <f t="shared" si="100"/>
        <v>0</v>
      </c>
      <c r="E850" s="137">
        <f>H850+K850+Q850+N850</f>
        <v>0</v>
      </c>
      <c r="F850" s="120" t="e">
        <f>E850/D850*100</f>
        <v>#DIV/0!</v>
      </c>
      <c r="G850" s="428">
        <f>SUM(G851:G852)</f>
        <v>0</v>
      </c>
      <c r="H850" s="137">
        <f>SUM(H851:H852)</f>
        <v>0</v>
      </c>
      <c r="I850" s="214" t="e">
        <f>H850/G850*100</f>
        <v>#DIV/0!</v>
      </c>
      <c r="J850" s="140"/>
      <c r="K850" s="137"/>
      <c r="L850" s="125"/>
      <c r="M850" s="136">
        <f>SUM(M851:M852)</f>
        <v>0</v>
      </c>
      <c r="N850" s="137">
        <f>SUM(N851:N852)</f>
        <v>0</v>
      </c>
      <c r="O850" s="127" t="e">
        <f>N850/M850*100</f>
        <v>#DIV/0!</v>
      </c>
      <c r="P850" s="137"/>
      <c r="Q850" s="137"/>
      <c r="R850" s="266"/>
    </row>
    <row r="851" spans="1:18" s="254" customFormat="1" ht="24" hidden="1">
      <c r="A851" s="314">
        <v>4170</v>
      </c>
      <c r="B851" s="315" t="s">
        <v>392</v>
      </c>
      <c r="C851" s="148"/>
      <c r="D851" s="149">
        <f t="shared" si="100"/>
        <v>0</v>
      </c>
      <c r="E851" s="150">
        <f>SUM(H851+K851+N851+Q851)</f>
        <v>0</v>
      </c>
      <c r="F851" s="130" t="e">
        <f>E851/D851*100</f>
        <v>#DIV/0!</v>
      </c>
      <c r="G851" s="148"/>
      <c r="H851" s="153"/>
      <c r="I851" s="222" t="e">
        <f>H851/G851*100</f>
        <v>#DIV/0!</v>
      </c>
      <c r="J851" s="153"/>
      <c r="K851" s="149"/>
      <c r="L851" s="154"/>
      <c r="M851" s="148"/>
      <c r="N851" s="149"/>
      <c r="O851" s="113" t="e">
        <f>N851/M851*100</f>
        <v>#DIV/0!</v>
      </c>
      <c r="P851" s="149"/>
      <c r="Q851" s="149"/>
      <c r="R851" s="226"/>
    </row>
    <row r="852" spans="1:18" s="327" customFormat="1" ht="14.25" customHeight="1" hidden="1">
      <c r="A852" s="227">
        <v>4300</v>
      </c>
      <c r="B852" s="228" t="s">
        <v>364</v>
      </c>
      <c r="C852" s="229"/>
      <c r="D852" s="230">
        <f t="shared" si="100"/>
        <v>0</v>
      </c>
      <c r="E852" s="236">
        <f>SUM(H852+K852+N852+Q852)</f>
        <v>0</v>
      </c>
      <c r="F852" s="168"/>
      <c r="G852" s="236">
        <f>7000-7000</f>
        <v>0</v>
      </c>
      <c r="H852" s="233"/>
      <c r="I852" s="232"/>
      <c r="J852" s="233"/>
      <c r="K852" s="236"/>
      <c r="L852" s="319"/>
      <c r="M852" s="229">
        <f>5000-5000</f>
        <v>0</v>
      </c>
      <c r="N852" s="236"/>
      <c r="O852" s="170"/>
      <c r="P852" s="236"/>
      <c r="Q852" s="236"/>
      <c r="R852" s="238"/>
    </row>
    <row r="853" spans="1:18" s="304" customFormat="1" ht="30" customHeight="1">
      <c r="A853" s="239">
        <v>80146</v>
      </c>
      <c r="B853" s="296" t="s">
        <v>706</v>
      </c>
      <c r="C853" s="136">
        <f>SUM(C854:C868)</f>
        <v>595800</v>
      </c>
      <c r="D853" s="137">
        <f t="shared" si="100"/>
        <v>538013</v>
      </c>
      <c r="E853" s="137">
        <f>H853+K853+Q853+N853</f>
        <v>55792</v>
      </c>
      <c r="F853" s="120">
        <f aca="true" t="shared" si="102" ref="F853:F878">E853/D853*100</f>
        <v>10.370009646607052</v>
      </c>
      <c r="G853" s="136">
        <f>SUM(G854:G868)</f>
        <v>270560</v>
      </c>
      <c r="H853" s="338">
        <f>SUM(H854:H868)</f>
        <v>25615</v>
      </c>
      <c r="I853" s="214">
        <f aca="true" t="shared" si="103" ref="I853:I878">H853/G853*100</f>
        <v>9.46740094618569</v>
      </c>
      <c r="J853" s="140"/>
      <c r="K853" s="137"/>
      <c r="L853" s="125"/>
      <c r="M853" s="136">
        <f>SUM(M854:M868)</f>
        <v>267453</v>
      </c>
      <c r="N853" s="137">
        <f>SUM(N854:N868)</f>
        <v>30177</v>
      </c>
      <c r="O853" s="127">
        <f>N853/M853*100</f>
        <v>11.283103947235588</v>
      </c>
      <c r="P853" s="137"/>
      <c r="Q853" s="137"/>
      <c r="R853" s="266"/>
    </row>
    <row r="854" spans="1:18" s="327" customFormat="1" ht="24">
      <c r="A854" s="172">
        <v>2510</v>
      </c>
      <c r="B854" s="320" t="s">
        <v>707</v>
      </c>
      <c r="C854" s="132">
        <v>58000</v>
      </c>
      <c r="D854" s="149">
        <f t="shared" si="100"/>
        <v>0</v>
      </c>
      <c r="E854" s="149">
        <f>H854+K854+Q854+N854</f>
        <v>0</v>
      </c>
      <c r="F854" s="130"/>
      <c r="G854" s="132">
        <f>58000-58000</f>
        <v>0</v>
      </c>
      <c r="H854" s="223"/>
      <c r="I854" s="256"/>
      <c r="J854" s="223"/>
      <c r="K854" s="150"/>
      <c r="L854" s="154"/>
      <c r="M854" s="132"/>
      <c r="N854" s="150"/>
      <c r="O854" s="113"/>
      <c r="P854" s="150"/>
      <c r="Q854" s="150"/>
      <c r="R854" s="226"/>
    </row>
    <row r="855" spans="1:18" s="327" customFormat="1" ht="24">
      <c r="A855" s="191">
        <v>4010</v>
      </c>
      <c r="B855" s="198" t="s">
        <v>346</v>
      </c>
      <c r="C855" s="128">
        <v>127700</v>
      </c>
      <c r="D855" s="104">
        <f t="shared" si="100"/>
        <v>127700</v>
      </c>
      <c r="E855" s="104">
        <f>H855+K855+Q855+N855</f>
        <v>29405</v>
      </c>
      <c r="F855" s="105">
        <f t="shared" si="102"/>
        <v>23.02662490211433</v>
      </c>
      <c r="G855" s="128">
        <v>50300</v>
      </c>
      <c r="H855" s="193">
        <v>11480</v>
      </c>
      <c r="I855" s="256">
        <f t="shared" si="103"/>
        <v>22.82306163021869</v>
      </c>
      <c r="J855" s="193"/>
      <c r="K855" s="129"/>
      <c r="L855" s="110"/>
      <c r="M855" s="128">
        <v>77400</v>
      </c>
      <c r="N855" s="129">
        <v>17925</v>
      </c>
      <c r="O855" s="256">
        <f aca="true" t="shared" si="104" ref="O855:O863">N855/M855*100</f>
        <v>23.15891472868217</v>
      </c>
      <c r="P855" s="129"/>
      <c r="Q855" s="129"/>
      <c r="R855" s="200"/>
    </row>
    <row r="856" spans="1:18" s="327" customFormat="1" ht="24">
      <c r="A856" s="191">
        <v>4040</v>
      </c>
      <c r="B856" s="198" t="s">
        <v>350</v>
      </c>
      <c r="C856" s="128">
        <v>10500</v>
      </c>
      <c r="D856" s="104">
        <f t="shared" si="100"/>
        <v>10083</v>
      </c>
      <c r="E856" s="129">
        <f>SUM(H856+K856+N856+Q856)</f>
        <v>6891</v>
      </c>
      <c r="F856" s="105">
        <f t="shared" si="102"/>
        <v>68.34275513240107</v>
      </c>
      <c r="G856" s="129">
        <v>4200</v>
      </c>
      <c r="H856" s="193">
        <v>2664</v>
      </c>
      <c r="I856" s="256">
        <f t="shared" si="103"/>
        <v>63.42857142857142</v>
      </c>
      <c r="J856" s="193"/>
      <c r="K856" s="129"/>
      <c r="L856" s="110"/>
      <c r="M856" s="128">
        <f>6300-417</f>
        <v>5883</v>
      </c>
      <c r="N856" s="129">
        <v>4227</v>
      </c>
      <c r="O856" s="256">
        <f t="shared" si="104"/>
        <v>71.85109637939827</v>
      </c>
      <c r="P856" s="129"/>
      <c r="Q856" s="129"/>
      <c r="R856" s="200"/>
    </row>
    <row r="857" spans="1:18" s="327" customFormat="1" ht="24">
      <c r="A857" s="191">
        <v>4110</v>
      </c>
      <c r="B857" s="198" t="s">
        <v>352</v>
      </c>
      <c r="C857" s="128">
        <v>23900</v>
      </c>
      <c r="D857" s="104">
        <f t="shared" si="100"/>
        <v>23900</v>
      </c>
      <c r="E857" s="104">
        <f t="shared" si="100"/>
        <v>4446</v>
      </c>
      <c r="F857" s="105">
        <f t="shared" si="102"/>
        <v>18.602510460251047</v>
      </c>
      <c r="G857" s="128">
        <v>9400</v>
      </c>
      <c r="H857" s="193">
        <v>1728</v>
      </c>
      <c r="I857" s="256">
        <f t="shared" si="103"/>
        <v>18.382978723404257</v>
      </c>
      <c r="J857" s="193"/>
      <c r="K857" s="129"/>
      <c r="L857" s="110"/>
      <c r="M857" s="128">
        <v>14500</v>
      </c>
      <c r="N857" s="129">
        <v>2718</v>
      </c>
      <c r="O857" s="256">
        <f t="shared" si="104"/>
        <v>18.744827586206895</v>
      </c>
      <c r="P857" s="129"/>
      <c r="Q857" s="129"/>
      <c r="R857" s="200"/>
    </row>
    <row r="858" spans="1:18" s="327" customFormat="1" ht="12.75">
      <c r="A858" s="191">
        <v>4120</v>
      </c>
      <c r="B858" s="198" t="s">
        <v>504</v>
      </c>
      <c r="C858" s="128">
        <v>3400</v>
      </c>
      <c r="D858" s="104">
        <f aca="true" t="shared" si="105" ref="D858:E873">G858+J858+P858+M858</f>
        <v>3400</v>
      </c>
      <c r="E858" s="104">
        <f t="shared" si="105"/>
        <v>621</v>
      </c>
      <c r="F858" s="105">
        <f t="shared" si="102"/>
        <v>18.264705882352942</v>
      </c>
      <c r="G858" s="128">
        <v>1400</v>
      </c>
      <c r="H858" s="193">
        <v>220</v>
      </c>
      <c r="I858" s="256">
        <f t="shared" si="103"/>
        <v>15.714285714285714</v>
      </c>
      <c r="J858" s="193"/>
      <c r="K858" s="129"/>
      <c r="L858" s="110"/>
      <c r="M858" s="128">
        <v>2000</v>
      </c>
      <c r="N858" s="129">
        <v>401</v>
      </c>
      <c r="O858" s="256">
        <f t="shared" si="104"/>
        <v>20.05</v>
      </c>
      <c r="P858" s="129"/>
      <c r="Q858" s="129"/>
      <c r="R858" s="200"/>
    </row>
    <row r="859" spans="1:18" s="327" customFormat="1" ht="12.75" hidden="1">
      <c r="A859" s="191">
        <v>4140</v>
      </c>
      <c r="B859" s="198" t="s">
        <v>457</v>
      </c>
      <c r="C859" s="128"/>
      <c r="D859" s="104">
        <f t="shared" si="105"/>
        <v>0</v>
      </c>
      <c r="E859" s="104">
        <f t="shared" si="105"/>
        <v>0</v>
      </c>
      <c r="F859" s="105" t="e">
        <f t="shared" si="102"/>
        <v>#DIV/0!</v>
      </c>
      <c r="G859" s="128"/>
      <c r="H859" s="193"/>
      <c r="I859" s="256" t="e">
        <f t="shared" si="103"/>
        <v>#DIV/0!</v>
      </c>
      <c r="J859" s="193"/>
      <c r="K859" s="129"/>
      <c r="L859" s="110"/>
      <c r="M859" s="128"/>
      <c r="N859" s="129"/>
      <c r="O859" s="256" t="e">
        <f t="shared" si="104"/>
        <v>#DIV/0!</v>
      </c>
      <c r="P859" s="129"/>
      <c r="Q859" s="129"/>
      <c r="R859" s="200"/>
    </row>
    <row r="860" spans="1:18" s="327" customFormat="1" ht="24" hidden="1">
      <c r="A860" s="191">
        <v>4170</v>
      </c>
      <c r="B860" s="198" t="s">
        <v>392</v>
      </c>
      <c r="C860" s="128"/>
      <c r="D860" s="104">
        <f t="shared" si="105"/>
        <v>0</v>
      </c>
      <c r="E860" s="104">
        <f t="shared" si="105"/>
        <v>0</v>
      </c>
      <c r="F860" s="105" t="e">
        <f t="shared" si="102"/>
        <v>#DIV/0!</v>
      </c>
      <c r="G860" s="128"/>
      <c r="H860" s="193"/>
      <c r="I860" s="256" t="e">
        <f t="shared" si="103"/>
        <v>#DIV/0!</v>
      </c>
      <c r="J860" s="193"/>
      <c r="K860" s="129"/>
      <c r="L860" s="110"/>
      <c r="M860" s="128"/>
      <c r="N860" s="129"/>
      <c r="O860" s="256" t="e">
        <f t="shared" si="104"/>
        <v>#DIV/0!</v>
      </c>
      <c r="P860" s="129"/>
      <c r="Q860" s="129"/>
      <c r="R860" s="200"/>
    </row>
    <row r="861" spans="1:18" s="327" customFormat="1" ht="24">
      <c r="A861" s="191">
        <v>4210</v>
      </c>
      <c r="B861" s="198" t="s">
        <v>356</v>
      </c>
      <c r="C861" s="128"/>
      <c r="D861" s="104">
        <f t="shared" si="105"/>
        <v>12860</v>
      </c>
      <c r="E861" s="104">
        <f t="shared" si="105"/>
        <v>323</v>
      </c>
      <c r="F861" s="105">
        <f t="shared" si="102"/>
        <v>2.511664074650078</v>
      </c>
      <c r="G861" s="128">
        <v>7060</v>
      </c>
      <c r="H861" s="193">
        <v>323</v>
      </c>
      <c r="I861" s="256">
        <f t="shared" si="103"/>
        <v>4.575070821529745</v>
      </c>
      <c r="J861" s="193"/>
      <c r="K861" s="129"/>
      <c r="L861" s="110"/>
      <c r="M861" s="128">
        <v>5800</v>
      </c>
      <c r="N861" s="129"/>
      <c r="O861" s="256">
        <f t="shared" si="104"/>
        <v>0</v>
      </c>
      <c r="P861" s="129"/>
      <c r="Q861" s="129"/>
      <c r="R861" s="200"/>
    </row>
    <row r="862" spans="1:18" s="327" customFormat="1" ht="36">
      <c r="A862" s="191">
        <v>4300</v>
      </c>
      <c r="B862" s="198" t="s">
        <v>708</v>
      </c>
      <c r="C862" s="128">
        <v>364500</v>
      </c>
      <c r="D862" s="104">
        <f t="shared" si="105"/>
        <v>211040</v>
      </c>
      <c r="E862" s="104">
        <f t="shared" si="105"/>
        <v>2924</v>
      </c>
      <c r="F862" s="105">
        <f>E862/D862*100</f>
        <v>1.3855193328278999</v>
      </c>
      <c r="G862" s="128">
        <f>202000-75160</f>
        <v>126840</v>
      </c>
      <c r="H862" s="193">
        <v>2674</v>
      </c>
      <c r="I862" s="256">
        <f>H862/G862*100</f>
        <v>2.1081677704194264</v>
      </c>
      <c r="J862" s="193"/>
      <c r="K862" s="129"/>
      <c r="L862" s="110"/>
      <c r="M862" s="128">
        <f>162500-162500+84200</f>
        <v>84200</v>
      </c>
      <c r="N862" s="129">
        <v>250</v>
      </c>
      <c r="O862" s="256">
        <f t="shared" si="104"/>
        <v>0.29691211401425177</v>
      </c>
      <c r="P862" s="129"/>
      <c r="Q862" s="129"/>
      <c r="R862" s="194"/>
    </row>
    <row r="863" spans="1:18" s="327" customFormat="1" ht="24">
      <c r="A863" s="191">
        <v>4410</v>
      </c>
      <c r="B863" s="198" t="s">
        <v>338</v>
      </c>
      <c r="C863" s="128"/>
      <c r="D863" s="104">
        <f t="shared" si="105"/>
        <v>42650</v>
      </c>
      <c r="E863" s="104">
        <f t="shared" si="105"/>
        <v>5722</v>
      </c>
      <c r="F863" s="105">
        <f t="shared" si="102"/>
        <v>13.416178194607268</v>
      </c>
      <c r="G863" s="128">
        <v>21850</v>
      </c>
      <c r="H863" s="193">
        <v>4128</v>
      </c>
      <c r="I863" s="256">
        <f t="shared" si="103"/>
        <v>18.892448512585812</v>
      </c>
      <c r="J863" s="193"/>
      <c r="K863" s="129"/>
      <c r="L863" s="110"/>
      <c r="M863" s="128">
        <v>20800</v>
      </c>
      <c r="N863" s="129">
        <v>1594</v>
      </c>
      <c r="O863" s="256">
        <f t="shared" si="104"/>
        <v>7.663461538461538</v>
      </c>
      <c r="P863" s="129"/>
      <c r="Q863" s="129"/>
      <c r="R863" s="194"/>
    </row>
    <row r="864" spans="1:18" s="327" customFormat="1" ht="24" hidden="1">
      <c r="A864" s="191">
        <v>4420</v>
      </c>
      <c r="B864" s="198" t="s">
        <v>477</v>
      </c>
      <c r="C864" s="128"/>
      <c r="D864" s="104">
        <f t="shared" si="105"/>
        <v>0</v>
      </c>
      <c r="E864" s="104">
        <f>H864+K864+Q864+N864</f>
        <v>0</v>
      </c>
      <c r="F864" s="105" t="e">
        <f>E864/D864*100</f>
        <v>#DIV/0!</v>
      </c>
      <c r="G864" s="128"/>
      <c r="H864" s="193"/>
      <c r="I864" s="256" t="e">
        <f t="shared" si="103"/>
        <v>#DIV/0!</v>
      </c>
      <c r="J864" s="193"/>
      <c r="K864" s="129"/>
      <c r="L864" s="110"/>
      <c r="M864" s="128"/>
      <c r="N864" s="129"/>
      <c r="O864" s="256"/>
      <c r="P864" s="129"/>
      <c r="Q864" s="129"/>
      <c r="R864" s="200"/>
    </row>
    <row r="865" spans="1:18" s="327" customFormat="1" ht="12.75">
      <c r="A865" s="191">
        <v>4440</v>
      </c>
      <c r="B865" s="198" t="s">
        <v>368</v>
      </c>
      <c r="C865" s="128">
        <v>7800</v>
      </c>
      <c r="D865" s="104">
        <f t="shared" si="105"/>
        <v>8430</v>
      </c>
      <c r="E865" s="104">
        <f>H865+K865+Q865+N865</f>
        <v>2083</v>
      </c>
      <c r="F865" s="105">
        <f>E865/D865*100</f>
        <v>24.709371293001187</v>
      </c>
      <c r="G865" s="128">
        <f>3200+60</f>
        <v>3260</v>
      </c>
      <c r="H865" s="193">
        <v>1708</v>
      </c>
      <c r="I865" s="256">
        <f t="shared" si="103"/>
        <v>52.392638036809814</v>
      </c>
      <c r="J865" s="193"/>
      <c r="K865" s="129"/>
      <c r="L865" s="110"/>
      <c r="M865" s="128">
        <f>4600+570</f>
        <v>5170</v>
      </c>
      <c r="N865" s="129">
        <v>375</v>
      </c>
      <c r="O865" s="256">
        <f>N865/M865*100</f>
        <v>7.253384912959381</v>
      </c>
      <c r="P865" s="129"/>
      <c r="Q865" s="129"/>
      <c r="R865" s="200"/>
    </row>
    <row r="866" spans="1:18" s="327" customFormat="1" ht="36">
      <c r="A866" s="191">
        <v>4700</v>
      </c>
      <c r="B866" s="291" t="s">
        <v>466</v>
      </c>
      <c r="C866" s="128"/>
      <c r="D866" s="104">
        <f t="shared" si="105"/>
        <v>95500</v>
      </c>
      <c r="E866" s="104">
        <f>H866+K866+Q866+N866</f>
        <v>3377</v>
      </c>
      <c r="F866" s="105">
        <f>E866/D866*100</f>
        <v>3.5361256544502617</v>
      </c>
      <c r="G866" s="128">
        <v>45500</v>
      </c>
      <c r="H866" s="193">
        <v>690</v>
      </c>
      <c r="I866" s="256">
        <f t="shared" si="103"/>
        <v>1.5164835164835164</v>
      </c>
      <c r="J866" s="193"/>
      <c r="K866" s="129"/>
      <c r="L866" s="110"/>
      <c r="M866" s="128">
        <v>50000</v>
      </c>
      <c r="N866" s="129">
        <v>2687</v>
      </c>
      <c r="O866" s="256">
        <f>N866/M866*100</f>
        <v>5.3740000000000006</v>
      </c>
      <c r="P866" s="129"/>
      <c r="Q866" s="129"/>
      <c r="R866" s="200"/>
    </row>
    <row r="867" spans="1:18" s="327" customFormat="1" ht="60">
      <c r="A867" s="191">
        <v>4740</v>
      </c>
      <c r="B867" s="291" t="s">
        <v>380</v>
      </c>
      <c r="C867" s="128"/>
      <c r="D867" s="104">
        <f>G867+J867+P867+M867</f>
        <v>1450</v>
      </c>
      <c r="E867" s="104">
        <f>H867+K867+Q867+N867</f>
        <v>0</v>
      </c>
      <c r="F867" s="105">
        <f>E867/D867*100</f>
        <v>0</v>
      </c>
      <c r="G867" s="128">
        <v>750</v>
      </c>
      <c r="H867" s="193"/>
      <c r="I867" s="256">
        <f t="shared" si="103"/>
        <v>0</v>
      </c>
      <c r="J867" s="193"/>
      <c r="K867" s="129"/>
      <c r="L867" s="110"/>
      <c r="M867" s="128">
        <v>700</v>
      </c>
      <c r="N867" s="129"/>
      <c r="O867" s="256">
        <f>N867/M867*100</f>
        <v>0</v>
      </c>
      <c r="P867" s="129"/>
      <c r="Q867" s="129"/>
      <c r="R867" s="200"/>
    </row>
    <row r="868" spans="1:18" s="327" customFormat="1" ht="36">
      <c r="A868" s="191">
        <v>4750</v>
      </c>
      <c r="B868" s="291" t="s">
        <v>467</v>
      </c>
      <c r="C868" s="128"/>
      <c r="D868" s="104">
        <f t="shared" si="105"/>
        <v>1000</v>
      </c>
      <c r="E868" s="104">
        <f t="shared" si="105"/>
        <v>0</v>
      </c>
      <c r="F868" s="105">
        <f t="shared" si="102"/>
        <v>0</v>
      </c>
      <c r="G868" s="128"/>
      <c r="H868" s="193"/>
      <c r="I868" s="256"/>
      <c r="J868" s="193"/>
      <c r="K868" s="129"/>
      <c r="L868" s="110"/>
      <c r="M868" s="128">
        <v>1000</v>
      </c>
      <c r="N868" s="129"/>
      <c r="O868" s="256">
        <f>N868/M868*100</f>
        <v>0</v>
      </c>
      <c r="P868" s="129"/>
      <c r="Q868" s="129"/>
      <c r="R868" s="200"/>
    </row>
    <row r="869" spans="1:18" ht="24.75" customHeight="1">
      <c r="A869" s="186">
        <v>80195</v>
      </c>
      <c r="B869" s="294" t="s">
        <v>378</v>
      </c>
      <c r="C869" s="136">
        <f>SUM(C871:C895)+C920</f>
        <v>6156750</v>
      </c>
      <c r="D869" s="137">
        <f>G869+J869+P869+M869</f>
        <v>6745389</v>
      </c>
      <c r="E869" s="137">
        <f t="shared" si="105"/>
        <v>938727</v>
      </c>
      <c r="F869" s="120">
        <f t="shared" si="102"/>
        <v>13.916573232470359</v>
      </c>
      <c r="G869" s="428">
        <f>SUM(G871:G895)+G904+G905+G928+G915</f>
        <v>3820904</v>
      </c>
      <c r="H869" s="137">
        <f>SUM(H871:H895)+H904+H905+H928+H915</f>
        <v>595254</v>
      </c>
      <c r="I869" s="214">
        <f t="shared" si="103"/>
        <v>15.57887871561285</v>
      </c>
      <c r="J869" s="140"/>
      <c r="K869" s="137"/>
      <c r="L869" s="125"/>
      <c r="M869" s="136">
        <f>SUM(M871:M895)+M905+M920+M915</f>
        <v>2924485</v>
      </c>
      <c r="N869" s="137">
        <f>SUM(N871:N895)+N905+N920+N915</f>
        <v>343473</v>
      </c>
      <c r="O869" s="214">
        <f>N869/M869*100</f>
        <v>11.744734543005007</v>
      </c>
      <c r="P869" s="119"/>
      <c r="Q869" s="119"/>
      <c r="R869" s="283"/>
    </row>
    <row r="870" spans="1:18" ht="36" hidden="1">
      <c r="A870" s="191">
        <v>6060</v>
      </c>
      <c r="B870" s="423" t="s">
        <v>468</v>
      </c>
      <c r="C870" s="160"/>
      <c r="D870" s="104">
        <f t="shared" si="105"/>
        <v>0</v>
      </c>
      <c r="E870" s="129">
        <f>SUM(H870+K870+N870+Q870)</f>
        <v>0</v>
      </c>
      <c r="F870" s="105" t="e">
        <f t="shared" si="102"/>
        <v>#DIV/0!</v>
      </c>
      <c r="G870" s="160">
        <f>10000-10000</f>
        <v>0</v>
      </c>
      <c r="H870" s="104"/>
      <c r="I870" s="256" t="e">
        <f t="shared" si="103"/>
        <v>#DIV/0!</v>
      </c>
      <c r="J870" s="429"/>
      <c r="K870" s="287"/>
      <c r="L870" s="289"/>
      <c r="M870" s="104"/>
      <c r="N870" s="104"/>
      <c r="O870" s="194"/>
      <c r="P870" s="287"/>
      <c r="Q870" s="287"/>
      <c r="R870" s="194"/>
    </row>
    <row r="871" spans="1:18" ht="36" hidden="1">
      <c r="A871" s="191">
        <v>3020</v>
      </c>
      <c r="B871" s="198" t="s">
        <v>593</v>
      </c>
      <c r="C871" s="160"/>
      <c r="D871" s="104">
        <f t="shared" si="105"/>
        <v>0</v>
      </c>
      <c r="E871" s="104">
        <f aca="true" t="shared" si="106" ref="E871:E895">SUM(H871+K871+N871+Q871)</f>
        <v>0</v>
      </c>
      <c r="F871" s="105" t="e">
        <f t="shared" si="102"/>
        <v>#DIV/0!</v>
      </c>
      <c r="G871" s="104"/>
      <c r="H871" s="109"/>
      <c r="I871" s="256" t="e">
        <f t="shared" si="103"/>
        <v>#DIV/0!</v>
      </c>
      <c r="J871" s="193"/>
      <c r="K871" s="129"/>
      <c r="L871" s="110"/>
      <c r="M871" s="128"/>
      <c r="N871" s="129"/>
      <c r="O871" s="108" t="e">
        <f aca="true" t="shared" si="107" ref="O871:O889">N871/M871*100</f>
        <v>#DIV/0!</v>
      </c>
      <c r="P871" s="129"/>
      <c r="Q871" s="129"/>
      <c r="R871" s="200"/>
    </row>
    <row r="872" spans="1:18" ht="24">
      <c r="A872" s="191">
        <v>4010</v>
      </c>
      <c r="B872" s="198" t="s">
        <v>346</v>
      </c>
      <c r="C872" s="160">
        <v>671800</v>
      </c>
      <c r="D872" s="104">
        <f t="shared" si="105"/>
        <v>671800</v>
      </c>
      <c r="E872" s="104">
        <f t="shared" si="106"/>
        <v>144221</v>
      </c>
      <c r="F872" s="105">
        <f t="shared" si="102"/>
        <v>21.467847573682644</v>
      </c>
      <c r="G872" s="104">
        <f>32000+35900+16800+18000+83700+253000</f>
        <v>439400</v>
      </c>
      <c r="H872" s="109">
        <v>82910</v>
      </c>
      <c r="I872" s="256">
        <f t="shared" si="103"/>
        <v>18.86891215293582</v>
      </c>
      <c r="J872" s="193"/>
      <c r="K872" s="129"/>
      <c r="L872" s="110"/>
      <c r="M872" s="128">
        <f>25300+207100</f>
        <v>232400</v>
      </c>
      <c r="N872" s="129">
        <v>61311</v>
      </c>
      <c r="O872" s="108">
        <f t="shared" si="107"/>
        <v>26.38166953528399</v>
      </c>
      <c r="P872" s="129"/>
      <c r="Q872" s="129"/>
      <c r="R872" s="200"/>
    </row>
    <row r="873" spans="1:18" ht="24">
      <c r="A873" s="191">
        <v>4110</v>
      </c>
      <c r="B873" s="198" t="s">
        <v>352</v>
      </c>
      <c r="C873" s="160">
        <v>122900</v>
      </c>
      <c r="D873" s="104">
        <f t="shared" si="105"/>
        <v>122900</v>
      </c>
      <c r="E873" s="104">
        <f t="shared" si="106"/>
        <v>17089</v>
      </c>
      <c r="F873" s="105">
        <f t="shared" si="102"/>
        <v>13.90480065093572</v>
      </c>
      <c r="G873" s="104">
        <f>6000+6000+2800+3000+14300+41000+2500</f>
        <v>75600</v>
      </c>
      <c r="H873" s="109">
        <v>9835</v>
      </c>
      <c r="I873" s="256">
        <f t="shared" si="103"/>
        <v>13.00925925925926</v>
      </c>
      <c r="J873" s="193"/>
      <c r="K873" s="129"/>
      <c r="L873" s="110"/>
      <c r="M873" s="128">
        <f>4100+41900+1300</f>
        <v>47300</v>
      </c>
      <c r="N873" s="129">
        <v>7254</v>
      </c>
      <c r="O873" s="108">
        <f t="shared" si="107"/>
        <v>15.336152219873151</v>
      </c>
      <c r="P873" s="129"/>
      <c r="Q873" s="129"/>
      <c r="R873" s="200"/>
    </row>
    <row r="874" spans="1:18" ht="12.75">
      <c r="A874" s="191">
        <v>4120</v>
      </c>
      <c r="B874" s="198" t="s">
        <v>504</v>
      </c>
      <c r="C874" s="160">
        <v>18050</v>
      </c>
      <c r="D874" s="104">
        <f aca="true" t="shared" si="108" ref="D874:D937">G874+J874+P874+M874</f>
        <v>18050</v>
      </c>
      <c r="E874" s="104">
        <f t="shared" si="106"/>
        <v>2836</v>
      </c>
      <c r="F874" s="105">
        <f t="shared" si="102"/>
        <v>15.711911357340721</v>
      </c>
      <c r="G874" s="104">
        <f>1100+1100+400+300+2000+6000+350</f>
        <v>11250</v>
      </c>
      <c r="H874" s="109">
        <v>1590</v>
      </c>
      <c r="I874" s="256">
        <f t="shared" si="103"/>
        <v>14.133333333333335</v>
      </c>
      <c r="J874" s="193"/>
      <c r="K874" s="129"/>
      <c r="L874" s="110"/>
      <c r="M874" s="128">
        <f>600+6000+200</f>
        <v>6800</v>
      </c>
      <c r="N874" s="129">
        <v>1246</v>
      </c>
      <c r="O874" s="108">
        <f t="shared" si="107"/>
        <v>18.323529411764707</v>
      </c>
      <c r="P874" s="129"/>
      <c r="Q874" s="129"/>
      <c r="R874" s="200"/>
    </row>
    <row r="875" spans="1:18" ht="36" hidden="1">
      <c r="A875" s="191">
        <v>4110</v>
      </c>
      <c r="B875" s="198" t="s">
        <v>709</v>
      </c>
      <c r="C875" s="160"/>
      <c r="D875" s="104">
        <f t="shared" si="108"/>
        <v>0</v>
      </c>
      <c r="E875" s="104">
        <f>SUM(H875+K875+N875+Q875)</f>
        <v>0</v>
      </c>
      <c r="F875" s="105" t="e">
        <f t="shared" si="102"/>
        <v>#DIV/0!</v>
      </c>
      <c r="G875" s="104"/>
      <c r="H875" s="109"/>
      <c r="I875" s="256" t="e">
        <f t="shared" si="103"/>
        <v>#DIV/0!</v>
      </c>
      <c r="J875" s="193"/>
      <c r="K875" s="129"/>
      <c r="L875" s="110"/>
      <c r="M875" s="128"/>
      <c r="N875" s="129"/>
      <c r="O875" s="108"/>
      <c r="P875" s="129"/>
      <c r="Q875" s="129"/>
      <c r="R875" s="200"/>
    </row>
    <row r="876" spans="1:18" ht="24" hidden="1">
      <c r="A876" s="191">
        <v>4120</v>
      </c>
      <c r="B876" s="198" t="s">
        <v>710</v>
      </c>
      <c r="C876" s="160"/>
      <c r="D876" s="104">
        <f t="shared" si="108"/>
        <v>0</v>
      </c>
      <c r="E876" s="104">
        <f>SUM(H876+K876+N876+Q876)</f>
        <v>0</v>
      </c>
      <c r="F876" s="105" t="e">
        <f t="shared" si="102"/>
        <v>#DIV/0!</v>
      </c>
      <c r="G876" s="104"/>
      <c r="H876" s="109"/>
      <c r="I876" s="256" t="e">
        <f t="shared" si="103"/>
        <v>#DIV/0!</v>
      </c>
      <c r="J876" s="193"/>
      <c r="K876" s="129"/>
      <c r="L876" s="110"/>
      <c r="M876" s="128"/>
      <c r="N876" s="129"/>
      <c r="O876" s="108"/>
      <c r="P876" s="129"/>
      <c r="Q876" s="129"/>
      <c r="R876" s="200"/>
    </row>
    <row r="877" spans="1:18" ht="36" hidden="1">
      <c r="A877" s="191">
        <v>4170</v>
      </c>
      <c r="B877" s="198" t="s">
        <v>711</v>
      </c>
      <c r="C877" s="160"/>
      <c r="D877" s="104">
        <f t="shared" si="108"/>
        <v>0</v>
      </c>
      <c r="E877" s="104">
        <f>SUM(H877+K877+N877+Q877)</f>
        <v>0</v>
      </c>
      <c r="F877" s="105" t="e">
        <f t="shared" si="102"/>
        <v>#DIV/0!</v>
      </c>
      <c r="G877" s="104"/>
      <c r="H877" s="109"/>
      <c r="I877" s="256" t="e">
        <f t="shared" si="103"/>
        <v>#DIV/0!</v>
      </c>
      <c r="J877" s="193"/>
      <c r="K877" s="129"/>
      <c r="L877" s="110"/>
      <c r="M877" s="128"/>
      <c r="N877" s="129"/>
      <c r="O877" s="108"/>
      <c r="P877" s="129"/>
      <c r="Q877" s="129"/>
      <c r="R877" s="200"/>
    </row>
    <row r="878" spans="1:18" ht="24">
      <c r="A878" s="191">
        <v>4170</v>
      </c>
      <c r="B878" s="198" t="s">
        <v>392</v>
      </c>
      <c r="C878" s="160">
        <v>40300</v>
      </c>
      <c r="D878" s="104">
        <f t="shared" si="108"/>
        <v>40300</v>
      </c>
      <c r="E878" s="104">
        <f t="shared" si="106"/>
        <v>7009</v>
      </c>
      <c r="F878" s="105">
        <f t="shared" si="102"/>
        <v>17.392059553349874</v>
      </c>
      <c r="G878" s="104">
        <f>3000+14300</f>
        <v>17300</v>
      </c>
      <c r="H878" s="109">
        <v>622</v>
      </c>
      <c r="I878" s="256">
        <f t="shared" si="103"/>
        <v>3.595375722543353</v>
      </c>
      <c r="J878" s="193"/>
      <c r="K878" s="129"/>
      <c r="L878" s="110"/>
      <c r="M878" s="128">
        <f>2000+1000+20000</f>
        <v>23000</v>
      </c>
      <c r="N878" s="129">
        <v>6387</v>
      </c>
      <c r="O878" s="108">
        <f t="shared" si="107"/>
        <v>27.769565217391307</v>
      </c>
      <c r="P878" s="129"/>
      <c r="Q878" s="129"/>
      <c r="R878" s="200"/>
    </row>
    <row r="879" spans="1:18" ht="27.75" customHeight="1">
      <c r="A879" s="191">
        <v>4210</v>
      </c>
      <c r="B879" s="198" t="s">
        <v>356</v>
      </c>
      <c r="C879" s="160">
        <v>5000</v>
      </c>
      <c r="D879" s="104">
        <f t="shared" si="108"/>
        <v>13200</v>
      </c>
      <c r="E879" s="104">
        <f t="shared" si="106"/>
        <v>2445</v>
      </c>
      <c r="F879" s="105">
        <f>E879/D879*100</f>
        <v>18.522727272727273</v>
      </c>
      <c r="G879" s="104"/>
      <c r="H879" s="109"/>
      <c r="I879" s="256"/>
      <c r="J879" s="193"/>
      <c r="K879" s="129"/>
      <c r="L879" s="110"/>
      <c r="M879" s="128">
        <f>5000+8200</f>
        <v>13200</v>
      </c>
      <c r="N879" s="129">
        <v>2445</v>
      </c>
      <c r="O879" s="256">
        <f t="shared" si="107"/>
        <v>18.522727272727273</v>
      </c>
      <c r="P879" s="129"/>
      <c r="Q879" s="129"/>
      <c r="R879" s="200"/>
    </row>
    <row r="880" spans="1:18" ht="35.25" customHeight="1">
      <c r="A880" s="191">
        <v>4240</v>
      </c>
      <c r="B880" s="198" t="s">
        <v>489</v>
      </c>
      <c r="C880" s="160">
        <v>285000</v>
      </c>
      <c r="D880" s="104">
        <f t="shared" si="108"/>
        <v>285000</v>
      </c>
      <c r="E880" s="104">
        <f t="shared" si="106"/>
        <v>0</v>
      </c>
      <c r="F880" s="105">
        <f>E880/D880*100</f>
        <v>0</v>
      </c>
      <c r="G880" s="104">
        <v>275000</v>
      </c>
      <c r="H880" s="109"/>
      <c r="I880" s="256">
        <f>H880/G880*100</f>
        <v>0</v>
      </c>
      <c r="J880" s="193"/>
      <c r="K880" s="129"/>
      <c r="L880" s="110"/>
      <c r="M880" s="128">
        <v>10000</v>
      </c>
      <c r="N880" s="129"/>
      <c r="O880" s="256">
        <f t="shared" si="107"/>
        <v>0</v>
      </c>
      <c r="P880" s="129"/>
      <c r="Q880" s="129"/>
      <c r="R880" s="200"/>
    </row>
    <row r="881" spans="1:18" ht="36">
      <c r="A881" s="191">
        <v>4270</v>
      </c>
      <c r="B881" s="198" t="s">
        <v>712</v>
      </c>
      <c r="C881" s="160">
        <v>7000</v>
      </c>
      <c r="D881" s="104">
        <f t="shared" si="108"/>
        <v>7000</v>
      </c>
      <c r="E881" s="104">
        <f t="shared" si="106"/>
        <v>0</v>
      </c>
      <c r="F881" s="105">
        <f>E881/D881*100</f>
        <v>0</v>
      </c>
      <c r="G881" s="104">
        <v>7000</v>
      </c>
      <c r="H881" s="109"/>
      <c r="I881" s="256">
        <f>H881/G881*100</f>
        <v>0</v>
      </c>
      <c r="J881" s="193"/>
      <c r="K881" s="129"/>
      <c r="L881" s="110"/>
      <c r="M881" s="128"/>
      <c r="N881" s="129"/>
      <c r="O881" s="256"/>
      <c r="P881" s="129"/>
      <c r="Q881" s="129"/>
      <c r="R881" s="200"/>
    </row>
    <row r="882" spans="1:18" ht="24" hidden="1">
      <c r="A882" s="191">
        <v>4280</v>
      </c>
      <c r="B882" s="198" t="s">
        <v>458</v>
      </c>
      <c r="C882" s="160"/>
      <c r="D882" s="104">
        <f t="shared" si="108"/>
        <v>0</v>
      </c>
      <c r="E882" s="104">
        <f t="shared" si="106"/>
        <v>0</v>
      </c>
      <c r="F882" s="105" t="e">
        <f>E882/D882*100</f>
        <v>#DIV/0!</v>
      </c>
      <c r="G882" s="160">
        <f>26245-26245</f>
        <v>0</v>
      </c>
      <c r="H882" s="104"/>
      <c r="I882" s="256" t="e">
        <f>H882/G882*100</f>
        <v>#DIV/0!</v>
      </c>
      <c r="J882" s="193"/>
      <c r="K882" s="129"/>
      <c r="L882" s="110"/>
      <c r="M882" s="160">
        <f>33800-33800</f>
        <v>0</v>
      </c>
      <c r="N882" s="104">
        <v>0</v>
      </c>
      <c r="O882" s="256" t="e">
        <f t="shared" si="107"/>
        <v>#DIV/0!</v>
      </c>
      <c r="P882" s="129"/>
      <c r="Q882" s="129"/>
      <c r="R882" s="200"/>
    </row>
    <row r="883" spans="1:18" ht="24">
      <c r="A883" s="191">
        <v>4300</v>
      </c>
      <c r="B883" s="198" t="s">
        <v>364</v>
      </c>
      <c r="C883" s="160">
        <v>1746495</v>
      </c>
      <c r="D883" s="104">
        <f t="shared" si="108"/>
        <v>1768702</v>
      </c>
      <c r="E883" s="104">
        <f t="shared" si="106"/>
        <v>387887</v>
      </c>
      <c r="F883" s="105">
        <f>E883/D883*100</f>
        <v>21.9306022156361</v>
      </c>
      <c r="G883" s="335">
        <f>1489900-21100+47050</f>
        <v>1515850</v>
      </c>
      <c r="H883" s="104">
        <v>355754</v>
      </c>
      <c r="I883" s="256">
        <f>H883/G883*100</f>
        <v>23.46894481643962</v>
      </c>
      <c r="J883" s="193"/>
      <c r="K883" s="129"/>
      <c r="L883" s="110"/>
      <c r="M883" s="160">
        <f>256595-1700-2043</f>
        <v>252852</v>
      </c>
      <c r="N883" s="104">
        <v>32133</v>
      </c>
      <c r="O883" s="256">
        <f t="shared" si="107"/>
        <v>12.708224574059132</v>
      </c>
      <c r="P883" s="129"/>
      <c r="Q883" s="129"/>
      <c r="R883" s="200"/>
    </row>
    <row r="884" spans="1:18" s="269" customFormat="1" ht="12.75">
      <c r="A884" s="267">
        <v>4430</v>
      </c>
      <c r="B884" s="305" t="s">
        <v>366</v>
      </c>
      <c r="C884" s="160">
        <v>175000</v>
      </c>
      <c r="D884" s="104">
        <f t="shared" si="108"/>
        <v>175000</v>
      </c>
      <c r="E884" s="104">
        <f t="shared" si="106"/>
        <v>17900</v>
      </c>
      <c r="F884" s="430">
        <f aca="true" t="shared" si="109" ref="F884:F940">E884/D884*100</f>
        <v>10.228571428571428</v>
      </c>
      <c r="G884" s="160">
        <v>83000</v>
      </c>
      <c r="H884" s="104"/>
      <c r="I884" s="306">
        <f aca="true" t="shared" si="110" ref="I884:I946">H884/G884*100</f>
        <v>0</v>
      </c>
      <c r="J884" s="109"/>
      <c r="K884" s="104"/>
      <c r="L884" s="110"/>
      <c r="M884" s="160">
        <v>92000</v>
      </c>
      <c r="N884" s="104">
        <v>17900</v>
      </c>
      <c r="O884" s="431">
        <f t="shared" si="107"/>
        <v>19.456521739130434</v>
      </c>
      <c r="P884" s="104"/>
      <c r="Q884" s="104"/>
      <c r="R884" s="200"/>
    </row>
    <row r="885" spans="1:18" ht="24">
      <c r="A885" s="191">
        <v>4440</v>
      </c>
      <c r="B885" s="198" t="s">
        <v>713</v>
      </c>
      <c r="C885" s="160">
        <v>828000</v>
      </c>
      <c r="D885" s="104">
        <f t="shared" si="108"/>
        <v>828000</v>
      </c>
      <c r="E885" s="104">
        <f t="shared" si="106"/>
        <v>0</v>
      </c>
      <c r="F885" s="432">
        <f t="shared" si="109"/>
        <v>0</v>
      </c>
      <c r="G885" s="160">
        <v>465000</v>
      </c>
      <c r="H885" s="104"/>
      <c r="I885" s="105">
        <f t="shared" si="110"/>
        <v>0</v>
      </c>
      <c r="J885" s="193"/>
      <c r="K885" s="129"/>
      <c r="L885" s="110"/>
      <c r="M885" s="128">
        <v>363000</v>
      </c>
      <c r="N885" s="129"/>
      <c r="O885" s="256">
        <f t="shared" si="107"/>
        <v>0</v>
      </c>
      <c r="P885" s="129"/>
      <c r="Q885" s="129"/>
      <c r="R885" s="200"/>
    </row>
    <row r="886" spans="1:18" ht="36">
      <c r="A886" s="191">
        <v>4750</v>
      </c>
      <c r="B886" s="291" t="s">
        <v>467</v>
      </c>
      <c r="C886" s="160">
        <v>40000</v>
      </c>
      <c r="D886" s="104">
        <f t="shared" si="108"/>
        <v>0</v>
      </c>
      <c r="E886" s="104">
        <f>SUM(H886+K886+N886+Q886)</f>
        <v>0</v>
      </c>
      <c r="F886" s="432" t="e">
        <f t="shared" si="109"/>
        <v>#DIV/0!</v>
      </c>
      <c r="G886" s="160"/>
      <c r="H886" s="104"/>
      <c r="I886" s="105"/>
      <c r="J886" s="193"/>
      <c r="K886" s="129"/>
      <c r="L886" s="110"/>
      <c r="M886" s="128">
        <f>40000-40000</f>
        <v>0</v>
      </c>
      <c r="N886" s="129"/>
      <c r="O886" s="256"/>
      <c r="P886" s="129"/>
      <c r="Q886" s="129"/>
      <c r="R886" s="200"/>
    </row>
    <row r="887" spans="1:18" ht="24">
      <c r="A887" s="191">
        <v>6050</v>
      </c>
      <c r="B887" s="198" t="s">
        <v>449</v>
      </c>
      <c r="C887" s="160">
        <f>1390000+500000</f>
        <v>1890000</v>
      </c>
      <c r="D887" s="104">
        <f t="shared" si="108"/>
        <v>2348000</v>
      </c>
      <c r="E887" s="104">
        <f t="shared" si="106"/>
        <v>0</v>
      </c>
      <c r="F887" s="432">
        <f t="shared" si="109"/>
        <v>0</v>
      </c>
      <c r="G887" s="160">
        <v>740000</v>
      </c>
      <c r="H887" s="104"/>
      <c r="I887" s="105">
        <f t="shared" si="110"/>
        <v>0</v>
      </c>
      <c r="J887" s="193"/>
      <c r="K887" s="129"/>
      <c r="L887" s="110"/>
      <c r="M887" s="128">
        <f>650000+500000+438000-1150000+1170000</f>
        <v>1608000</v>
      </c>
      <c r="N887" s="129"/>
      <c r="O887" s="108">
        <f t="shared" si="107"/>
        <v>0</v>
      </c>
      <c r="P887" s="129"/>
      <c r="Q887" s="129"/>
      <c r="R887" s="200"/>
    </row>
    <row r="888" spans="1:18" ht="84" hidden="1">
      <c r="A888" s="191">
        <v>6050</v>
      </c>
      <c r="B888" s="198" t="s">
        <v>714</v>
      </c>
      <c r="C888" s="160"/>
      <c r="D888" s="104">
        <f t="shared" si="108"/>
        <v>0</v>
      </c>
      <c r="E888" s="104">
        <f t="shared" si="106"/>
        <v>0</v>
      </c>
      <c r="F888" s="432" t="e">
        <f t="shared" si="109"/>
        <v>#DIV/0!</v>
      </c>
      <c r="G888" s="160"/>
      <c r="H888" s="104"/>
      <c r="I888" s="162"/>
      <c r="J888" s="193"/>
      <c r="K888" s="129"/>
      <c r="L888" s="110"/>
      <c r="M888" s="128"/>
      <c r="N888" s="129"/>
      <c r="O888" s="108" t="e">
        <f t="shared" si="107"/>
        <v>#DIV/0!</v>
      </c>
      <c r="P888" s="129"/>
      <c r="Q888" s="129"/>
      <c r="R888" s="200"/>
    </row>
    <row r="889" spans="1:18" ht="48">
      <c r="A889" s="191">
        <v>6060</v>
      </c>
      <c r="B889" s="198" t="s">
        <v>715</v>
      </c>
      <c r="C889" s="160">
        <v>150000</v>
      </c>
      <c r="D889" s="104">
        <f t="shared" si="108"/>
        <v>116428</v>
      </c>
      <c r="E889" s="104">
        <f>SUM(H889+K889+N889+Q889)</f>
        <v>116428</v>
      </c>
      <c r="F889" s="432">
        <f t="shared" si="109"/>
        <v>100</v>
      </c>
      <c r="G889" s="160"/>
      <c r="H889" s="104"/>
      <c r="I889" s="162"/>
      <c r="J889" s="193"/>
      <c r="K889" s="129"/>
      <c r="L889" s="110"/>
      <c r="M889" s="128">
        <f>150000-33572</f>
        <v>116428</v>
      </c>
      <c r="N889" s="129">
        <v>116428</v>
      </c>
      <c r="O889" s="256">
        <f t="shared" si="107"/>
        <v>100</v>
      </c>
      <c r="P889" s="129"/>
      <c r="Q889" s="129"/>
      <c r="R889" s="200"/>
    </row>
    <row r="890" spans="1:18" ht="96" hidden="1">
      <c r="A890" s="191">
        <v>6220</v>
      </c>
      <c r="B890" s="198" t="s">
        <v>716</v>
      </c>
      <c r="C890" s="160"/>
      <c r="D890" s="104">
        <f t="shared" si="108"/>
        <v>0</v>
      </c>
      <c r="E890" s="104">
        <f t="shared" si="106"/>
        <v>0</v>
      </c>
      <c r="F890" s="432" t="e">
        <f t="shared" si="109"/>
        <v>#DIV/0!</v>
      </c>
      <c r="G890" s="160"/>
      <c r="H890" s="104"/>
      <c r="I890" s="105" t="e">
        <f t="shared" si="110"/>
        <v>#DIV/0!</v>
      </c>
      <c r="J890" s="193"/>
      <c r="K890" s="129"/>
      <c r="L890" s="110"/>
      <c r="M890" s="128"/>
      <c r="N890" s="129"/>
      <c r="O890" s="108"/>
      <c r="P890" s="129"/>
      <c r="Q890" s="129"/>
      <c r="R890" s="200"/>
    </row>
    <row r="891" spans="1:18" ht="48" hidden="1">
      <c r="A891" s="191">
        <v>2480</v>
      </c>
      <c r="B891" s="198" t="s">
        <v>717</v>
      </c>
      <c r="C891" s="160"/>
      <c r="D891" s="104">
        <f t="shared" si="108"/>
        <v>0</v>
      </c>
      <c r="E891" s="104">
        <f t="shared" si="106"/>
        <v>0</v>
      </c>
      <c r="F891" s="432" t="e">
        <f t="shared" si="109"/>
        <v>#DIV/0!</v>
      </c>
      <c r="G891" s="160"/>
      <c r="H891" s="104"/>
      <c r="I891" s="105" t="e">
        <f t="shared" si="110"/>
        <v>#DIV/0!</v>
      </c>
      <c r="J891" s="193"/>
      <c r="K891" s="129"/>
      <c r="L891" s="110"/>
      <c r="M891" s="128"/>
      <c r="N891" s="129"/>
      <c r="O891" s="108"/>
      <c r="P891" s="129"/>
      <c r="Q891" s="129"/>
      <c r="R891" s="200"/>
    </row>
    <row r="892" spans="1:18" ht="60">
      <c r="A892" s="191">
        <v>2540</v>
      </c>
      <c r="B892" s="198" t="s">
        <v>718</v>
      </c>
      <c r="C892" s="160">
        <v>15000</v>
      </c>
      <c r="D892" s="104">
        <f t="shared" si="108"/>
        <v>15000</v>
      </c>
      <c r="E892" s="104">
        <f t="shared" si="106"/>
        <v>2568</v>
      </c>
      <c r="F892" s="432">
        <f t="shared" si="109"/>
        <v>17.119999999999997</v>
      </c>
      <c r="G892" s="160">
        <v>15000</v>
      </c>
      <c r="H892" s="104">
        <v>2568</v>
      </c>
      <c r="I892" s="105">
        <f t="shared" si="110"/>
        <v>17.119999999999997</v>
      </c>
      <c r="J892" s="193"/>
      <c r="K892" s="129"/>
      <c r="L892" s="110"/>
      <c r="M892" s="128"/>
      <c r="N892" s="129"/>
      <c r="O892" s="108"/>
      <c r="P892" s="129"/>
      <c r="Q892" s="129"/>
      <c r="R892" s="200"/>
    </row>
    <row r="893" spans="1:18" ht="60">
      <c r="A893" s="191">
        <v>2570</v>
      </c>
      <c r="B893" s="198" t="s">
        <v>719</v>
      </c>
      <c r="C893" s="160">
        <v>15000</v>
      </c>
      <c r="D893" s="104">
        <f t="shared" si="108"/>
        <v>15000</v>
      </c>
      <c r="E893" s="104">
        <f>SUM(H893+K893+N893+Q893)</f>
        <v>5471</v>
      </c>
      <c r="F893" s="432">
        <f t="shared" si="109"/>
        <v>36.473333333333336</v>
      </c>
      <c r="G893" s="160">
        <v>15000</v>
      </c>
      <c r="H893" s="104">
        <v>5471</v>
      </c>
      <c r="I893" s="105">
        <f t="shared" si="110"/>
        <v>36.473333333333336</v>
      </c>
      <c r="J893" s="193"/>
      <c r="K893" s="129"/>
      <c r="L893" s="110"/>
      <c r="M893" s="128"/>
      <c r="N893" s="129"/>
      <c r="O893" s="108"/>
      <c r="P893" s="129"/>
      <c r="Q893" s="129"/>
      <c r="R893" s="200"/>
    </row>
    <row r="894" spans="1:18" ht="60">
      <c r="A894" s="191">
        <v>2820</v>
      </c>
      <c r="B894" s="198" t="s">
        <v>720</v>
      </c>
      <c r="C894" s="160">
        <v>25000</v>
      </c>
      <c r="D894" s="104">
        <f t="shared" si="108"/>
        <v>25000</v>
      </c>
      <c r="E894" s="104">
        <f t="shared" si="106"/>
        <v>0</v>
      </c>
      <c r="F894" s="432">
        <f t="shared" si="109"/>
        <v>0</v>
      </c>
      <c r="G894" s="160">
        <v>25000</v>
      </c>
      <c r="H894" s="104"/>
      <c r="I894" s="105">
        <f t="shared" si="110"/>
        <v>0</v>
      </c>
      <c r="J894" s="193"/>
      <c r="K894" s="129"/>
      <c r="L894" s="110"/>
      <c r="M894" s="128"/>
      <c r="N894" s="129"/>
      <c r="O894" s="108"/>
      <c r="P894" s="129"/>
      <c r="Q894" s="129"/>
      <c r="R894" s="200"/>
    </row>
    <row r="895" spans="1:18" s="221" customFormat="1" ht="36" hidden="1">
      <c r="A895" s="433"/>
      <c r="B895" s="434" t="s">
        <v>721</v>
      </c>
      <c r="C895" s="211">
        <f>SUM(C896:C903)</f>
        <v>0</v>
      </c>
      <c r="D895" s="213">
        <f t="shared" si="108"/>
        <v>0</v>
      </c>
      <c r="E895" s="213">
        <f t="shared" si="106"/>
        <v>0</v>
      </c>
      <c r="F895" s="432" t="e">
        <f t="shared" si="109"/>
        <v>#DIV/0!</v>
      </c>
      <c r="G895" s="211">
        <f>SUM(G896:G903)</f>
        <v>0</v>
      </c>
      <c r="H895" s="213">
        <f>SUM(H896:H903)</f>
        <v>0</v>
      </c>
      <c r="I895" s="105" t="e">
        <f t="shared" si="110"/>
        <v>#DIV/0!</v>
      </c>
      <c r="J895" s="215"/>
      <c r="K895" s="213"/>
      <c r="L895" s="289"/>
      <c r="M895" s="211"/>
      <c r="N895" s="213"/>
      <c r="O895" s="217"/>
      <c r="P895" s="213"/>
      <c r="Q895" s="213"/>
      <c r="R895" s="220"/>
    </row>
    <row r="896" spans="1:18" ht="24" hidden="1">
      <c r="A896" s="191">
        <v>4178</v>
      </c>
      <c r="B896" s="198" t="s">
        <v>722</v>
      </c>
      <c r="C896" s="160"/>
      <c r="D896" s="104">
        <f t="shared" si="108"/>
        <v>0</v>
      </c>
      <c r="E896" s="104">
        <f>SUM(H896+K896+N896+Q896)</f>
        <v>0</v>
      </c>
      <c r="F896" s="432" t="e">
        <f t="shared" si="109"/>
        <v>#DIV/0!</v>
      </c>
      <c r="G896" s="128"/>
      <c r="H896" s="129"/>
      <c r="I896" s="105" t="e">
        <f t="shared" si="110"/>
        <v>#DIV/0!</v>
      </c>
      <c r="J896" s="193"/>
      <c r="K896" s="129"/>
      <c r="L896" s="110"/>
      <c r="M896" s="128"/>
      <c r="N896" s="129"/>
      <c r="O896" s="108"/>
      <c r="P896" s="129"/>
      <c r="Q896" s="129"/>
      <c r="R896" s="200"/>
    </row>
    <row r="897" spans="1:18" ht="24" hidden="1">
      <c r="A897" s="191">
        <v>4179</v>
      </c>
      <c r="B897" s="198" t="s">
        <v>722</v>
      </c>
      <c r="C897" s="160"/>
      <c r="D897" s="104">
        <f t="shared" si="108"/>
        <v>0</v>
      </c>
      <c r="E897" s="104">
        <f aca="true" t="shared" si="111" ref="E897:E926">SUM(H897+K897+N897+Q897)</f>
        <v>0</v>
      </c>
      <c r="F897" s="432" t="e">
        <f t="shared" si="109"/>
        <v>#DIV/0!</v>
      </c>
      <c r="G897" s="128"/>
      <c r="H897" s="129"/>
      <c r="I897" s="105" t="e">
        <f t="shared" si="110"/>
        <v>#DIV/0!</v>
      </c>
      <c r="J897" s="193"/>
      <c r="K897" s="129"/>
      <c r="L897" s="110"/>
      <c r="M897" s="128"/>
      <c r="N897" s="129"/>
      <c r="O897" s="108"/>
      <c r="P897" s="129"/>
      <c r="Q897" s="129"/>
      <c r="R897" s="200"/>
    </row>
    <row r="898" spans="1:18" ht="24" hidden="1">
      <c r="A898" s="191">
        <v>4218</v>
      </c>
      <c r="B898" s="198" t="s">
        <v>356</v>
      </c>
      <c r="C898" s="160"/>
      <c r="D898" s="104">
        <f t="shared" si="108"/>
        <v>0</v>
      </c>
      <c r="E898" s="104">
        <f t="shared" si="111"/>
        <v>0</v>
      </c>
      <c r="F898" s="432" t="e">
        <f t="shared" si="109"/>
        <v>#DIV/0!</v>
      </c>
      <c r="G898" s="128"/>
      <c r="H898" s="129"/>
      <c r="I898" s="105" t="e">
        <f t="shared" si="110"/>
        <v>#DIV/0!</v>
      </c>
      <c r="J898" s="193"/>
      <c r="K898" s="129"/>
      <c r="L898" s="110"/>
      <c r="M898" s="128"/>
      <c r="N898" s="129"/>
      <c r="O898" s="108"/>
      <c r="P898" s="129"/>
      <c r="Q898" s="129"/>
      <c r="R898" s="200"/>
    </row>
    <row r="899" spans="1:18" ht="24" hidden="1">
      <c r="A899" s="191">
        <v>4219</v>
      </c>
      <c r="B899" s="198" t="s">
        <v>356</v>
      </c>
      <c r="C899" s="160"/>
      <c r="D899" s="104">
        <f t="shared" si="108"/>
        <v>0</v>
      </c>
      <c r="E899" s="104">
        <f t="shared" si="111"/>
        <v>0</v>
      </c>
      <c r="F899" s="432" t="e">
        <f t="shared" si="109"/>
        <v>#DIV/0!</v>
      </c>
      <c r="G899" s="128"/>
      <c r="H899" s="129"/>
      <c r="I899" s="105" t="e">
        <f t="shared" si="110"/>
        <v>#DIV/0!</v>
      </c>
      <c r="J899" s="193"/>
      <c r="K899" s="129"/>
      <c r="L899" s="110"/>
      <c r="M899" s="128"/>
      <c r="N899" s="129"/>
      <c r="O899" s="108"/>
      <c r="P899" s="129"/>
      <c r="Q899" s="129"/>
      <c r="R899" s="200"/>
    </row>
    <row r="900" spans="1:18" ht="24" hidden="1">
      <c r="A900" s="191">
        <v>4308</v>
      </c>
      <c r="B900" s="198" t="s">
        <v>364</v>
      </c>
      <c r="C900" s="160"/>
      <c r="D900" s="104">
        <f t="shared" si="108"/>
        <v>0</v>
      </c>
      <c r="E900" s="104">
        <f t="shared" si="111"/>
        <v>0</v>
      </c>
      <c r="F900" s="432" t="e">
        <f t="shared" si="109"/>
        <v>#DIV/0!</v>
      </c>
      <c r="G900" s="128"/>
      <c r="H900" s="129"/>
      <c r="I900" s="105" t="e">
        <f t="shared" si="110"/>
        <v>#DIV/0!</v>
      </c>
      <c r="J900" s="193"/>
      <c r="K900" s="129"/>
      <c r="L900" s="110"/>
      <c r="M900" s="128"/>
      <c r="N900" s="129"/>
      <c r="O900" s="108"/>
      <c r="P900" s="129"/>
      <c r="Q900" s="129"/>
      <c r="R900" s="200"/>
    </row>
    <row r="901" spans="1:18" ht="24" hidden="1">
      <c r="A901" s="191">
        <v>4309</v>
      </c>
      <c r="B901" s="198" t="s">
        <v>364</v>
      </c>
      <c r="C901" s="160"/>
      <c r="D901" s="104">
        <f t="shared" si="108"/>
        <v>0</v>
      </c>
      <c r="E901" s="104">
        <f t="shared" si="111"/>
        <v>0</v>
      </c>
      <c r="F901" s="432" t="e">
        <f t="shared" si="109"/>
        <v>#DIV/0!</v>
      </c>
      <c r="G901" s="128"/>
      <c r="H901" s="129"/>
      <c r="I901" s="105" t="e">
        <f t="shared" si="110"/>
        <v>#DIV/0!</v>
      </c>
      <c r="J901" s="193"/>
      <c r="K901" s="129"/>
      <c r="L901" s="110"/>
      <c r="M901" s="128"/>
      <c r="N901" s="129"/>
      <c r="O901" s="108"/>
      <c r="P901" s="129"/>
      <c r="Q901" s="129"/>
      <c r="R901" s="200"/>
    </row>
    <row r="902" spans="1:18" ht="12.75" hidden="1">
      <c r="A902" s="191">
        <v>4438</v>
      </c>
      <c r="B902" s="305" t="s">
        <v>366</v>
      </c>
      <c r="C902" s="160"/>
      <c r="D902" s="104">
        <f t="shared" si="108"/>
        <v>0</v>
      </c>
      <c r="E902" s="104">
        <f t="shared" si="111"/>
        <v>0</v>
      </c>
      <c r="F902" s="432" t="e">
        <f t="shared" si="109"/>
        <v>#DIV/0!</v>
      </c>
      <c r="G902" s="128"/>
      <c r="H902" s="129"/>
      <c r="I902" s="105" t="e">
        <f t="shared" si="110"/>
        <v>#DIV/0!</v>
      </c>
      <c r="J902" s="193"/>
      <c r="K902" s="129"/>
      <c r="L902" s="110"/>
      <c r="M902" s="128"/>
      <c r="N902" s="129"/>
      <c r="O902" s="108"/>
      <c r="P902" s="129"/>
      <c r="Q902" s="129"/>
      <c r="R902" s="200"/>
    </row>
    <row r="903" spans="1:18" ht="12.75" hidden="1">
      <c r="A903" s="191">
        <v>4439</v>
      </c>
      <c r="B903" s="305" t="s">
        <v>366</v>
      </c>
      <c r="C903" s="160"/>
      <c r="D903" s="104">
        <f t="shared" si="108"/>
        <v>0</v>
      </c>
      <c r="E903" s="104">
        <f t="shared" si="111"/>
        <v>0</v>
      </c>
      <c r="F903" s="432" t="e">
        <f t="shared" si="109"/>
        <v>#DIV/0!</v>
      </c>
      <c r="G903" s="128"/>
      <c r="H903" s="129"/>
      <c r="I903" s="105" t="e">
        <f t="shared" si="110"/>
        <v>#DIV/0!</v>
      </c>
      <c r="J903" s="193"/>
      <c r="K903" s="129"/>
      <c r="L903" s="110"/>
      <c r="M903" s="128"/>
      <c r="N903" s="129"/>
      <c r="O903" s="108"/>
      <c r="P903" s="129"/>
      <c r="Q903" s="129"/>
      <c r="R903" s="200"/>
    </row>
    <row r="904" spans="1:18" ht="48" hidden="1">
      <c r="A904" s="191">
        <v>4215</v>
      </c>
      <c r="B904" s="198" t="s">
        <v>723</v>
      </c>
      <c r="C904" s="160"/>
      <c r="D904" s="104">
        <f t="shared" si="108"/>
        <v>0</v>
      </c>
      <c r="E904" s="104">
        <f t="shared" si="111"/>
        <v>0</v>
      </c>
      <c r="F904" s="432" t="e">
        <f t="shared" si="109"/>
        <v>#DIV/0!</v>
      </c>
      <c r="G904" s="128"/>
      <c r="H904" s="129"/>
      <c r="I904" s="105" t="e">
        <f t="shared" si="110"/>
        <v>#DIV/0!</v>
      </c>
      <c r="J904" s="193"/>
      <c r="K904" s="129"/>
      <c r="L904" s="110"/>
      <c r="M904" s="128"/>
      <c r="N904" s="129"/>
      <c r="O904" s="108"/>
      <c r="P904" s="129"/>
      <c r="Q904" s="129"/>
      <c r="R904" s="200"/>
    </row>
    <row r="905" spans="1:18" s="221" customFormat="1" ht="36">
      <c r="A905" s="209"/>
      <c r="B905" s="371" t="s">
        <v>724</v>
      </c>
      <c r="C905" s="211"/>
      <c r="D905" s="213">
        <f t="shared" si="108"/>
        <v>136504</v>
      </c>
      <c r="E905" s="213">
        <f t="shared" si="111"/>
        <v>136504</v>
      </c>
      <c r="F905" s="432">
        <f t="shared" si="109"/>
        <v>100</v>
      </c>
      <c r="G905" s="211">
        <f>SUM(G906:G914)</f>
        <v>136504</v>
      </c>
      <c r="H905" s="213">
        <f>SUM(H906:H914)</f>
        <v>136504</v>
      </c>
      <c r="I905" s="105">
        <f t="shared" si="110"/>
        <v>100</v>
      </c>
      <c r="J905" s="215"/>
      <c r="K905" s="213"/>
      <c r="L905" s="289"/>
      <c r="M905" s="211">
        <f>SUM(M906:M914)</f>
        <v>0</v>
      </c>
      <c r="N905" s="213">
        <f>SUM(N906:N914)</f>
        <v>0</v>
      </c>
      <c r="O905" s="256" t="e">
        <f>N905/M905*100</f>
        <v>#DIV/0!</v>
      </c>
      <c r="P905" s="213"/>
      <c r="Q905" s="213"/>
      <c r="R905" s="220"/>
    </row>
    <row r="906" spans="1:18" ht="24">
      <c r="A906" s="191">
        <v>4215</v>
      </c>
      <c r="B906" s="198" t="s">
        <v>356</v>
      </c>
      <c r="C906" s="160"/>
      <c r="D906" s="104">
        <f t="shared" si="108"/>
        <v>18885</v>
      </c>
      <c r="E906" s="104">
        <f t="shared" si="111"/>
        <v>18885</v>
      </c>
      <c r="F906" s="432">
        <f t="shared" si="109"/>
        <v>100</v>
      </c>
      <c r="G906" s="128">
        <v>18885</v>
      </c>
      <c r="H906" s="129">
        <v>18885</v>
      </c>
      <c r="I906" s="105">
        <f t="shared" si="110"/>
        <v>100</v>
      </c>
      <c r="J906" s="193"/>
      <c r="K906" s="129"/>
      <c r="L906" s="110"/>
      <c r="M906" s="128"/>
      <c r="N906" s="129"/>
      <c r="O906" s="256"/>
      <c r="P906" s="129"/>
      <c r="Q906" s="129"/>
      <c r="R906" s="200"/>
    </row>
    <row r="907" spans="1:18" ht="36">
      <c r="A907" s="191">
        <v>4245</v>
      </c>
      <c r="B907" s="198" t="s">
        <v>489</v>
      </c>
      <c r="C907" s="160"/>
      <c r="D907" s="104">
        <f t="shared" si="108"/>
        <v>4000</v>
      </c>
      <c r="E907" s="104">
        <f t="shared" si="111"/>
        <v>4000</v>
      </c>
      <c r="F907" s="432">
        <f t="shared" si="109"/>
        <v>100</v>
      </c>
      <c r="G907" s="128">
        <v>4000</v>
      </c>
      <c r="H907" s="129">
        <v>4000</v>
      </c>
      <c r="I907" s="105">
        <f t="shared" si="110"/>
        <v>100</v>
      </c>
      <c r="J907" s="193"/>
      <c r="K907" s="129"/>
      <c r="L907" s="110"/>
      <c r="M907" s="128"/>
      <c r="N907" s="129"/>
      <c r="O907" s="256"/>
      <c r="P907" s="129"/>
      <c r="Q907" s="129"/>
      <c r="R907" s="200"/>
    </row>
    <row r="908" spans="1:18" ht="24" hidden="1">
      <c r="A908" s="191">
        <v>4300</v>
      </c>
      <c r="B908" s="198" t="s">
        <v>364</v>
      </c>
      <c r="C908" s="160"/>
      <c r="D908" s="104">
        <f>G908+J908+P908+M908</f>
        <v>0</v>
      </c>
      <c r="E908" s="104">
        <f>SUM(H908+K908+N908+Q908)</f>
        <v>0</v>
      </c>
      <c r="F908" s="432" t="e">
        <f t="shared" si="109"/>
        <v>#DIV/0!</v>
      </c>
      <c r="G908" s="128"/>
      <c r="H908" s="129"/>
      <c r="I908" s="105" t="e">
        <f t="shared" si="110"/>
        <v>#DIV/0!</v>
      </c>
      <c r="J908" s="193"/>
      <c r="K908" s="129"/>
      <c r="L908" s="110"/>
      <c r="M908" s="128"/>
      <c r="N908" s="129"/>
      <c r="O908" s="256"/>
      <c r="P908" s="129"/>
      <c r="Q908" s="129"/>
      <c r="R908" s="200"/>
    </row>
    <row r="909" spans="1:18" ht="24">
      <c r="A909" s="191">
        <v>4305</v>
      </c>
      <c r="B909" s="198" t="s">
        <v>364</v>
      </c>
      <c r="C909" s="160"/>
      <c r="D909" s="104">
        <f t="shared" si="108"/>
        <v>18361</v>
      </c>
      <c r="E909" s="104">
        <f t="shared" si="111"/>
        <v>18361</v>
      </c>
      <c r="F909" s="432">
        <f t="shared" si="109"/>
        <v>100</v>
      </c>
      <c r="G909" s="128">
        <v>18361</v>
      </c>
      <c r="H909" s="129">
        <v>18361</v>
      </c>
      <c r="I909" s="105">
        <f t="shared" si="110"/>
        <v>100</v>
      </c>
      <c r="J909" s="193"/>
      <c r="K909" s="129"/>
      <c r="L909" s="110"/>
      <c r="M909" s="128"/>
      <c r="N909" s="129"/>
      <c r="O909" s="256"/>
      <c r="P909" s="129"/>
      <c r="Q909" s="129"/>
      <c r="R909" s="200"/>
    </row>
    <row r="910" spans="1:18" ht="24">
      <c r="A910" s="191">
        <v>4355</v>
      </c>
      <c r="B910" s="198" t="s">
        <v>460</v>
      </c>
      <c r="C910" s="160"/>
      <c r="D910" s="104">
        <f>G910+J910+P910+M910</f>
        <v>500</v>
      </c>
      <c r="E910" s="104">
        <f>SUM(H910+K910+N910+Q910)</f>
        <v>500</v>
      </c>
      <c r="F910" s="432">
        <f t="shared" si="109"/>
        <v>100</v>
      </c>
      <c r="G910" s="128">
        <v>500</v>
      </c>
      <c r="H910" s="129">
        <v>500</v>
      </c>
      <c r="I910" s="105">
        <f t="shared" si="110"/>
        <v>100</v>
      </c>
      <c r="J910" s="193"/>
      <c r="K910" s="129"/>
      <c r="L910" s="110"/>
      <c r="M910" s="128"/>
      <c r="N910" s="129"/>
      <c r="O910" s="256"/>
      <c r="P910" s="129"/>
      <c r="Q910" s="129"/>
      <c r="R910" s="200"/>
    </row>
    <row r="911" spans="1:18" ht="24">
      <c r="A911" s="191">
        <v>4425</v>
      </c>
      <c r="B911" s="198" t="s">
        <v>477</v>
      </c>
      <c r="C911" s="160"/>
      <c r="D911" s="104">
        <f t="shared" si="108"/>
        <v>87758</v>
      </c>
      <c r="E911" s="104">
        <f t="shared" si="111"/>
        <v>87758</v>
      </c>
      <c r="F911" s="432">
        <f t="shared" si="109"/>
        <v>100</v>
      </c>
      <c r="G911" s="128">
        <v>87758</v>
      </c>
      <c r="H911" s="129">
        <v>87758</v>
      </c>
      <c r="I911" s="105">
        <f t="shared" si="110"/>
        <v>100</v>
      </c>
      <c r="J911" s="193"/>
      <c r="K911" s="129"/>
      <c r="L911" s="110"/>
      <c r="M911" s="128"/>
      <c r="N911" s="129"/>
      <c r="O911" s="108"/>
      <c r="P911" s="129"/>
      <c r="Q911" s="129"/>
      <c r="R911" s="200"/>
    </row>
    <row r="912" spans="1:18" ht="12.75">
      <c r="A912" s="191">
        <v>4435</v>
      </c>
      <c r="B912" s="305" t="s">
        <v>366</v>
      </c>
      <c r="C912" s="160"/>
      <c r="D912" s="104">
        <f t="shared" si="108"/>
        <v>2600</v>
      </c>
      <c r="E912" s="104">
        <f t="shared" si="111"/>
        <v>2600</v>
      </c>
      <c r="F912" s="432">
        <f t="shared" si="109"/>
        <v>100</v>
      </c>
      <c r="G912" s="128">
        <v>2600</v>
      </c>
      <c r="H912" s="129">
        <v>2600</v>
      </c>
      <c r="I912" s="105">
        <f t="shared" si="110"/>
        <v>100</v>
      </c>
      <c r="J912" s="193"/>
      <c r="K912" s="129"/>
      <c r="L912" s="110"/>
      <c r="M912" s="128"/>
      <c r="N912" s="129"/>
      <c r="O912" s="108"/>
      <c r="P912" s="129"/>
      <c r="Q912" s="129"/>
      <c r="R912" s="200"/>
    </row>
    <row r="913" spans="1:18" ht="60">
      <c r="A913" s="191">
        <v>4745</v>
      </c>
      <c r="B913" s="291" t="s">
        <v>380</v>
      </c>
      <c r="C913" s="160"/>
      <c r="D913" s="104">
        <f t="shared" si="108"/>
        <v>1000</v>
      </c>
      <c r="E913" s="104">
        <f t="shared" si="111"/>
        <v>1000</v>
      </c>
      <c r="F913" s="432">
        <f t="shared" si="109"/>
        <v>100</v>
      </c>
      <c r="G913" s="128">
        <v>1000</v>
      </c>
      <c r="H913" s="129">
        <v>1000</v>
      </c>
      <c r="I913" s="105">
        <f t="shared" si="110"/>
        <v>100</v>
      </c>
      <c r="J913" s="193"/>
      <c r="K913" s="129"/>
      <c r="L913" s="110"/>
      <c r="M913" s="128"/>
      <c r="N913" s="129"/>
      <c r="O913" s="108"/>
      <c r="P913" s="129"/>
      <c r="Q913" s="129"/>
      <c r="R913" s="200"/>
    </row>
    <row r="914" spans="1:18" ht="36">
      <c r="A914" s="191">
        <v>4755</v>
      </c>
      <c r="B914" s="291" t="s">
        <v>467</v>
      </c>
      <c r="C914" s="160"/>
      <c r="D914" s="104">
        <f t="shared" si="108"/>
        <v>3400</v>
      </c>
      <c r="E914" s="104">
        <f t="shared" si="111"/>
        <v>3400</v>
      </c>
      <c r="F914" s="432">
        <f t="shared" si="109"/>
        <v>100</v>
      </c>
      <c r="G914" s="128">
        <v>3400</v>
      </c>
      <c r="H914" s="129">
        <v>3400</v>
      </c>
      <c r="I914" s="105">
        <f t="shared" si="110"/>
        <v>100</v>
      </c>
      <c r="J914" s="193"/>
      <c r="K914" s="129"/>
      <c r="L914" s="110"/>
      <c r="M914" s="128"/>
      <c r="N914" s="129"/>
      <c r="O914" s="108"/>
      <c r="P914" s="129"/>
      <c r="Q914" s="129"/>
      <c r="R914" s="200"/>
    </row>
    <row r="915" spans="1:18" s="221" customFormat="1" ht="48">
      <c r="A915" s="209"/>
      <c r="B915" s="371" t="s">
        <v>725</v>
      </c>
      <c r="C915" s="211"/>
      <c r="D915" s="213">
        <f>G915+J915+P915+M915</f>
        <v>37300</v>
      </c>
      <c r="E915" s="213">
        <f>SUM(H915+K915+N915+Q915)</f>
        <v>37269</v>
      </c>
      <c r="F915" s="432">
        <f t="shared" si="109"/>
        <v>99.91689008042896</v>
      </c>
      <c r="G915" s="211"/>
      <c r="H915" s="213"/>
      <c r="I915" s="105"/>
      <c r="J915" s="215"/>
      <c r="K915" s="213"/>
      <c r="L915" s="289"/>
      <c r="M915" s="211">
        <f>SUM(M916:M919)</f>
        <v>37300</v>
      </c>
      <c r="N915" s="213">
        <f>SUM(N916:N919)</f>
        <v>37269</v>
      </c>
      <c r="O915" s="435">
        <f>N915/M915*100</f>
        <v>99.91689008042896</v>
      </c>
      <c r="P915" s="213"/>
      <c r="Q915" s="213"/>
      <c r="R915" s="220"/>
    </row>
    <row r="916" spans="1:18" ht="24">
      <c r="A916" s="191">
        <v>4215</v>
      </c>
      <c r="B916" s="198" t="s">
        <v>356</v>
      </c>
      <c r="C916" s="160"/>
      <c r="D916" s="104">
        <f>G916+J916+P916+M916</f>
        <v>1700</v>
      </c>
      <c r="E916" s="104">
        <f>SUM(H916+K916+N916+Q916)</f>
        <v>1670</v>
      </c>
      <c r="F916" s="432">
        <f t="shared" si="109"/>
        <v>98.23529411764706</v>
      </c>
      <c r="G916" s="128"/>
      <c r="H916" s="129"/>
      <c r="I916" s="105"/>
      <c r="J916" s="193"/>
      <c r="K916" s="129"/>
      <c r="L916" s="110"/>
      <c r="M916" s="128">
        <v>1700</v>
      </c>
      <c r="N916" s="129">
        <v>1670</v>
      </c>
      <c r="O916" s="256">
        <f>N916/M916*100</f>
        <v>98.23529411764706</v>
      </c>
      <c r="P916" s="129"/>
      <c r="Q916" s="129"/>
      <c r="R916" s="200"/>
    </row>
    <row r="917" spans="1:18" ht="24">
      <c r="A917" s="191">
        <v>4305</v>
      </c>
      <c r="B917" s="198" t="s">
        <v>364</v>
      </c>
      <c r="C917" s="160"/>
      <c r="D917" s="104">
        <f>G917+J917+P917+M917</f>
        <v>35063</v>
      </c>
      <c r="E917" s="104">
        <f>SUM(H917+K917+N917+Q917)</f>
        <v>35062</v>
      </c>
      <c r="F917" s="432">
        <f t="shared" si="109"/>
        <v>99.99714799075949</v>
      </c>
      <c r="G917" s="128"/>
      <c r="H917" s="129"/>
      <c r="I917" s="105"/>
      <c r="J917" s="193"/>
      <c r="K917" s="129"/>
      <c r="L917" s="110"/>
      <c r="M917" s="128">
        <v>35063</v>
      </c>
      <c r="N917" s="129">
        <v>35062</v>
      </c>
      <c r="O917" s="256">
        <f>N917/M917*100</f>
        <v>99.99714799075949</v>
      </c>
      <c r="P917" s="129"/>
      <c r="Q917" s="129"/>
      <c r="R917" s="200"/>
    </row>
    <row r="918" spans="1:18" ht="48">
      <c r="A918" s="267">
        <v>4365</v>
      </c>
      <c r="B918" s="291" t="s">
        <v>635</v>
      </c>
      <c r="C918" s="160"/>
      <c r="D918" s="104">
        <f>G918+J918+P918+M918</f>
        <v>179</v>
      </c>
      <c r="E918" s="104">
        <f>SUM(H918+K918+N918+Q918)</f>
        <v>179</v>
      </c>
      <c r="F918" s="432">
        <f t="shared" si="109"/>
        <v>100</v>
      </c>
      <c r="G918" s="128"/>
      <c r="H918" s="129"/>
      <c r="I918" s="105"/>
      <c r="J918" s="193"/>
      <c r="K918" s="129"/>
      <c r="L918" s="110"/>
      <c r="M918" s="128">
        <v>179</v>
      </c>
      <c r="N918" s="129">
        <v>179</v>
      </c>
      <c r="O918" s="256">
        <f>N918/M918*100</f>
        <v>100</v>
      </c>
      <c r="P918" s="129"/>
      <c r="Q918" s="129"/>
      <c r="R918" s="200"/>
    </row>
    <row r="919" spans="1:18" ht="12.75">
      <c r="A919" s="191">
        <v>4435</v>
      </c>
      <c r="B919" s="305" t="s">
        <v>366</v>
      </c>
      <c r="C919" s="160"/>
      <c r="D919" s="104">
        <f>G919+J919+P919+M919</f>
        <v>358</v>
      </c>
      <c r="E919" s="104">
        <f>SUM(H919+K919+N919+Q919)</f>
        <v>358</v>
      </c>
      <c r="F919" s="432">
        <f t="shared" si="109"/>
        <v>100</v>
      </c>
      <c r="G919" s="128"/>
      <c r="H919" s="129"/>
      <c r="I919" s="105"/>
      <c r="J919" s="193"/>
      <c r="K919" s="129"/>
      <c r="L919" s="110"/>
      <c r="M919" s="128">
        <v>358</v>
      </c>
      <c r="N919" s="129">
        <v>358</v>
      </c>
      <c r="O919" s="256">
        <f>N919/M919*100</f>
        <v>100</v>
      </c>
      <c r="P919" s="129"/>
      <c r="Q919" s="129"/>
      <c r="R919" s="200"/>
    </row>
    <row r="920" spans="1:18" s="221" customFormat="1" ht="84">
      <c r="A920" s="209"/>
      <c r="B920" s="371" t="s">
        <v>726</v>
      </c>
      <c r="C920" s="211">
        <f>SUM(C921:C927)</f>
        <v>122205</v>
      </c>
      <c r="D920" s="213">
        <f t="shared" si="108"/>
        <v>122205</v>
      </c>
      <c r="E920" s="213">
        <f t="shared" si="111"/>
        <v>61100</v>
      </c>
      <c r="F920" s="432">
        <f t="shared" si="109"/>
        <v>49.997954257190784</v>
      </c>
      <c r="G920" s="211"/>
      <c r="H920" s="213"/>
      <c r="I920" s="162"/>
      <c r="J920" s="215"/>
      <c r="K920" s="213"/>
      <c r="L920" s="289"/>
      <c r="M920" s="211">
        <f>SUM(M921:M927)</f>
        <v>122205</v>
      </c>
      <c r="N920" s="213">
        <f>SUM(N921:N927)</f>
        <v>61100</v>
      </c>
      <c r="O920" s="435">
        <f aca="true" t="shared" si="112" ref="O920:O927">N920/M920*100</f>
        <v>49.997954257190784</v>
      </c>
      <c r="P920" s="213"/>
      <c r="Q920" s="213"/>
      <c r="R920" s="220"/>
    </row>
    <row r="921" spans="1:18" ht="24">
      <c r="A921" s="191">
        <v>4115</v>
      </c>
      <c r="B921" s="423" t="s">
        <v>352</v>
      </c>
      <c r="C921" s="160">
        <v>90</v>
      </c>
      <c r="D921" s="104">
        <f t="shared" si="108"/>
        <v>90</v>
      </c>
      <c r="E921" s="104">
        <f t="shared" si="111"/>
        <v>30</v>
      </c>
      <c r="F921" s="432">
        <f t="shared" si="109"/>
        <v>33.33333333333333</v>
      </c>
      <c r="G921" s="128"/>
      <c r="H921" s="129"/>
      <c r="I921" s="162"/>
      <c r="J921" s="193"/>
      <c r="K921" s="129"/>
      <c r="L921" s="110"/>
      <c r="M921" s="128">
        <v>90</v>
      </c>
      <c r="N921" s="129">
        <v>30</v>
      </c>
      <c r="O921" s="256">
        <f t="shared" si="112"/>
        <v>33.33333333333333</v>
      </c>
      <c r="P921" s="129"/>
      <c r="Q921" s="129"/>
      <c r="R921" s="200"/>
    </row>
    <row r="922" spans="1:18" ht="12.75">
      <c r="A922" s="191">
        <v>4125</v>
      </c>
      <c r="B922" s="423" t="s">
        <v>504</v>
      </c>
      <c r="C922" s="160">
        <v>30</v>
      </c>
      <c r="D922" s="104">
        <f t="shared" si="108"/>
        <v>30</v>
      </c>
      <c r="E922" s="104">
        <f t="shared" si="111"/>
        <v>10</v>
      </c>
      <c r="F922" s="432">
        <f t="shared" si="109"/>
        <v>33.33333333333333</v>
      </c>
      <c r="G922" s="128"/>
      <c r="H922" s="129"/>
      <c r="I922" s="162"/>
      <c r="J922" s="193"/>
      <c r="K922" s="129"/>
      <c r="L922" s="110"/>
      <c r="M922" s="128">
        <v>30</v>
      </c>
      <c r="N922" s="129">
        <v>10</v>
      </c>
      <c r="O922" s="256">
        <f t="shared" si="112"/>
        <v>33.33333333333333</v>
      </c>
      <c r="P922" s="129"/>
      <c r="Q922" s="129"/>
      <c r="R922" s="200"/>
    </row>
    <row r="923" spans="1:18" ht="24">
      <c r="A923" s="191">
        <v>4175</v>
      </c>
      <c r="B923" s="198" t="s">
        <v>392</v>
      </c>
      <c r="C923" s="160">
        <v>480</v>
      </c>
      <c r="D923" s="104">
        <f t="shared" si="108"/>
        <v>480</v>
      </c>
      <c r="E923" s="104">
        <f t="shared" si="111"/>
        <v>160</v>
      </c>
      <c r="F923" s="432">
        <f t="shared" si="109"/>
        <v>33.33333333333333</v>
      </c>
      <c r="G923" s="128"/>
      <c r="H923" s="129"/>
      <c r="I923" s="162"/>
      <c r="J923" s="193"/>
      <c r="K923" s="129"/>
      <c r="L923" s="110"/>
      <c r="M923" s="128">
        <v>480</v>
      </c>
      <c r="N923" s="129">
        <v>160</v>
      </c>
      <c r="O923" s="256">
        <f t="shared" si="112"/>
        <v>33.33333333333333</v>
      </c>
      <c r="P923" s="129"/>
      <c r="Q923" s="129"/>
      <c r="R923" s="200"/>
    </row>
    <row r="924" spans="1:18" ht="24" hidden="1">
      <c r="A924" s="191">
        <v>4215</v>
      </c>
      <c r="B924" s="198" t="s">
        <v>356</v>
      </c>
      <c r="C924" s="160"/>
      <c r="D924" s="104">
        <f>G924+J924+P924+M924</f>
        <v>0</v>
      </c>
      <c r="E924" s="104">
        <f>SUM(H924+K924+N924+Q924)</f>
        <v>0</v>
      </c>
      <c r="F924" s="432" t="e">
        <f t="shared" si="109"/>
        <v>#DIV/0!</v>
      </c>
      <c r="G924" s="128"/>
      <c r="H924" s="129"/>
      <c r="I924" s="162"/>
      <c r="J924" s="193"/>
      <c r="K924" s="129"/>
      <c r="L924" s="110"/>
      <c r="M924" s="128"/>
      <c r="N924" s="129"/>
      <c r="O924" s="256" t="e">
        <f t="shared" si="112"/>
        <v>#DIV/0!</v>
      </c>
      <c r="P924" s="129"/>
      <c r="Q924" s="129"/>
      <c r="R924" s="200"/>
    </row>
    <row r="925" spans="1:18" ht="36">
      <c r="A925" s="191">
        <v>4245</v>
      </c>
      <c r="B925" s="198" t="s">
        <v>489</v>
      </c>
      <c r="C925" s="160">
        <v>400</v>
      </c>
      <c r="D925" s="104">
        <f t="shared" si="108"/>
        <v>400</v>
      </c>
      <c r="E925" s="104">
        <f t="shared" si="111"/>
        <v>400</v>
      </c>
      <c r="F925" s="432">
        <f t="shared" si="109"/>
        <v>100</v>
      </c>
      <c r="G925" s="128"/>
      <c r="H925" s="129"/>
      <c r="I925" s="162"/>
      <c r="J925" s="193"/>
      <c r="K925" s="129"/>
      <c r="L925" s="110"/>
      <c r="M925" s="128">
        <v>400</v>
      </c>
      <c r="N925" s="129">
        <v>400</v>
      </c>
      <c r="O925" s="256">
        <f t="shared" si="112"/>
        <v>100</v>
      </c>
      <c r="P925" s="129"/>
      <c r="Q925" s="129"/>
      <c r="R925" s="200"/>
    </row>
    <row r="926" spans="1:18" ht="24">
      <c r="A926" s="191">
        <v>4305</v>
      </c>
      <c r="B926" s="198" t="s">
        <v>364</v>
      </c>
      <c r="C926" s="160">
        <v>110605</v>
      </c>
      <c r="D926" s="104">
        <f t="shared" si="108"/>
        <v>110605</v>
      </c>
      <c r="E926" s="104">
        <f t="shared" si="111"/>
        <v>55200</v>
      </c>
      <c r="F926" s="432">
        <f t="shared" si="109"/>
        <v>49.907327878486505</v>
      </c>
      <c r="G926" s="128"/>
      <c r="H926" s="129"/>
      <c r="I926" s="162"/>
      <c r="J926" s="193"/>
      <c r="K926" s="129"/>
      <c r="L926" s="110"/>
      <c r="M926" s="128">
        <v>110605</v>
      </c>
      <c r="N926" s="129">
        <v>55200</v>
      </c>
      <c r="O926" s="256">
        <f t="shared" si="112"/>
        <v>49.907327878486505</v>
      </c>
      <c r="P926" s="129"/>
      <c r="Q926" s="129"/>
      <c r="R926" s="200"/>
    </row>
    <row r="927" spans="1:18" ht="24.75" thickBot="1">
      <c r="A927" s="191">
        <v>4425</v>
      </c>
      <c r="B927" s="423" t="s">
        <v>477</v>
      </c>
      <c r="C927" s="160">
        <v>10600</v>
      </c>
      <c r="D927" s="104">
        <f t="shared" si="108"/>
        <v>10600</v>
      </c>
      <c r="E927" s="104">
        <f>SUM(H927+K927+N927+Q927)</f>
        <v>5300</v>
      </c>
      <c r="F927" s="432">
        <f t="shared" si="109"/>
        <v>50</v>
      </c>
      <c r="G927" s="128"/>
      <c r="H927" s="129"/>
      <c r="I927" s="162"/>
      <c r="J927" s="193"/>
      <c r="K927" s="129"/>
      <c r="L927" s="110"/>
      <c r="M927" s="128">
        <v>10600</v>
      </c>
      <c r="N927" s="129">
        <v>5300</v>
      </c>
      <c r="O927" s="256">
        <f t="shared" si="112"/>
        <v>50</v>
      </c>
      <c r="P927" s="129"/>
      <c r="Q927" s="129"/>
      <c r="R927" s="200"/>
    </row>
    <row r="928" spans="1:18" s="221" customFormat="1" ht="13.5" hidden="1" thickBot="1">
      <c r="A928" s="209"/>
      <c r="B928" s="371" t="s">
        <v>727</v>
      </c>
      <c r="C928" s="211"/>
      <c r="D928" s="213">
        <f t="shared" si="108"/>
        <v>0</v>
      </c>
      <c r="E928" s="213">
        <f>SUM(H928+K928+N928+Q928)</f>
        <v>0</v>
      </c>
      <c r="F928" s="432" t="e">
        <f t="shared" si="109"/>
        <v>#DIV/0!</v>
      </c>
      <c r="G928" s="211">
        <f>SUM(G929:G931)</f>
        <v>0</v>
      </c>
      <c r="H928" s="213">
        <f>SUM(H929:H931)</f>
        <v>0</v>
      </c>
      <c r="I928" s="162" t="e">
        <f t="shared" si="110"/>
        <v>#DIV/0!</v>
      </c>
      <c r="J928" s="215"/>
      <c r="K928" s="213"/>
      <c r="L928" s="289"/>
      <c r="M928" s="211"/>
      <c r="N928" s="213"/>
      <c r="O928" s="435"/>
      <c r="P928" s="213"/>
      <c r="Q928" s="213"/>
      <c r="R928" s="220"/>
    </row>
    <row r="929" spans="1:18" ht="24.75" hidden="1" thickBot="1">
      <c r="A929" s="191">
        <v>4170</v>
      </c>
      <c r="B929" s="198" t="s">
        <v>722</v>
      </c>
      <c r="C929" s="160"/>
      <c r="D929" s="104">
        <f t="shared" si="108"/>
        <v>0</v>
      </c>
      <c r="E929" s="104">
        <f>SUM(H929+K929+N929+Q929)</f>
        <v>0</v>
      </c>
      <c r="F929" s="432" t="e">
        <f t="shared" si="109"/>
        <v>#DIV/0!</v>
      </c>
      <c r="G929" s="128"/>
      <c r="H929" s="129"/>
      <c r="I929" s="105" t="e">
        <f t="shared" si="110"/>
        <v>#DIV/0!</v>
      </c>
      <c r="J929" s="193"/>
      <c r="K929" s="129"/>
      <c r="L929" s="110"/>
      <c r="M929" s="128"/>
      <c r="N929" s="129"/>
      <c r="O929" s="256"/>
      <c r="P929" s="129"/>
      <c r="Q929" s="129"/>
      <c r="R929" s="200"/>
    </row>
    <row r="930" spans="1:18" ht="24.75" hidden="1" thickBot="1">
      <c r="A930" s="191">
        <v>4110</v>
      </c>
      <c r="B930" s="198" t="s">
        <v>352</v>
      </c>
      <c r="C930" s="160"/>
      <c r="D930" s="104">
        <f t="shared" si="108"/>
        <v>0</v>
      </c>
      <c r="E930" s="104">
        <f>SUM(H930+K930+N930+Q930)</f>
        <v>0</v>
      </c>
      <c r="F930" s="432" t="e">
        <f t="shared" si="109"/>
        <v>#DIV/0!</v>
      </c>
      <c r="G930" s="128"/>
      <c r="H930" s="129"/>
      <c r="I930" s="162" t="e">
        <f t="shared" si="110"/>
        <v>#DIV/0!</v>
      </c>
      <c r="J930" s="193"/>
      <c r="K930" s="129"/>
      <c r="L930" s="110"/>
      <c r="M930" s="128"/>
      <c r="N930" s="129"/>
      <c r="O930" s="256"/>
      <c r="P930" s="129"/>
      <c r="Q930" s="129"/>
      <c r="R930" s="200"/>
    </row>
    <row r="931" spans="1:18" ht="13.5" hidden="1" thickBot="1">
      <c r="A931" s="191">
        <v>4120</v>
      </c>
      <c r="B931" s="198" t="s">
        <v>504</v>
      </c>
      <c r="C931" s="160"/>
      <c r="D931" s="104">
        <f t="shared" si="108"/>
        <v>0</v>
      </c>
      <c r="E931" s="104">
        <f>SUM(H931+K931+N931+Q931)</f>
        <v>0</v>
      </c>
      <c r="F931" s="432" t="e">
        <f t="shared" si="109"/>
        <v>#DIV/0!</v>
      </c>
      <c r="G931" s="128"/>
      <c r="H931" s="129"/>
      <c r="I931" s="162" t="e">
        <f t="shared" si="110"/>
        <v>#DIV/0!</v>
      </c>
      <c r="J931" s="193"/>
      <c r="K931" s="129"/>
      <c r="L931" s="110"/>
      <c r="M931" s="128"/>
      <c r="N931" s="129"/>
      <c r="O931" s="256"/>
      <c r="P931" s="129"/>
      <c r="Q931" s="129"/>
      <c r="R931" s="200"/>
    </row>
    <row r="932" spans="1:18" ht="27" customHeight="1" thickBot="1" thickTop="1">
      <c r="A932" s="181">
        <v>803</v>
      </c>
      <c r="B932" s="182" t="s">
        <v>728</v>
      </c>
      <c r="C932" s="203">
        <f>SUM(C933)+C943</f>
        <v>15000</v>
      </c>
      <c r="D932" s="78">
        <f t="shared" si="108"/>
        <v>15000</v>
      </c>
      <c r="E932" s="78">
        <f>E933+E943</f>
        <v>4680</v>
      </c>
      <c r="F932" s="436">
        <f t="shared" si="109"/>
        <v>31.2</v>
      </c>
      <c r="G932" s="183">
        <f>G933+G943</f>
        <v>15000</v>
      </c>
      <c r="H932" s="83">
        <f>H933+H943</f>
        <v>4680</v>
      </c>
      <c r="I932" s="292">
        <f t="shared" si="110"/>
        <v>31.2</v>
      </c>
      <c r="J932" s="82"/>
      <c r="K932" s="83"/>
      <c r="L932" s="84"/>
      <c r="M932" s="183"/>
      <c r="N932" s="83"/>
      <c r="O932" s="184"/>
      <c r="P932" s="83"/>
      <c r="Q932" s="83"/>
      <c r="R932" s="293"/>
    </row>
    <row r="933" spans="1:18" ht="23.25" customHeight="1" thickTop="1">
      <c r="A933" s="382">
        <v>80309</v>
      </c>
      <c r="B933" s="383" t="s">
        <v>729</v>
      </c>
      <c r="C933" s="331">
        <f>SUM(C934:C935)</f>
        <v>10000</v>
      </c>
      <c r="D933" s="91">
        <f t="shared" si="108"/>
        <v>10000</v>
      </c>
      <c r="E933" s="91">
        <f>H933+K933+Q933+N933</f>
        <v>4680</v>
      </c>
      <c r="F933" s="437">
        <f t="shared" si="109"/>
        <v>46.800000000000004</v>
      </c>
      <c r="G933" s="384">
        <f>SUM(G934:G935)</f>
        <v>10000</v>
      </c>
      <c r="H933" s="97">
        <f>SUM(H934:H935)</f>
        <v>4680</v>
      </c>
      <c r="I933" s="295">
        <f t="shared" si="110"/>
        <v>46.800000000000004</v>
      </c>
      <c r="J933" s="96"/>
      <c r="K933" s="97"/>
      <c r="L933" s="98"/>
      <c r="M933" s="384"/>
      <c r="N933" s="97"/>
      <c r="O933" s="379"/>
      <c r="P933" s="97"/>
      <c r="Q933" s="97"/>
      <c r="R933" s="415"/>
    </row>
    <row r="934" spans="1:18" ht="12.75">
      <c r="A934" s="172">
        <v>3250</v>
      </c>
      <c r="B934" s="320" t="s">
        <v>730</v>
      </c>
      <c r="C934" s="148">
        <v>10000</v>
      </c>
      <c r="D934" s="149">
        <f t="shared" si="108"/>
        <v>10000</v>
      </c>
      <c r="E934" s="149">
        <f aca="true" t="shared" si="113" ref="E934:E942">SUM(H934+K934+N934+Q934)</f>
        <v>4680</v>
      </c>
      <c r="F934" s="438">
        <f t="shared" si="109"/>
        <v>46.800000000000004</v>
      </c>
      <c r="G934" s="132">
        <v>10000</v>
      </c>
      <c r="H934" s="150">
        <v>4680</v>
      </c>
      <c r="I934" s="158">
        <f t="shared" si="110"/>
        <v>46.800000000000004</v>
      </c>
      <c r="J934" s="223"/>
      <c r="K934" s="150"/>
      <c r="L934" s="154"/>
      <c r="M934" s="132"/>
      <c r="N934" s="150"/>
      <c r="O934" s="225"/>
      <c r="P934" s="150"/>
      <c r="Q934" s="150"/>
      <c r="R934" s="226"/>
    </row>
    <row r="935" spans="1:18" s="221" customFormat="1" ht="48" hidden="1">
      <c r="A935" s="209"/>
      <c r="B935" s="371" t="s">
        <v>731</v>
      </c>
      <c r="C935" s="211">
        <f>SUM(C936:C942)</f>
        <v>0</v>
      </c>
      <c r="D935" s="213">
        <f t="shared" si="108"/>
        <v>0</v>
      </c>
      <c r="E935" s="213">
        <f t="shared" si="113"/>
        <v>0</v>
      </c>
      <c r="F935" s="432" t="e">
        <f t="shared" si="109"/>
        <v>#DIV/0!</v>
      </c>
      <c r="G935" s="211">
        <f>SUM(G936:G942)</f>
        <v>0</v>
      </c>
      <c r="H935" s="213">
        <f>SUM(H936:H942)</f>
        <v>0</v>
      </c>
      <c r="I935" s="162" t="e">
        <f t="shared" si="110"/>
        <v>#DIV/0!</v>
      </c>
      <c r="J935" s="215"/>
      <c r="K935" s="213"/>
      <c r="L935" s="289"/>
      <c r="M935" s="211"/>
      <c r="N935" s="213"/>
      <c r="O935" s="219"/>
      <c r="P935" s="213"/>
      <c r="Q935" s="213"/>
      <c r="R935" s="220"/>
    </row>
    <row r="936" spans="1:18" ht="24" hidden="1">
      <c r="A936" s="191">
        <v>3218</v>
      </c>
      <c r="B936" s="198" t="s">
        <v>732</v>
      </c>
      <c r="C936" s="160"/>
      <c r="D936" s="104">
        <f t="shared" si="108"/>
        <v>0</v>
      </c>
      <c r="E936" s="104">
        <f t="shared" si="113"/>
        <v>0</v>
      </c>
      <c r="F936" s="432" t="e">
        <f t="shared" si="109"/>
        <v>#DIV/0!</v>
      </c>
      <c r="G936" s="128"/>
      <c r="H936" s="129"/>
      <c r="I936" s="105" t="e">
        <f t="shared" si="110"/>
        <v>#DIV/0!</v>
      </c>
      <c r="J936" s="193"/>
      <c r="K936" s="129"/>
      <c r="L936" s="110"/>
      <c r="M936" s="128"/>
      <c r="N936" s="129"/>
      <c r="O936" s="194"/>
      <c r="P936" s="129"/>
      <c r="Q936" s="129"/>
      <c r="R936" s="200"/>
    </row>
    <row r="937" spans="1:18" ht="24" hidden="1">
      <c r="A937" s="191">
        <v>3219</v>
      </c>
      <c r="B937" s="198" t="s">
        <v>732</v>
      </c>
      <c r="C937" s="160"/>
      <c r="D937" s="104">
        <f t="shared" si="108"/>
        <v>0</v>
      </c>
      <c r="E937" s="104">
        <f t="shared" si="113"/>
        <v>0</v>
      </c>
      <c r="F937" s="432" t="e">
        <f t="shared" si="109"/>
        <v>#DIV/0!</v>
      </c>
      <c r="G937" s="128"/>
      <c r="H937" s="129"/>
      <c r="I937" s="105" t="e">
        <f t="shared" si="110"/>
        <v>#DIV/0!</v>
      </c>
      <c r="J937" s="193"/>
      <c r="K937" s="129"/>
      <c r="L937" s="110"/>
      <c r="M937" s="128"/>
      <c r="N937" s="129"/>
      <c r="O937" s="194"/>
      <c r="P937" s="129"/>
      <c r="Q937" s="129"/>
      <c r="R937" s="200"/>
    </row>
    <row r="938" spans="1:18" ht="24" hidden="1">
      <c r="A938" s="191">
        <v>3210</v>
      </c>
      <c r="B938" s="198" t="s">
        <v>732</v>
      </c>
      <c r="C938" s="160"/>
      <c r="D938" s="104">
        <f>G938+J938+P938+M938</f>
        <v>0</v>
      </c>
      <c r="E938" s="104">
        <f>SUM(H938+K938+N938+Q938)</f>
        <v>0</v>
      </c>
      <c r="F938" s="432" t="e">
        <f>E938/D938*100</f>
        <v>#DIV/0!</v>
      </c>
      <c r="G938" s="128"/>
      <c r="H938" s="129"/>
      <c r="I938" s="105" t="e">
        <f t="shared" si="110"/>
        <v>#DIV/0!</v>
      </c>
      <c r="J938" s="193"/>
      <c r="K938" s="129"/>
      <c r="L938" s="110"/>
      <c r="M938" s="128"/>
      <c r="N938" s="129"/>
      <c r="O938" s="194"/>
      <c r="P938" s="129"/>
      <c r="Q938" s="129"/>
      <c r="R938" s="200"/>
    </row>
    <row r="939" spans="1:18" ht="24" hidden="1">
      <c r="A939" s="191">
        <v>4218</v>
      </c>
      <c r="B939" s="423" t="s">
        <v>356</v>
      </c>
      <c r="C939" s="160"/>
      <c r="D939" s="104">
        <f aca="true" t="shared" si="114" ref="D939:D946">G939+J939+P939+M939</f>
        <v>0</v>
      </c>
      <c r="E939" s="104">
        <f t="shared" si="113"/>
        <v>0</v>
      </c>
      <c r="F939" s="432" t="e">
        <f t="shared" si="109"/>
        <v>#DIV/0!</v>
      </c>
      <c r="G939" s="128"/>
      <c r="H939" s="129"/>
      <c r="I939" s="105" t="e">
        <f t="shared" si="110"/>
        <v>#DIV/0!</v>
      </c>
      <c r="J939" s="193"/>
      <c r="K939" s="129"/>
      <c r="L939" s="110"/>
      <c r="M939" s="128"/>
      <c r="N939" s="129"/>
      <c r="O939" s="194"/>
      <c r="P939" s="129"/>
      <c r="Q939" s="129"/>
      <c r="R939" s="200"/>
    </row>
    <row r="940" spans="1:18" ht="24" hidden="1">
      <c r="A940" s="191">
        <v>4219</v>
      </c>
      <c r="B940" s="423" t="s">
        <v>356</v>
      </c>
      <c r="C940" s="160"/>
      <c r="D940" s="104">
        <f t="shared" si="114"/>
        <v>0</v>
      </c>
      <c r="E940" s="104">
        <f t="shared" si="113"/>
        <v>0</v>
      </c>
      <c r="F940" s="432" t="e">
        <f t="shared" si="109"/>
        <v>#DIV/0!</v>
      </c>
      <c r="G940" s="128"/>
      <c r="H940" s="129"/>
      <c r="I940" s="105" t="e">
        <f t="shared" si="110"/>
        <v>#DIV/0!</v>
      </c>
      <c r="J940" s="193"/>
      <c r="K940" s="129"/>
      <c r="L940" s="110"/>
      <c r="M940" s="128"/>
      <c r="N940" s="129"/>
      <c r="O940" s="194"/>
      <c r="P940" s="129"/>
      <c r="Q940" s="129"/>
      <c r="R940" s="200"/>
    </row>
    <row r="941" spans="1:18" ht="24" hidden="1">
      <c r="A941" s="191">
        <v>4308</v>
      </c>
      <c r="B941" s="198" t="s">
        <v>364</v>
      </c>
      <c r="C941" s="160"/>
      <c r="D941" s="104">
        <f t="shared" si="114"/>
        <v>0</v>
      </c>
      <c r="E941" s="104">
        <f t="shared" si="113"/>
        <v>0</v>
      </c>
      <c r="F941" s="432"/>
      <c r="G941" s="128"/>
      <c r="H941" s="129"/>
      <c r="I941" s="162"/>
      <c r="J941" s="193"/>
      <c r="K941" s="129"/>
      <c r="L941" s="110"/>
      <c r="M941" s="128"/>
      <c r="N941" s="129"/>
      <c r="O941" s="194"/>
      <c r="P941" s="129"/>
      <c r="Q941" s="129"/>
      <c r="R941" s="200"/>
    </row>
    <row r="942" spans="1:18" ht="24" hidden="1">
      <c r="A942" s="191">
        <v>4309</v>
      </c>
      <c r="B942" s="198" t="s">
        <v>364</v>
      </c>
      <c r="C942" s="270"/>
      <c r="D942" s="104">
        <f t="shared" si="114"/>
        <v>0</v>
      </c>
      <c r="E942" s="104">
        <f t="shared" si="113"/>
        <v>0</v>
      </c>
      <c r="F942" s="432"/>
      <c r="G942" s="229"/>
      <c r="H942" s="236"/>
      <c r="I942" s="162"/>
      <c r="J942" s="233"/>
      <c r="K942" s="236"/>
      <c r="L942" s="319"/>
      <c r="M942" s="229"/>
      <c r="N942" s="236"/>
      <c r="O942" s="237"/>
      <c r="P942" s="236"/>
      <c r="Q942" s="236"/>
      <c r="R942" s="238"/>
    </row>
    <row r="943" spans="1:18" ht="17.25" customHeight="1">
      <c r="A943" s="239">
        <v>80395</v>
      </c>
      <c r="B943" s="296" t="s">
        <v>378</v>
      </c>
      <c r="C943" s="136">
        <f>C944+C945</f>
        <v>5000</v>
      </c>
      <c r="D943" s="137">
        <f t="shared" si="114"/>
        <v>5000</v>
      </c>
      <c r="E943" s="137">
        <f>SUM(E944:E945)</f>
        <v>0</v>
      </c>
      <c r="F943" s="214">
        <f aca="true" t="shared" si="115" ref="F943:F951">E943/D943*100</f>
        <v>0</v>
      </c>
      <c r="G943" s="136">
        <f>SUM(G944:G945)</f>
        <v>5000</v>
      </c>
      <c r="H943" s="137">
        <f>SUM(H944:H945)</f>
        <v>0</v>
      </c>
      <c r="I943" s="214">
        <f>H943/G943*100</f>
        <v>0</v>
      </c>
      <c r="J943" s="346"/>
      <c r="K943" s="345"/>
      <c r="L943" s="347"/>
      <c r="M943" s="344"/>
      <c r="N943" s="345"/>
      <c r="O943" s="190"/>
      <c r="P943" s="345"/>
      <c r="Q943" s="345"/>
      <c r="R943" s="283"/>
    </row>
    <row r="944" spans="1:18" ht="57" customHeight="1" hidden="1">
      <c r="A944" s="191">
        <v>2820</v>
      </c>
      <c r="B944" s="439" t="s">
        <v>733</v>
      </c>
      <c r="C944" s="160"/>
      <c r="D944" s="104">
        <f t="shared" si="114"/>
        <v>0</v>
      </c>
      <c r="E944" s="104">
        <f>SUM(H944+K944+N944+Q944)</f>
        <v>0</v>
      </c>
      <c r="F944" s="432" t="e">
        <f t="shared" si="115"/>
        <v>#DIV/0!</v>
      </c>
      <c r="G944" s="128"/>
      <c r="H944" s="129"/>
      <c r="I944" s="105" t="e">
        <f>H944/G944*100</f>
        <v>#DIV/0!</v>
      </c>
      <c r="J944" s="193"/>
      <c r="K944" s="129"/>
      <c r="L944" s="110"/>
      <c r="M944" s="128"/>
      <c r="N944" s="129"/>
      <c r="O944" s="108"/>
      <c r="P944" s="129"/>
      <c r="Q944" s="129"/>
      <c r="R944" s="200"/>
    </row>
    <row r="945" spans="1:18" ht="48.75" thickBot="1">
      <c r="A945" s="191">
        <v>3040</v>
      </c>
      <c r="B945" s="305" t="s">
        <v>734</v>
      </c>
      <c r="C945" s="160">
        <v>5000</v>
      </c>
      <c r="D945" s="104">
        <f t="shared" si="114"/>
        <v>5000</v>
      </c>
      <c r="E945" s="104">
        <f>SUM(H945+K945+N945+Q945)</f>
        <v>0</v>
      </c>
      <c r="F945" s="432">
        <f t="shared" si="115"/>
        <v>0</v>
      </c>
      <c r="G945" s="128">
        <v>5000</v>
      </c>
      <c r="H945" s="129"/>
      <c r="I945" s="105">
        <f>H945/G945*100</f>
        <v>0</v>
      </c>
      <c r="J945" s="193"/>
      <c r="K945" s="129"/>
      <c r="L945" s="110"/>
      <c r="M945" s="128"/>
      <c r="N945" s="129"/>
      <c r="O945" s="108"/>
      <c r="P945" s="129"/>
      <c r="Q945" s="129"/>
      <c r="R945" s="200"/>
    </row>
    <row r="946" spans="1:18" s="185" customFormat="1" ht="17.25" customHeight="1" thickBot="1" thickTop="1">
      <c r="A946" s="181">
        <v>851</v>
      </c>
      <c r="B946" s="182" t="s">
        <v>735</v>
      </c>
      <c r="C946" s="183">
        <f>C950+C954+C961+C977+C979+C995+C947</f>
        <v>2786300</v>
      </c>
      <c r="D946" s="78">
        <f t="shared" si="114"/>
        <v>3246300</v>
      </c>
      <c r="E946" s="83">
        <f>H946+K946+Q946+N946</f>
        <v>643254</v>
      </c>
      <c r="F946" s="436">
        <f t="shared" si="115"/>
        <v>19.814989372516404</v>
      </c>
      <c r="G946" s="183">
        <f>G950+G954+G961+G977+G979+G995+G947</f>
        <v>3238300</v>
      </c>
      <c r="H946" s="83">
        <f>H950+H954+H961+H977+H979+H995+H947</f>
        <v>641610</v>
      </c>
      <c r="I946" s="292">
        <f t="shared" si="110"/>
        <v>19.813173578729582</v>
      </c>
      <c r="J946" s="82"/>
      <c r="K946" s="83"/>
      <c r="L946" s="84"/>
      <c r="M946" s="183">
        <f>M977</f>
        <v>0</v>
      </c>
      <c r="N946" s="83">
        <f>N977</f>
        <v>0</v>
      </c>
      <c r="O946" s="440" t="e">
        <f>N946/M946*100</f>
        <v>#DIV/0!</v>
      </c>
      <c r="P946" s="83">
        <f>P950+P954+P961+P977+P979+P995</f>
        <v>8000</v>
      </c>
      <c r="Q946" s="83">
        <f>Q950+Q954+Q961+Q977+Q979+Q995</f>
        <v>1644</v>
      </c>
      <c r="R946" s="81">
        <f>Q946/P946*100</f>
        <v>20.549999999999997</v>
      </c>
    </row>
    <row r="947" spans="1:18" s="185" customFormat="1" ht="17.25" customHeight="1" hidden="1">
      <c r="A947" s="382">
        <v>85111</v>
      </c>
      <c r="B947" s="383" t="s">
        <v>736</v>
      </c>
      <c r="C947" s="384">
        <f>SUM(C948)</f>
        <v>0</v>
      </c>
      <c r="D947" s="212">
        <f>G947+J947+M947+P947</f>
        <v>0</v>
      </c>
      <c r="E947" s="441">
        <f>Q947+N947+K947+H947</f>
        <v>0</v>
      </c>
      <c r="F947" s="442" t="e">
        <f t="shared" si="115"/>
        <v>#DIV/0!</v>
      </c>
      <c r="G947" s="384">
        <f>SUM(G948:G949)</f>
        <v>0</v>
      </c>
      <c r="H947" s="97">
        <f>SUM(H948:H949)</f>
        <v>0</v>
      </c>
      <c r="I947" s="295" t="e">
        <f>H947/G947*100</f>
        <v>#DIV/0!</v>
      </c>
      <c r="J947" s="96"/>
      <c r="K947" s="97"/>
      <c r="L947" s="98"/>
      <c r="M947" s="384"/>
      <c r="N947" s="97"/>
      <c r="O947" s="379"/>
      <c r="P947" s="97"/>
      <c r="Q947" s="97"/>
      <c r="R947" s="295"/>
    </row>
    <row r="948" spans="1:18" s="269" customFormat="1" ht="60.75" hidden="1" thickTop="1">
      <c r="A948" s="267">
        <v>2800</v>
      </c>
      <c r="B948" s="305" t="s">
        <v>737</v>
      </c>
      <c r="C948" s="160"/>
      <c r="D948" s="149">
        <f>G948+J948+M948+P948</f>
        <v>0</v>
      </c>
      <c r="E948" s="149">
        <f>Q948+N948+K948+H948</f>
        <v>0</v>
      </c>
      <c r="F948" s="105" t="e">
        <f t="shared" si="115"/>
        <v>#DIV/0!</v>
      </c>
      <c r="G948" s="160"/>
      <c r="H948" s="104"/>
      <c r="I948" s="105" t="e">
        <f>H948/G948*100</f>
        <v>#DIV/0!</v>
      </c>
      <c r="J948" s="109"/>
      <c r="K948" s="104"/>
      <c r="L948" s="110"/>
      <c r="M948" s="160"/>
      <c r="N948" s="104"/>
      <c r="O948" s="194"/>
      <c r="P948" s="104"/>
      <c r="Q948" s="104"/>
      <c r="R948" s="162"/>
    </row>
    <row r="949" spans="1:18" s="269" customFormat="1" ht="24.75" hidden="1" thickTop="1">
      <c r="A949" s="267">
        <v>4300</v>
      </c>
      <c r="B949" s="305" t="s">
        <v>364</v>
      </c>
      <c r="C949" s="160"/>
      <c r="D949" s="104">
        <f>G949+J949+M949+P949</f>
        <v>0</v>
      </c>
      <c r="E949" s="104">
        <f>Q949+N949+K949+H949</f>
        <v>0</v>
      </c>
      <c r="F949" s="105" t="e">
        <f t="shared" si="115"/>
        <v>#DIV/0!</v>
      </c>
      <c r="G949" s="160"/>
      <c r="H949" s="104"/>
      <c r="I949" s="162" t="e">
        <f>H949/G949*100</f>
        <v>#DIV/0!</v>
      </c>
      <c r="J949" s="109"/>
      <c r="K949" s="104"/>
      <c r="L949" s="110"/>
      <c r="M949" s="160"/>
      <c r="N949" s="104"/>
      <c r="O949" s="194"/>
      <c r="P949" s="104"/>
      <c r="Q949" s="104"/>
      <c r="R949" s="162"/>
    </row>
    <row r="950" spans="1:18" ht="25.5" customHeight="1" thickTop="1">
      <c r="A950" s="186">
        <v>85149</v>
      </c>
      <c r="B950" s="294" t="s">
        <v>738</v>
      </c>
      <c r="C950" s="117">
        <f>SUM(C951:C953)</f>
        <v>150000</v>
      </c>
      <c r="D950" s="137">
        <f>G950+J950+P950+M950</f>
        <v>150000</v>
      </c>
      <c r="E950" s="126">
        <f>SUM(E951:E953)</f>
        <v>0</v>
      </c>
      <c r="F950" s="425">
        <f t="shared" si="115"/>
        <v>0</v>
      </c>
      <c r="G950" s="117">
        <f>SUM(G951:G953)</f>
        <v>150000</v>
      </c>
      <c r="H950" s="126">
        <f>SUM(H951:H953)</f>
        <v>0</v>
      </c>
      <c r="I950" s="297">
        <f>H950/G950*100</f>
        <v>0</v>
      </c>
      <c r="J950" s="257"/>
      <c r="K950" s="126"/>
      <c r="L950" s="243"/>
      <c r="M950" s="117"/>
      <c r="N950" s="126"/>
      <c r="O950" s="258"/>
      <c r="P950" s="126"/>
      <c r="Q950" s="126"/>
      <c r="R950" s="171"/>
    </row>
    <row r="951" spans="1:18" ht="52.5" customHeight="1" hidden="1">
      <c r="A951" s="172">
        <v>2620</v>
      </c>
      <c r="B951" s="443" t="s">
        <v>739</v>
      </c>
      <c r="C951" s="132"/>
      <c r="D951" s="149">
        <f>G951+J951+P951+M951</f>
        <v>0</v>
      </c>
      <c r="E951" s="150">
        <f>SUM(H951+K951+N951+Q951)</f>
        <v>0</v>
      </c>
      <c r="F951" s="438" t="e">
        <f t="shared" si="115"/>
        <v>#DIV/0!</v>
      </c>
      <c r="G951" s="132">
        <f>8000+7000-15000</f>
        <v>0</v>
      </c>
      <c r="H951" s="150">
        <f>15000-15000</f>
        <v>0</v>
      </c>
      <c r="I951" s="158" t="e">
        <f>H951/G951*100</f>
        <v>#DIV/0!</v>
      </c>
      <c r="J951" s="223"/>
      <c r="K951" s="150"/>
      <c r="L951" s="154"/>
      <c r="M951" s="132"/>
      <c r="N951" s="150"/>
      <c r="O951" s="225"/>
      <c r="P951" s="150"/>
      <c r="Q951" s="150"/>
      <c r="R951" s="226"/>
    </row>
    <row r="952" spans="1:18" ht="52.5" customHeight="1" hidden="1">
      <c r="A952" s="191">
        <v>2570</v>
      </c>
      <c r="B952" s="443" t="s">
        <v>740</v>
      </c>
      <c r="C952" s="128"/>
      <c r="D952" s="104">
        <f>G952+J952+P952+M952</f>
        <v>0</v>
      </c>
      <c r="E952" s="129">
        <f>SUM(H952+K952+N952+Q952)</f>
        <v>0</v>
      </c>
      <c r="F952" s="444"/>
      <c r="G952" s="128"/>
      <c r="H952" s="129"/>
      <c r="I952" s="108"/>
      <c r="J952" s="193"/>
      <c r="K952" s="129"/>
      <c r="L952" s="110"/>
      <c r="M952" s="128"/>
      <c r="N952" s="129"/>
      <c r="O952" s="194"/>
      <c r="P952" s="129"/>
      <c r="Q952" s="129"/>
      <c r="R952" s="200"/>
    </row>
    <row r="953" spans="1:18" ht="16.5" customHeight="1">
      <c r="A953" s="227">
        <v>4300</v>
      </c>
      <c r="B953" s="445" t="s">
        <v>364</v>
      </c>
      <c r="C953" s="229">
        <v>150000</v>
      </c>
      <c r="D953" s="230">
        <f aca="true" t="shared" si="116" ref="D953:D982">G953+J953+P953+M953</f>
        <v>150000</v>
      </c>
      <c r="E953" s="236">
        <f aca="true" t="shared" si="117" ref="E953:E960">SUM(H953+K953+N953+Q953)</f>
        <v>0</v>
      </c>
      <c r="F953" s="446">
        <f aca="true" t="shared" si="118" ref="F953:F1016">E953/D953*100</f>
        <v>0</v>
      </c>
      <c r="G953" s="229">
        <v>150000</v>
      </c>
      <c r="H953" s="234"/>
      <c r="I953" s="447">
        <f>H953/G953*100</f>
        <v>0</v>
      </c>
      <c r="J953" s="392"/>
      <c r="K953" s="236"/>
      <c r="L953" s="319"/>
      <c r="M953" s="391"/>
      <c r="N953" s="234"/>
      <c r="O953" s="393"/>
      <c r="P953" s="234"/>
      <c r="Q953" s="234"/>
      <c r="R953" s="394"/>
    </row>
    <row r="954" spans="1:18" s="185" customFormat="1" ht="13.5" customHeight="1">
      <c r="A954" s="186">
        <v>85153</v>
      </c>
      <c r="B954" s="294" t="s">
        <v>741</v>
      </c>
      <c r="C954" s="188">
        <f>SUM(C955:C960)</f>
        <v>150000</v>
      </c>
      <c r="D954" s="137">
        <f t="shared" si="116"/>
        <v>150000</v>
      </c>
      <c r="E954" s="119">
        <f t="shared" si="117"/>
        <v>45665</v>
      </c>
      <c r="F954" s="425">
        <f t="shared" si="118"/>
        <v>30.443333333333335</v>
      </c>
      <c r="G954" s="188">
        <f>SUM(G955:G960)</f>
        <v>150000</v>
      </c>
      <c r="H954" s="119">
        <f>SUM(H955:H960)</f>
        <v>45665</v>
      </c>
      <c r="I954" s="297">
        <f aca="true" t="shared" si="119" ref="I954:I1002">H954/G954*100</f>
        <v>30.443333333333335</v>
      </c>
      <c r="J954" s="124"/>
      <c r="K954" s="119"/>
      <c r="L954" s="125"/>
      <c r="M954" s="188"/>
      <c r="N954" s="119"/>
      <c r="O954" s="190"/>
      <c r="P954" s="119"/>
      <c r="Q954" s="119"/>
      <c r="R954" s="283"/>
    </row>
    <row r="955" spans="1:18" ht="72" customHeight="1" hidden="1">
      <c r="A955" s="448">
        <v>2620</v>
      </c>
      <c r="B955" s="320" t="s">
        <v>742</v>
      </c>
      <c r="C955" s="132"/>
      <c r="D955" s="149">
        <f t="shared" si="116"/>
        <v>0</v>
      </c>
      <c r="E955" s="150">
        <f t="shared" si="117"/>
        <v>0</v>
      </c>
      <c r="F955" s="438" t="e">
        <f t="shared" si="118"/>
        <v>#DIV/0!</v>
      </c>
      <c r="G955" s="132">
        <f>3000-3000</f>
        <v>0</v>
      </c>
      <c r="H955" s="150">
        <f>3000-3000</f>
        <v>0</v>
      </c>
      <c r="I955" s="158" t="e">
        <f t="shared" si="119"/>
        <v>#DIV/0!</v>
      </c>
      <c r="J955" s="223"/>
      <c r="K955" s="150"/>
      <c r="L955" s="154"/>
      <c r="M955" s="132"/>
      <c r="N955" s="150"/>
      <c r="O955" s="225"/>
      <c r="P955" s="150"/>
      <c r="Q955" s="150"/>
      <c r="R955" s="226"/>
    </row>
    <row r="956" spans="1:18" ht="72" hidden="1">
      <c r="A956" s="191">
        <v>2570</v>
      </c>
      <c r="B956" s="443" t="s">
        <v>743</v>
      </c>
      <c r="C956" s="128"/>
      <c r="D956" s="104">
        <f t="shared" si="116"/>
        <v>0</v>
      </c>
      <c r="E956" s="129">
        <f t="shared" si="117"/>
        <v>0</v>
      </c>
      <c r="F956" s="432" t="e">
        <f t="shared" si="118"/>
        <v>#DIV/0!</v>
      </c>
      <c r="G956" s="128"/>
      <c r="H956" s="129"/>
      <c r="I956" s="162" t="e">
        <f t="shared" si="119"/>
        <v>#DIV/0!</v>
      </c>
      <c r="J956" s="193"/>
      <c r="K956" s="129"/>
      <c r="L956" s="110"/>
      <c r="M956" s="128"/>
      <c r="N956" s="129"/>
      <c r="O956" s="194"/>
      <c r="P956" s="129"/>
      <c r="Q956" s="129"/>
      <c r="R956" s="200"/>
    </row>
    <row r="957" spans="1:18" ht="61.5" customHeight="1">
      <c r="A957" s="290">
        <v>2820</v>
      </c>
      <c r="B957" s="198" t="s">
        <v>472</v>
      </c>
      <c r="C957" s="128">
        <v>100000</v>
      </c>
      <c r="D957" s="104">
        <f t="shared" si="116"/>
        <v>100000</v>
      </c>
      <c r="E957" s="129">
        <f t="shared" si="117"/>
        <v>45420</v>
      </c>
      <c r="F957" s="432">
        <f t="shared" si="118"/>
        <v>45.42</v>
      </c>
      <c r="G957" s="128">
        <v>100000</v>
      </c>
      <c r="H957" s="129">
        <v>45420</v>
      </c>
      <c r="I957" s="105">
        <f t="shared" si="119"/>
        <v>45.42</v>
      </c>
      <c r="J957" s="193"/>
      <c r="K957" s="129"/>
      <c r="L957" s="110"/>
      <c r="M957" s="128"/>
      <c r="N957" s="129"/>
      <c r="O957" s="194"/>
      <c r="P957" s="129"/>
      <c r="Q957" s="129"/>
      <c r="R957" s="200"/>
    </row>
    <row r="958" spans="1:18" ht="24" hidden="1">
      <c r="A958" s="191">
        <v>4170</v>
      </c>
      <c r="B958" s="198" t="s">
        <v>392</v>
      </c>
      <c r="C958" s="128"/>
      <c r="D958" s="104">
        <f t="shared" si="116"/>
        <v>0</v>
      </c>
      <c r="E958" s="129">
        <f t="shared" si="117"/>
        <v>0</v>
      </c>
      <c r="F958" s="432" t="e">
        <f t="shared" si="118"/>
        <v>#DIV/0!</v>
      </c>
      <c r="G958" s="128"/>
      <c r="H958" s="129"/>
      <c r="I958" s="105" t="e">
        <f t="shared" si="119"/>
        <v>#DIV/0!</v>
      </c>
      <c r="J958" s="193"/>
      <c r="K958" s="129"/>
      <c r="L958" s="110"/>
      <c r="M958" s="128"/>
      <c r="N958" s="129"/>
      <c r="O958" s="194"/>
      <c r="P958" s="129"/>
      <c r="Q958" s="129"/>
      <c r="R958" s="200"/>
    </row>
    <row r="959" spans="1:18" ht="24">
      <c r="A959" s="191">
        <v>4210</v>
      </c>
      <c r="B959" s="198" t="s">
        <v>356</v>
      </c>
      <c r="C959" s="128">
        <v>10000</v>
      </c>
      <c r="D959" s="104">
        <f t="shared" si="116"/>
        <v>10000</v>
      </c>
      <c r="E959" s="129">
        <f t="shared" si="117"/>
        <v>245</v>
      </c>
      <c r="F959" s="432">
        <f t="shared" si="118"/>
        <v>2.45</v>
      </c>
      <c r="G959" s="128">
        <v>10000</v>
      </c>
      <c r="H959" s="129">
        <v>245</v>
      </c>
      <c r="I959" s="105">
        <f t="shared" si="119"/>
        <v>2.45</v>
      </c>
      <c r="J959" s="193"/>
      <c r="K959" s="129"/>
      <c r="L959" s="110"/>
      <c r="M959" s="128"/>
      <c r="N959" s="129"/>
      <c r="O959" s="194"/>
      <c r="P959" s="129"/>
      <c r="Q959" s="129"/>
      <c r="R959" s="200"/>
    </row>
    <row r="960" spans="1:18" ht="12.75" customHeight="1">
      <c r="A960" s="191">
        <v>4300</v>
      </c>
      <c r="B960" s="198" t="s">
        <v>364</v>
      </c>
      <c r="C960" s="128">
        <v>40000</v>
      </c>
      <c r="D960" s="104">
        <f t="shared" si="116"/>
        <v>40000</v>
      </c>
      <c r="E960" s="129">
        <f t="shared" si="117"/>
        <v>0</v>
      </c>
      <c r="F960" s="432">
        <f t="shared" si="118"/>
        <v>0</v>
      </c>
      <c r="G960" s="128">
        <v>40000</v>
      </c>
      <c r="H960" s="129"/>
      <c r="I960" s="105">
        <f t="shared" si="119"/>
        <v>0</v>
      </c>
      <c r="J960" s="193"/>
      <c r="K960" s="129"/>
      <c r="L960" s="110"/>
      <c r="M960" s="128"/>
      <c r="N960" s="129"/>
      <c r="O960" s="194"/>
      <c r="P960" s="129"/>
      <c r="Q960" s="129"/>
      <c r="R960" s="200"/>
    </row>
    <row r="961" spans="1:18" ht="24" customHeight="1">
      <c r="A961" s="186">
        <v>85154</v>
      </c>
      <c r="B961" s="294" t="s">
        <v>744</v>
      </c>
      <c r="C961" s="188">
        <f>SUM(C962:C976)</f>
        <v>1589300</v>
      </c>
      <c r="D961" s="137">
        <f t="shared" si="116"/>
        <v>2049300</v>
      </c>
      <c r="E961" s="119">
        <f>H961+K961+Q961+N961</f>
        <v>338954</v>
      </c>
      <c r="F961" s="425">
        <f t="shared" si="118"/>
        <v>16.539989264626946</v>
      </c>
      <c r="G961" s="188">
        <f>SUM(G962:G976)</f>
        <v>2049300</v>
      </c>
      <c r="H961" s="119">
        <f>SUM(H962:H976)</f>
        <v>338954</v>
      </c>
      <c r="I961" s="297">
        <f t="shared" si="119"/>
        <v>16.539989264626946</v>
      </c>
      <c r="J961" s="124"/>
      <c r="K961" s="119"/>
      <c r="L961" s="125"/>
      <c r="M961" s="188"/>
      <c r="N961" s="119"/>
      <c r="O961" s="190"/>
      <c r="P961" s="119"/>
      <c r="Q961" s="119"/>
      <c r="R961" s="283"/>
    </row>
    <row r="962" spans="1:18" ht="48">
      <c r="A962" s="172">
        <v>2480</v>
      </c>
      <c r="B962" s="320" t="s">
        <v>717</v>
      </c>
      <c r="C962" s="132">
        <v>80000</v>
      </c>
      <c r="D962" s="149">
        <f t="shared" si="116"/>
        <v>80000</v>
      </c>
      <c r="E962" s="150">
        <f aca="true" t="shared" si="120" ref="E962:E976">SUM(H962+K962+N962+Q962)</f>
        <v>7779</v>
      </c>
      <c r="F962" s="438">
        <f t="shared" si="118"/>
        <v>9.72375</v>
      </c>
      <c r="G962" s="132">
        <v>80000</v>
      </c>
      <c r="H962" s="150">
        <v>7779</v>
      </c>
      <c r="I962" s="158">
        <f t="shared" si="119"/>
        <v>9.72375</v>
      </c>
      <c r="J962" s="223"/>
      <c r="K962" s="150"/>
      <c r="L962" s="154"/>
      <c r="M962" s="132"/>
      <c r="N962" s="150"/>
      <c r="O962" s="225"/>
      <c r="P962" s="150"/>
      <c r="Q962" s="150"/>
      <c r="R962" s="226"/>
    </row>
    <row r="963" spans="1:18" ht="72">
      <c r="A963" s="191">
        <v>2820</v>
      </c>
      <c r="B963" s="198" t="s">
        <v>472</v>
      </c>
      <c r="C963" s="128">
        <v>440000</v>
      </c>
      <c r="D963" s="104">
        <f t="shared" si="116"/>
        <v>440000</v>
      </c>
      <c r="E963" s="129">
        <f t="shared" si="120"/>
        <v>153617</v>
      </c>
      <c r="F963" s="432">
        <f t="shared" si="118"/>
        <v>34.91295454545455</v>
      </c>
      <c r="G963" s="128">
        <v>440000</v>
      </c>
      <c r="H963" s="129">
        <v>153617</v>
      </c>
      <c r="I963" s="162">
        <f t="shared" si="119"/>
        <v>34.91295454545455</v>
      </c>
      <c r="J963" s="193"/>
      <c r="K963" s="129"/>
      <c r="L963" s="110"/>
      <c r="M963" s="128"/>
      <c r="N963" s="129"/>
      <c r="O963" s="194"/>
      <c r="P963" s="129"/>
      <c r="Q963" s="129"/>
      <c r="R963" s="200"/>
    </row>
    <row r="964" spans="1:18" ht="25.5" customHeight="1" hidden="1">
      <c r="A964" s="191">
        <v>3030</v>
      </c>
      <c r="B964" s="198" t="s">
        <v>344</v>
      </c>
      <c r="C964" s="128"/>
      <c r="D964" s="104">
        <f t="shared" si="116"/>
        <v>0</v>
      </c>
      <c r="E964" s="129">
        <f t="shared" si="120"/>
        <v>0</v>
      </c>
      <c r="F964" s="432" t="e">
        <f t="shared" si="118"/>
        <v>#DIV/0!</v>
      </c>
      <c r="G964" s="128"/>
      <c r="H964" s="129"/>
      <c r="I964" s="162" t="e">
        <f t="shared" si="119"/>
        <v>#DIV/0!</v>
      </c>
      <c r="J964" s="193"/>
      <c r="K964" s="129"/>
      <c r="L964" s="110"/>
      <c r="M964" s="128"/>
      <c r="N964" s="129"/>
      <c r="O964" s="194"/>
      <c r="P964" s="129"/>
      <c r="Q964" s="129"/>
      <c r="R964" s="200"/>
    </row>
    <row r="965" spans="1:18" ht="25.5" customHeight="1">
      <c r="A965" s="191">
        <v>4170</v>
      </c>
      <c r="B965" s="198" t="s">
        <v>392</v>
      </c>
      <c r="C965" s="128">
        <v>65500</v>
      </c>
      <c r="D965" s="104">
        <f>G965+J965+P965+M965</f>
        <v>65500</v>
      </c>
      <c r="E965" s="129">
        <f>SUM(H965+K965+N965+Q965)</f>
        <v>9555</v>
      </c>
      <c r="F965" s="432">
        <f>E965/D965*100</f>
        <v>14.587786259541986</v>
      </c>
      <c r="G965" s="128">
        <v>65500</v>
      </c>
      <c r="H965" s="129">
        <v>9555</v>
      </c>
      <c r="I965" s="162">
        <f t="shared" si="119"/>
        <v>14.587786259541986</v>
      </c>
      <c r="J965" s="193"/>
      <c r="K965" s="129"/>
      <c r="L965" s="110"/>
      <c r="M965" s="128"/>
      <c r="N965" s="129"/>
      <c r="O965" s="194"/>
      <c r="P965" s="129"/>
      <c r="Q965" s="129"/>
      <c r="R965" s="200"/>
    </row>
    <row r="966" spans="1:18" ht="24" customHeight="1">
      <c r="A966" s="191">
        <v>4210</v>
      </c>
      <c r="B966" s="198" t="s">
        <v>356</v>
      </c>
      <c r="C966" s="128">
        <v>40000</v>
      </c>
      <c r="D966" s="104">
        <f t="shared" si="116"/>
        <v>40000</v>
      </c>
      <c r="E966" s="129">
        <f t="shared" si="120"/>
        <v>0</v>
      </c>
      <c r="F966" s="432">
        <f t="shared" si="118"/>
        <v>0</v>
      </c>
      <c r="G966" s="128">
        <v>40000</v>
      </c>
      <c r="H966" s="129"/>
      <c r="I966" s="162">
        <f t="shared" si="119"/>
        <v>0</v>
      </c>
      <c r="J966" s="193"/>
      <c r="K966" s="129"/>
      <c r="L966" s="110"/>
      <c r="M966" s="128"/>
      <c r="N966" s="129"/>
      <c r="O966" s="194"/>
      <c r="P966" s="129"/>
      <c r="Q966" s="129"/>
      <c r="R966" s="200"/>
    </row>
    <row r="967" spans="1:18" ht="36">
      <c r="A967" s="191">
        <v>4240</v>
      </c>
      <c r="B967" s="198" t="s">
        <v>489</v>
      </c>
      <c r="C967" s="128">
        <v>10000</v>
      </c>
      <c r="D967" s="104">
        <f t="shared" si="116"/>
        <v>10000</v>
      </c>
      <c r="E967" s="129">
        <f t="shared" si="120"/>
        <v>0</v>
      </c>
      <c r="F967" s="432">
        <f t="shared" si="118"/>
        <v>0</v>
      </c>
      <c r="G967" s="128">
        <v>10000</v>
      </c>
      <c r="H967" s="129"/>
      <c r="I967" s="162">
        <f t="shared" si="119"/>
        <v>0</v>
      </c>
      <c r="J967" s="193"/>
      <c r="K967" s="129"/>
      <c r="L967" s="110"/>
      <c r="M967" s="128"/>
      <c r="N967" s="129"/>
      <c r="O967" s="194"/>
      <c r="P967" s="129"/>
      <c r="Q967" s="129"/>
      <c r="R967" s="200"/>
    </row>
    <row r="968" spans="1:18" ht="13.5" customHeight="1">
      <c r="A968" s="191">
        <v>4300</v>
      </c>
      <c r="B968" s="198" t="s">
        <v>364</v>
      </c>
      <c r="C968" s="128">
        <v>933300</v>
      </c>
      <c r="D968" s="104">
        <f t="shared" si="116"/>
        <v>1018300</v>
      </c>
      <c r="E968" s="129">
        <f t="shared" si="120"/>
        <v>166847</v>
      </c>
      <c r="F968" s="432">
        <f t="shared" si="118"/>
        <v>16.384857114799175</v>
      </c>
      <c r="G968" s="128">
        <f>933300+85000</f>
        <v>1018300</v>
      </c>
      <c r="H968" s="129">
        <v>166847</v>
      </c>
      <c r="I968" s="162">
        <f t="shared" si="119"/>
        <v>16.384857114799175</v>
      </c>
      <c r="J968" s="193"/>
      <c r="K968" s="129"/>
      <c r="L968" s="110"/>
      <c r="M968" s="128"/>
      <c r="N968" s="129"/>
      <c r="O968" s="194"/>
      <c r="P968" s="129"/>
      <c r="Q968" s="129"/>
      <c r="R968" s="200"/>
    </row>
    <row r="969" spans="1:18" ht="36">
      <c r="A969" s="191">
        <v>4390</v>
      </c>
      <c r="B969" s="305" t="s">
        <v>393</v>
      </c>
      <c r="C969" s="128">
        <v>10000</v>
      </c>
      <c r="D969" s="104">
        <f>G969+J969+P969+M969</f>
        <v>10000</v>
      </c>
      <c r="E969" s="129">
        <f>SUM(H969+K969+N969+Q969)</f>
        <v>0</v>
      </c>
      <c r="F969" s="432">
        <f>E969/D969*100</f>
        <v>0</v>
      </c>
      <c r="G969" s="128">
        <v>10000</v>
      </c>
      <c r="H969" s="129"/>
      <c r="I969" s="162">
        <f t="shared" si="119"/>
        <v>0</v>
      </c>
      <c r="J969" s="193"/>
      <c r="K969" s="129"/>
      <c r="L969" s="110"/>
      <c r="M969" s="128"/>
      <c r="N969" s="129"/>
      <c r="O969" s="194"/>
      <c r="P969" s="129"/>
      <c r="Q969" s="129"/>
      <c r="R969" s="200"/>
    </row>
    <row r="970" spans="1:18" ht="13.5" customHeight="1">
      <c r="A970" s="191">
        <v>4410</v>
      </c>
      <c r="B970" s="198" t="s">
        <v>338</v>
      </c>
      <c r="C970" s="128">
        <v>2600</v>
      </c>
      <c r="D970" s="104">
        <f t="shared" si="116"/>
        <v>2600</v>
      </c>
      <c r="E970" s="129">
        <f t="shared" si="120"/>
        <v>0</v>
      </c>
      <c r="F970" s="432">
        <f t="shared" si="118"/>
        <v>0</v>
      </c>
      <c r="G970" s="128">
        <v>2600</v>
      </c>
      <c r="H970" s="129"/>
      <c r="I970" s="162">
        <f t="shared" si="119"/>
        <v>0</v>
      </c>
      <c r="J970" s="193"/>
      <c r="K970" s="129"/>
      <c r="L970" s="110"/>
      <c r="M970" s="128"/>
      <c r="N970" s="129"/>
      <c r="O970" s="194"/>
      <c r="P970" s="129"/>
      <c r="Q970" s="129"/>
      <c r="R970" s="200"/>
    </row>
    <row r="971" spans="1:18" ht="13.5" customHeight="1" hidden="1">
      <c r="A971" s="191">
        <v>4430</v>
      </c>
      <c r="B971" s="198" t="s">
        <v>366</v>
      </c>
      <c r="C971" s="128"/>
      <c r="D971" s="104">
        <f t="shared" si="116"/>
        <v>0</v>
      </c>
      <c r="E971" s="129">
        <f t="shared" si="120"/>
        <v>0</v>
      </c>
      <c r="F971" s="432" t="e">
        <f t="shared" si="118"/>
        <v>#DIV/0!</v>
      </c>
      <c r="G971" s="128"/>
      <c r="H971" s="129"/>
      <c r="I971" s="162" t="e">
        <f t="shared" si="119"/>
        <v>#DIV/0!</v>
      </c>
      <c r="J971" s="193"/>
      <c r="K971" s="129"/>
      <c r="L971" s="110"/>
      <c r="M971" s="128"/>
      <c r="N971" s="129"/>
      <c r="O971" s="194"/>
      <c r="P971" s="129"/>
      <c r="Q971" s="129"/>
      <c r="R971" s="200"/>
    </row>
    <row r="972" spans="1:18" ht="36">
      <c r="A972" s="191">
        <v>4610</v>
      </c>
      <c r="B972" s="198" t="s">
        <v>745</v>
      </c>
      <c r="C972" s="128">
        <v>3000</v>
      </c>
      <c r="D972" s="104">
        <f>G972+J972+P972+M972</f>
        <v>3000</v>
      </c>
      <c r="E972" s="129">
        <f>SUM(H972+K972+N972+Q972)</f>
        <v>1156</v>
      </c>
      <c r="F972" s="432">
        <f>E972/D972*100</f>
        <v>38.53333333333334</v>
      </c>
      <c r="G972" s="128">
        <v>3000</v>
      </c>
      <c r="H972" s="129">
        <v>1156</v>
      </c>
      <c r="I972" s="162">
        <f t="shared" si="119"/>
        <v>38.53333333333334</v>
      </c>
      <c r="J972" s="193"/>
      <c r="K972" s="129"/>
      <c r="L972" s="110"/>
      <c r="M972" s="128"/>
      <c r="N972" s="129"/>
      <c r="O972" s="194"/>
      <c r="P972" s="129"/>
      <c r="Q972" s="129"/>
      <c r="R972" s="200"/>
    </row>
    <row r="973" spans="1:18" ht="36">
      <c r="A973" s="267">
        <v>4700</v>
      </c>
      <c r="B973" s="291" t="s">
        <v>466</v>
      </c>
      <c r="C973" s="128">
        <v>4000</v>
      </c>
      <c r="D973" s="104">
        <f>G973+J973+P973+M973</f>
        <v>4000</v>
      </c>
      <c r="E973" s="129">
        <f>SUM(H973+K973+N973+Q973)</f>
        <v>0</v>
      </c>
      <c r="F973" s="432">
        <f>E973/D973*100</f>
        <v>0</v>
      </c>
      <c r="G973" s="128">
        <v>4000</v>
      </c>
      <c r="H973" s="129"/>
      <c r="I973" s="162">
        <f t="shared" si="119"/>
        <v>0</v>
      </c>
      <c r="J973" s="193"/>
      <c r="K973" s="129"/>
      <c r="L973" s="110"/>
      <c r="M973" s="128"/>
      <c r="N973" s="129"/>
      <c r="O973" s="194"/>
      <c r="P973" s="129"/>
      <c r="Q973" s="129"/>
      <c r="R973" s="200"/>
    </row>
    <row r="974" spans="1:18" ht="60">
      <c r="A974" s="267">
        <v>4740</v>
      </c>
      <c r="B974" s="291" t="s">
        <v>380</v>
      </c>
      <c r="C974" s="128">
        <v>900</v>
      </c>
      <c r="D974" s="104">
        <f>G974+J974+P974+M974</f>
        <v>900</v>
      </c>
      <c r="E974" s="129">
        <f>SUM(H974+K974+N974+Q974)</f>
        <v>0</v>
      </c>
      <c r="F974" s="432">
        <f>E974/D974*100</f>
        <v>0</v>
      </c>
      <c r="G974" s="128">
        <v>900</v>
      </c>
      <c r="H974" s="129"/>
      <c r="I974" s="162">
        <f t="shared" si="119"/>
        <v>0</v>
      </c>
      <c r="J974" s="193"/>
      <c r="K974" s="129"/>
      <c r="L974" s="110"/>
      <c r="M974" s="128"/>
      <c r="N974" s="129"/>
      <c r="O974" s="194"/>
      <c r="P974" s="129"/>
      <c r="Q974" s="129"/>
      <c r="R974" s="200"/>
    </row>
    <row r="975" spans="1:18" ht="36" hidden="1">
      <c r="A975" s="267">
        <v>4750</v>
      </c>
      <c r="B975" s="291" t="s">
        <v>467</v>
      </c>
      <c r="C975" s="128"/>
      <c r="D975" s="104">
        <f>G975+J975+P975+M975</f>
        <v>0</v>
      </c>
      <c r="E975" s="129">
        <f>SUM(H975+K975+N975+Q975)</f>
        <v>0</v>
      </c>
      <c r="F975" s="432" t="e">
        <f>E975/D975*100</f>
        <v>#DIV/0!</v>
      </c>
      <c r="G975" s="128"/>
      <c r="H975" s="129"/>
      <c r="I975" s="162" t="e">
        <f t="shared" si="119"/>
        <v>#DIV/0!</v>
      </c>
      <c r="J975" s="193"/>
      <c r="K975" s="129"/>
      <c r="L975" s="110"/>
      <c r="M975" s="128"/>
      <c r="N975" s="129"/>
      <c r="O975" s="194"/>
      <c r="P975" s="129"/>
      <c r="Q975" s="129"/>
      <c r="R975" s="200"/>
    </row>
    <row r="976" spans="1:18" ht="24">
      <c r="A976" s="227">
        <v>6050</v>
      </c>
      <c r="B976" s="228" t="s">
        <v>449</v>
      </c>
      <c r="C976" s="229"/>
      <c r="D976" s="230">
        <f t="shared" si="116"/>
        <v>375000</v>
      </c>
      <c r="E976" s="236">
        <f t="shared" si="120"/>
        <v>0</v>
      </c>
      <c r="F976" s="446">
        <f t="shared" si="118"/>
        <v>0</v>
      </c>
      <c r="G976" s="229">
        <v>375000</v>
      </c>
      <c r="H976" s="236"/>
      <c r="I976" s="447">
        <f t="shared" si="119"/>
        <v>0</v>
      </c>
      <c r="J976" s="233"/>
      <c r="K976" s="236"/>
      <c r="L976" s="319"/>
      <c r="M976" s="229"/>
      <c r="N976" s="236"/>
      <c r="O976" s="237"/>
      <c r="P976" s="236"/>
      <c r="Q976" s="236"/>
      <c r="R976" s="238"/>
    </row>
    <row r="977" spans="1:18" s="185" customFormat="1" ht="60" customHeight="1">
      <c r="A977" s="186">
        <v>85156</v>
      </c>
      <c r="B977" s="294" t="s">
        <v>746</v>
      </c>
      <c r="C977" s="188">
        <f>SUM(C978)</f>
        <v>8000</v>
      </c>
      <c r="D977" s="137">
        <f t="shared" si="116"/>
        <v>8000</v>
      </c>
      <c r="E977" s="119">
        <f>SUM(E978)</f>
        <v>1644</v>
      </c>
      <c r="F977" s="425">
        <f>E977/D977*100</f>
        <v>20.549999999999997</v>
      </c>
      <c r="G977" s="188"/>
      <c r="H977" s="119"/>
      <c r="I977" s="283"/>
      <c r="J977" s="124"/>
      <c r="K977" s="119"/>
      <c r="L977" s="125"/>
      <c r="M977" s="188"/>
      <c r="N977" s="119"/>
      <c r="O977" s="347"/>
      <c r="P977" s="119">
        <f>SUM(P978)</f>
        <v>8000</v>
      </c>
      <c r="Q977" s="119">
        <f>SUM(Q978)</f>
        <v>1644</v>
      </c>
      <c r="R977" s="214">
        <f>Q977/P977*100</f>
        <v>20.549999999999997</v>
      </c>
    </row>
    <row r="978" spans="1:18" s="185" customFormat="1" ht="23.25" customHeight="1">
      <c r="A978" s="191">
        <v>4130</v>
      </c>
      <c r="B978" s="198" t="s">
        <v>683</v>
      </c>
      <c r="C978" s="128">
        <v>8000</v>
      </c>
      <c r="D978" s="104">
        <f t="shared" si="116"/>
        <v>8000</v>
      </c>
      <c r="E978" s="129">
        <f>SUM(H978+K978+N978+Q978)</f>
        <v>1644</v>
      </c>
      <c r="F978" s="432">
        <f>E978/D978*100</f>
        <v>20.549999999999997</v>
      </c>
      <c r="G978" s="128"/>
      <c r="H978" s="129"/>
      <c r="I978" s="200"/>
      <c r="J978" s="193"/>
      <c r="K978" s="129"/>
      <c r="L978" s="110"/>
      <c r="M978" s="128"/>
      <c r="N978" s="129"/>
      <c r="O978" s="110"/>
      <c r="P978" s="129">
        <v>8000</v>
      </c>
      <c r="Q978" s="129">
        <v>1644</v>
      </c>
      <c r="R978" s="256">
        <f>Q978/P978*100</f>
        <v>20.549999999999997</v>
      </c>
    </row>
    <row r="979" spans="1:18" ht="13.5" customHeight="1" hidden="1">
      <c r="A979" s="186">
        <v>85158</v>
      </c>
      <c r="B979" s="422" t="s">
        <v>747</v>
      </c>
      <c r="C979" s="188">
        <f>SUM(C981:C994)</f>
        <v>0</v>
      </c>
      <c r="D979" s="137">
        <f t="shared" si="116"/>
        <v>0</v>
      </c>
      <c r="E979" s="119">
        <f>SUM(E980:E994)</f>
        <v>0</v>
      </c>
      <c r="F979" s="425" t="e">
        <f t="shared" si="118"/>
        <v>#DIV/0!</v>
      </c>
      <c r="G979" s="282">
        <f>SUM(G980:G994)</f>
        <v>0</v>
      </c>
      <c r="H979" s="119">
        <f>SUM(H980:H994)</f>
        <v>0</v>
      </c>
      <c r="I979" s="297" t="e">
        <f t="shared" si="119"/>
        <v>#DIV/0!</v>
      </c>
      <c r="J979" s="124"/>
      <c r="K979" s="119"/>
      <c r="L979" s="125"/>
      <c r="M979" s="188"/>
      <c r="N979" s="119"/>
      <c r="O979" s="190"/>
      <c r="P979" s="119"/>
      <c r="Q979" s="119"/>
      <c r="R979" s="449"/>
    </row>
    <row r="980" spans="1:18" ht="36.75" customHeight="1" hidden="1">
      <c r="A980" s="172">
        <v>3020</v>
      </c>
      <c r="B980" s="320" t="s">
        <v>593</v>
      </c>
      <c r="C980" s="148">
        <v>0</v>
      </c>
      <c r="D980" s="149">
        <f>G980+J980+P980+M980</f>
        <v>0</v>
      </c>
      <c r="E980" s="150">
        <f>SUM(H980+K980+N980+Q980)</f>
        <v>0</v>
      </c>
      <c r="F980" s="438" t="e">
        <f t="shared" si="118"/>
        <v>#DIV/0!</v>
      </c>
      <c r="G980" s="132"/>
      <c r="H980" s="150"/>
      <c r="I980" s="158" t="e">
        <f>H980/G980*100</f>
        <v>#DIV/0!</v>
      </c>
      <c r="J980" s="450"/>
      <c r="K980" s="451"/>
      <c r="L980" s="452"/>
      <c r="M980" s="453"/>
      <c r="N980" s="451"/>
      <c r="O980" s="225"/>
      <c r="P980" s="451"/>
      <c r="Q980" s="451"/>
      <c r="R980" s="454"/>
    </row>
    <row r="981" spans="1:18" ht="24.75" customHeight="1" hidden="1">
      <c r="A981" s="191">
        <v>4010</v>
      </c>
      <c r="B981" s="423" t="s">
        <v>626</v>
      </c>
      <c r="C981" s="128"/>
      <c r="D981" s="104">
        <f t="shared" si="116"/>
        <v>0</v>
      </c>
      <c r="E981" s="129">
        <f>SUM(H981+K981+N981+Q981)</f>
        <v>0</v>
      </c>
      <c r="F981" s="432" t="e">
        <f t="shared" si="118"/>
        <v>#DIV/0!</v>
      </c>
      <c r="G981" s="128"/>
      <c r="H981" s="129"/>
      <c r="I981" s="162" t="e">
        <f t="shared" si="119"/>
        <v>#DIV/0!</v>
      </c>
      <c r="J981" s="193"/>
      <c r="K981" s="129"/>
      <c r="L981" s="110"/>
      <c r="M981" s="128"/>
      <c r="N981" s="129"/>
      <c r="O981" s="194"/>
      <c r="P981" s="129"/>
      <c r="Q981" s="129"/>
      <c r="R981" s="455"/>
    </row>
    <row r="982" spans="1:18" ht="21.75" customHeight="1" hidden="1">
      <c r="A982" s="191">
        <v>4040</v>
      </c>
      <c r="B982" s="423" t="s">
        <v>454</v>
      </c>
      <c r="C982" s="128"/>
      <c r="D982" s="104">
        <f t="shared" si="116"/>
        <v>0</v>
      </c>
      <c r="E982" s="129">
        <f>SUM(H982+K982+N982+Q982)</f>
        <v>0</v>
      </c>
      <c r="F982" s="432" t="e">
        <f t="shared" si="118"/>
        <v>#DIV/0!</v>
      </c>
      <c r="G982" s="128"/>
      <c r="H982" s="129"/>
      <c r="I982" s="162" t="e">
        <f t="shared" si="119"/>
        <v>#DIV/0!</v>
      </c>
      <c r="J982" s="193"/>
      <c r="K982" s="129"/>
      <c r="L982" s="110"/>
      <c r="M982" s="128"/>
      <c r="N982" s="129"/>
      <c r="O982" s="194"/>
      <c r="P982" s="129"/>
      <c r="Q982" s="129"/>
      <c r="R982" s="455"/>
    </row>
    <row r="983" spans="1:18" ht="24.75" customHeight="1" hidden="1">
      <c r="A983" s="191">
        <v>4110</v>
      </c>
      <c r="B983" s="423" t="s">
        <v>352</v>
      </c>
      <c r="C983" s="128"/>
      <c r="D983" s="104">
        <f>G983+J983+P983+M983</f>
        <v>0</v>
      </c>
      <c r="E983" s="129">
        <f>SUM(H983+K983+N983+Q983)</f>
        <v>0</v>
      </c>
      <c r="F983" s="432" t="e">
        <f t="shared" si="118"/>
        <v>#DIV/0!</v>
      </c>
      <c r="G983" s="128"/>
      <c r="H983" s="129"/>
      <c r="I983" s="162" t="e">
        <f t="shared" si="119"/>
        <v>#DIV/0!</v>
      </c>
      <c r="J983" s="193"/>
      <c r="K983" s="129"/>
      <c r="L983" s="110"/>
      <c r="M983" s="129"/>
      <c r="N983" s="129"/>
      <c r="O983" s="194"/>
      <c r="P983" s="129"/>
      <c r="Q983" s="129"/>
      <c r="R983" s="455"/>
    </row>
    <row r="984" spans="1:18" ht="11.25" customHeight="1" hidden="1">
      <c r="A984" s="191">
        <v>4120</v>
      </c>
      <c r="B984" s="423" t="s">
        <v>504</v>
      </c>
      <c r="C984" s="128"/>
      <c r="D984" s="104">
        <f>G984+J984+P984+M984</f>
        <v>0</v>
      </c>
      <c r="E984" s="129">
        <f>SUM(H984+K984+N984+Q984)</f>
        <v>0</v>
      </c>
      <c r="F984" s="432" t="e">
        <f t="shared" si="118"/>
        <v>#DIV/0!</v>
      </c>
      <c r="G984" s="128"/>
      <c r="H984" s="129"/>
      <c r="I984" s="162" t="e">
        <f t="shared" si="119"/>
        <v>#DIV/0!</v>
      </c>
      <c r="J984" s="193"/>
      <c r="K984" s="129"/>
      <c r="L984" s="110"/>
      <c r="M984" s="129"/>
      <c r="N984" s="129"/>
      <c r="O984" s="194"/>
      <c r="P984" s="129"/>
      <c r="Q984" s="129"/>
      <c r="R984" s="455"/>
    </row>
    <row r="985" spans="1:18" ht="22.5" customHeight="1" hidden="1">
      <c r="A985" s="191">
        <v>4210</v>
      </c>
      <c r="B985" s="423" t="s">
        <v>356</v>
      </c>
      <c r="C985" s="128"/>
      <c r="D985" s="104">
        <f aca="true" t="shared" si="121" ref="D985:D1002">G985+J985+P985+M985</f>
        <v>0</v>
      </c>
      <c r="E985" s="129">
        <f aca="true" t="shared" si="122" ref="E985:E994">SUM(H985+K985+N985+Q985)</f>
        <v>0</v>
      </c>
      <c r="F985" s="432" t="e">
        <f t="shared" si="118"/>
        <v>#DIV/0!</v>
      </c>
      <c r="G985" s="128"/>
      <c r="H985" s="129"/>
      <c r="I985" s="162" t="e">
        <f t="shared" si="119"/>
        <v>#DIV/0!</v>
      </c>
      <c r="J985" s="193"/>
      <c r="K985" s="129"/>
      <c r="L985" s="110"/>
      <c r="M985" s="129"/>
      <c r="N985" s="129"/>
      <c r="O985" s="194"/>
      <c r="P985" s="129"/>
      <c r="Q985" s="129"/>
      <c r="R985" s="455"/>
    </row>
    <row r="986" spans="1:18" ht="11.25" customHeight="1" hidden="1">
      <c r="A986" s="191">
        <v>4260</v>
      </c>
      <c r="B986" s="423" t="s">
        <v>360</v>
      </c>
      <c r="C986" s="128"/>
      <c r="D986" s="104">
        <f t="shared" si="121"/>
        <v>0</v>
      </c>
      <c r="E986" s="129">
        <f t="shared" si="122"/>
        <v>0</v>
      </c>
      <c r="F986" s="432" t="e">
        <f t="shared" si="118"/>
        <v>#DIV/0!</v>
      </c>
      <c r="G986" s="128"/>
      <c r="H986" s="129"/>
      <c r="I986" s="162" t="e">
        <f t="shared" si="119"/>
        <v>#DIV/0!</v>
      </c>
      <c r="J986" s="193"/>
      <c r="K986" s="129"/>
      <c r="L986" s="110"/>
      <c r="M986" s="129"/>
      <c r="N986" s="129"/>
      <c r="O986" s="194"/>
      <c r="P986" s="129"/>
      <c r="Q986" s="129"/>
      <c r="R986" s="455"/>
    </row>
    <row r="987" spans="1:18" ht="11.25" customHeight="1" hidden="1">
      <c r="A987" s="191">
        <v>4270</v>
      </c>
      <c r="B987" s="423" t="s">
        <v>362</v>
      </c>
      <c r="C987" s="128"/>
      <c r="D987" s="104">
        <f t="shared" si="121"/>
        <v>0</v>
      </c>
      <c r="E987" s="129">
        <f t="shared" si="122"/>
        <v>0</v>
      </c>
      <c r="F987" s="432" t="e">
        <f t="shared" si="118"/>
        <v>#DIV/0!</v>
      </c>
      <c r="G987" s="128"/>
      <c r="H987" s="129"/>
      <c r="I987" s="162" t="e">
        <f t="shared" si="119"/>
        <v>#DIV/0!</v>
      </c>
      <c r="J987" s="193"/>
      <c r="K987" s="129"/>
      <c r="L987" s="110"/>
      <c r="M987" s="129"/>
      <c r="N987" s="129"/>
      <c r="O987" s="194"/>
      <c r="P987" s="129"/>
      <c r="Q987" s="129"/>
      <c r="R987" s="455"/>
    </row>
    <row r="988" spans="1:18" ht="24" customHeight="1" hidden="1">
      <c r="A988" s="191">
        <v>4280</v>
      </c>
      <c r="B988" s="423" t="s">
        <v>748</v>
      </c>
      <c r="C988" s="128"/>
      <c r="D988" s="104">
        <f t="shared" si="121"/>
        <v>0</v>
      </c>
      <c r="E988" s="129">
        <f t="shared" si="122"/>
        <v>0</v>
      </c>
      <c r="F988" s="432" t="e">
        <f t="shared" si="118"/>
        <v>#DIV/0!</v>
      </c>
      <c r="G988" s="128"/>
      <c r="H988" s="129"/>
      <c r="I988" s="162" t="e">
        <f t="shared" si="119"/>
        <v>#DIV/0!</v>
      </c>
      <c r="J988" s="193"/>
      <c r="K988" s="129"/>
      <c r="L988" s="110"/>
      <c r="M988" s="129"/>
      <c r="N988" s="129"/>
      <c r="O988" s="194"/>
      <c r="P988" s="129"/>
      <c r="Q988" s="129"/>
      <c r="R988" s="455"/>
    </row>
    <row r="989" spans="1:18" ht="11.25" customHeight="1" hidden="1">
      <c r="A989" s="191">
        <v>4300</v>
      </c>
      <c r="B989" s="423" t="s">
        <v>364</v>
      </c>
      <c r="C989" s="128"/>
      <c r="D989" s="104">
        <f t="shared" si="121"/>
        <v>0</v>
      </c>
      <c r="E989" s="129">
        <f t="shared" si="122"/>
        <v>0</v>
      </c>
      <c r="F989" s="432" t="e">
        <f t="shared" si="118"/>
        <v>#DIV/0!</v>
      </c>
      <c r="G989" s="128"/>
      <c r="H989" s="129"/>
      <c r="I989" s="162" t="e">
        <f t="shared" si="119"/>
        <v>#DIV/0!</v>
      </c>
      <c r="J989" s="193"/>
      <c r="K989" s="129"/>
      <c r="L989" s="110"/>
      <c r="M989" s="129"/>
      <c r="N989" s="129"/>
      <c r="O989" s="194"/>
      <c r="P989" s="129"/>
      <c r="Q989" s="129"/>
      <c r="R989" s="455"/>
    </row>
    <row r="990" spans="1:18" ht="12.75" customHeight="1" hidden="1">
      <c r="A990" s="191">
        <v>4410</v>
      </c>
      <c r="B990" s="423" t="s">
        <v>338</v>
      </c>
      <c r="C990" s="128"/>
      <c r="D990" s="104">
        <f t="shared" si="121"/>
        <v>0</v>
      </c>
      <c r="E990" s="129">
        <f t="shared" si="122"/>
        <v>0</v>
      </c>
      <c r="F990" s="432" t="e">
        <f t="shared" si="118"/>
        <v>#DIV/0!</v>
      </c>
      <c r="G990" s="128"/>
      <c r="H990" s="129"/>
      <c r="I990" s="162" t="e">
        <f t="shared" si="119"/>
        <v>#DIV/0!</v>
      </c>
      <c r="J990" s="193"/>
      <c r="K990" s="129"/>
      <c r="L990" s="110"/>
      <c r="M990" s="129"/>
      <c r="N990" s="129"/>
      <c r="O990" s="194"/>
      <c r="P990" s="129"/>
      <c r="Q990" s="129"/>
      <c r="R990" s="455"/>
    </row>
    <row r="991" spans="1:18" ht="12.75" customHeight="1" hidden="1">
      <c r="A991" s="191">
        <v>4430</v>
      </c>
      <c r="B991" s="423" t="s">
        <v>366</v>
      </c>
      <c r="C991" s="128"/>
      <c r="D991" s="104">
        <f t="shared" si="121"/>
        <v>0</v>
      </c>
      <c r="E991" s="129">
        <f t="shared" si="122"/>
        <v>0</v>
      </c>
      <c r="F991" s="432" t="e">
        <f t="shared" si="118"/>
        <v>#DIV/0!</v>
      </c>
      <c r="G991" s="128"/>
      <c r="H991" s="196"/>
      <c r="I991" s="162" t="e">
        <f t="shared" si="119"/>
        <v>#DIV/0!</v>
      </c>
      <c r="J991" s="245"/>
      <c r="K991" s="129"/>
      <c r="L991" s="110"/>
      <c r="M991" s="196"/>
      <c r="N991" s="196"/>
      <c r="O991" s="246"/>
      <c r="P991" s="196"/>
      <c r="Q991" s="196"/>
      <c r="R991" s="306"/>
    </row>
    <row r="992" spans="1:18" ht="11.25" customHeight="1" hidden="1">
      <c r="A992" s="191">
        <v>4440</v>
      </c>
      <c r="B992" s="423" t="s">
        <v>368</v>
      </c>
      <c r="C992" s="128"/>
      <c r="D992" s="104">
        <f t="shared" si="121"/>
        <v>0</v>
      </c>
      <c r="E992" s="129">
        <f t="shared" si="122"/>
        <v>0</v>
      </c>
      <c r="F992" s="432" t="e">
        <f t="shared" si="118"/>
        <v>#DIV/0!</v>
      </c>
      <c r="G992" s="128"/>
      <c r="H992" s="129"/>
      <c r="I992" s="162" t="e">
        <f t="shared" si="119"/>
        <v>#DIV/0!</v>
      </c>
      <c r="J992" s="193"/>
      <c r="K992" s="129"/>
      <c r="L992" s="110"/>
      <c r="M992" s="129"/>
      <c r="N992" s="129"/>
      <c r="O992" s="194"/>
      <c r="P992" s="129"/>
      <c r="Q992" s="129"/>
      <c r="R992" s="455"/>
    </row>
    <row r="993" spans="1:18" s="185" customFormat="1" ht="12.75" customHeight="1" hidden="1">
      <c r="A993" s="191">
        <v>4480</v>
      </c>
      <c r="B993" s="423" t="s">
        <v>370</v>
      </c>
      <c r="C993" s="128"/>
      <c r="D993" s="104">
        <f t="shared" si="121"/>
        <v>0</v>
      </c>
      <c r="E993" s="129">
        <f t="shared" si="122"/>
        <v>0</v>
      </c>
      <c r="F993" s="432" t="e">
        <f t="shared" si="118"/>
        <v>#DIV/0!</v>
      </c>
      <c r="G993" s="128"/>
      <c r="H993" s="129"/>
      <c r="I993" s="162" t="e">
        <f t="shared" si="119"/>
        <v>#DIV/0!</v>
      </c>
      <c r="J993" s="193"/>
      <c r="K993" s="129"/>
      <c r="L993" s="110"/>
      <c r="M993" s="129"/>
      <c r="N993" s="129"/>
      <c r="O993" s="194"/>
      <c r="P993" s="129"/>
      <c r="Q993" s="129"/>
      <c r="R993" s="455"/>
    </row>
    <row r="994" spans="1:18" s="185" customFormat="1" ht="36" hidden="1">
      <c r="A994" s="227">
        <v>4520</v>
      </c>
      <c r="B994" s="445" t="s">
        <v>749</v>
      </c>
      <c r="C994" s="229"/>
      <c r="D994" s="230">
        <f t="shared" si="121"/>
        <v>0</v>
      </c>
      <c r="E994" s="236">
        <f t="shared" si="122"/>
        <v>0</v>
      </c>
      <c r="F994" s="446" t="e">
        <f t="shared" si="118"/>
        <v>#DIV/0!</v>
      </c>
      <c r="G994" s="229"/>
      <c r="H994" s="236"/>
      <c r="I994" s="447" t="e">
        <f t="shared" si="119"/>
        <v>#DIV/0!</v>
      </c>
      <c r="J994" s="233"/>
      <c r="K994" s="236"/>
      <c r="L994" s="319"/>
      <c r="M994" s="236"/>
      <c r="N994" s="236"/>
      <c r="O994" s="237"/>
      <c r="P994" s="236"/>
      <c r="Q994" s="236"/>
      <c r="R994" s="456"/>
    </row>
    <row r="995" spans="1:18" s="457" customFormat="1" ht="11.25" customHeight="1">
      <c r="A995" s="186">
        <v>85195</v>
      </c>
      <c r="B995" s="422" t="s">
        <v>378</v>
      </c>
      <c r="C995" s="188">
        <f>SUM(C996:C1002)</f>
        <v>889000</v>
      </c>
      <c r="D995" s="137">
        <f t="shared" si="121"/>
        <v>889000</v>
      </c>
      <c r="E995" s="119">
        <f>SUM(E996:E1002)</f>
        <v>256991</v>
      </c>
      <c r="F995" s="425">
        <f t="shared" si="118"/>
        <v>28.907874015748032</v>
      </c>
      <c r="G995" s="188">
        <f>SUM(G996:G1002)</f>
        <v>889000</v>
      </c>
      <c r="H995" s="119">
        <f>SUM(H996:H1002)</f>
        <v>256991</v>
      </c>
      <c r="I995" s="120">
        <f t="shared" si="119"/>
        <v>28.907874015748032</v>
      </c>
      <c r="J995" s="124"/>
      <c r="K995" s="119"/>
      <c r="L995" s="125"/>
      <c r="M995" s="119"/>
      <c r="N995" s="119"/>
      <c r="O995" s="190"/>
      <c r="P995" s="119"/>
      <c r="Q995" s="119"/>
      <c r="R995" s="449"/>
    </row>
    <row r="996" spans="1:18" s="327" customFormat="1" ht="72">
      <c r="A996" s="191">
        <v>2820</v>
      </c>
      <c r="B996" s="458" t="s">
        <v>472</v>
      </c>
      <c r="C996" s="128">
        <v>140000</v>
      </c>
      <c r="D996" s="104">
        <f t="shared" si="121"/>
        <v>140000</v>
      </c>
      <c r="E996" s="129">
        <f aca="true" t="shared" si="123" ref="E996:E1002">SUM(H996+K996+N996+Q996)</f>
        <v>45000</v>
      </c>
      <c r="F996" s="432">
        <f t="shared" si="118"/>
        <v>32.142857142857146</v>
      </c>
      <c r="G996" s="128">
        <v>140000</v>
      </c>
      <c r="H996" s="129">
        <v>45000</v>
      </c>
      <c r="I996" s="105">
        <f t="shared" si="119"/>
        <v>32.142857142857146</v>
      </c>
      <c r="J996" s="193"/>
      <c r="K996" s="129"/>
      <c r="L996" s="110"/>
      <c r="M996" s="129"/>
      <c r="N996" s="129"/>
      <c r="O996" s="194"/>
      <c r="P996" s="129"/>
      <c r="Q996" s="129"/>
      <c r="R996" s="200"/>
    </row>
    <row r="997" spans="1:18" s="327" customFormat="1" ht="48" hidden="1">
      <c r="A997" s="191">
        <v>2480</v>
      </c>
      <c r="B997" s="305" t="s">
        <v>717</v>
      </c>
      <c r="C997" s="128"/>
      <c r="D997" s="104">
        <f>G997+J997+P997+M997</f>
        <v>0</v>
      </c>
      <c r="E997" s="129">
        <f>SUM(H997+K997+N997+Q997)</f>
        <v>0</v>
      </c>
      <c r="F997" s="432" t="e">
        <f>E997/D997*100</f>
        <v>#DIV/0!</v>
      </c>
      <c r="G997" s="128"/>
      <c r="H997" s="129"/>
      <c r="I997" s="105" t="e">
        <f t="shared" si="119"/>
        <v>#DIV/0!</v>
      </c>
      <c r="J997" s="193"/>
      <c r="K997" s="129"/>
      <c r="L997" s="110"/>
      <c r="M997" s="129"/>
      <c r="N997" s="129"/>
      <c r="O997" s="194"/>
      <c r="P997" s="129"/>
      <c r="Q997" s="129"/>
      <c r="R997" s="200"/>
    </row>
    <row r="998" spans="1:18" s="327" customFormat="1" ht="48" hidden="1">
      <c r="A998" s="191">
        <v>2620</v>
      </c>
      <c r="B998" s="305" t="s">
        <v>750</v>
      </c>
      <c r="C998" s="128"/>
      <c r="D998" s="104">
        <f>G998+J998+P998+M998</f>
        <v>0</v>
      </c>
      <c r="E998" s="129">
        <f t="shared" si="123"/>
        <v>0</v>
      </c>
      <c r="F998" s="432" t="e">
        <f>E998/D998*100</f>
        <v>#DIV/0!</v>
      </c>
      <c r="G998" s="128"/>
      <c r="H998" s="129"/>
      <c r="I998" s="105" t="e">
        <f t="shared" si="119"/>
        <v>#DIV/0!</v>
      </c>
      <c r="J998" s="193"/>
      <c r="K998" s="129"/>
      <c r="L998" s="110"/>
      <c r="M998" s="129"/>
      <c r="N998" s="129"/>
      <c r="O998" s="194"/>
      <c r="P998" s="129"/>
      <c r="Q998" s="129"/>
      <c r="R998" s="200"/>
    </row>
    <row r="999" spans="1:18" s="327" customFormat="1" ht="24" hidden="1">
      <c r="A999" s="191">
        <v>4210</v>
      </c>
      <c r="B999" s="198" t="s">
        <v>356</v>
      </c>
      <c r="C999" s="128"/>
      <c r="D999" s="104">
        <f>G999+J999+P999+M999</f>
        <v>0</v>
      </c>
      <c r="E999" s="129">
        <f t="shared" si="123"/>
        <v>0</v>
      </c>
      <c r="F999" s="432" t="e">
        <f>E999/D999*100</f>
        <v>#DIV/0!</v>
      </c>
      <c r="G999" s="128"/>
      <c r="H999" s="129"/>
      <c r="I999" s="105" t="e">
        <f t="shared" si="119"/>
        <v>#DIV/0!</v>
      </c>
      <c r="J999" s="193"/>
      <c r="K999" s="129"/>
      <c r="L999" s="110"/>
      <c r="M999" s="129"/>
      <c r="N999" s="129"/>
      <c r="O999" s="194"/>
      <c r="P999" s="129"/>
      <c r="Q999" s="129"/>
      <c r="R999" s="200"/>
    </row>
    <row r="1000" spans="1:18" s="327" customFormat="1" ht="24">
      <c r="A1000" s="191">
        <v>4300</v>
      </c>
      <c r="B1000" s="423" t="s">
        <v>385</v>
      </c>
      <c r="C1000" s="128">
        <v>469000</v>
      </c>
      <c r="D1000" s="104">
        <f t="shared" si="121"/>
        <v>469000</v>
      </c>
      <c r="E1000" s="129">
        <f t="shared" si="123"/>
        <v>96292</v>
      </c>
      <c r="F1000" s="432">
        <f t="shared" si="118"/>
        <v>20.53134328358209</v>
      </c>
      <c r="G1000" s="128">
        <v>469000</v>
      </c>
      <c r="H1000" s="129">
        <v>96292</v>
      </c>
      <c r="I1000" s="105">
        <f t="shared" si="119"/>
        <v>20.53134328358209</v>
      </c>
      <c r="J1000" s="193"/>
      <c r="K1000" s="129"/>
      <c r="L1000" s="110"/>
      <c r="M1000" s="129"/>
      <c r="N1000" s="129"/>
      <c r="O1000" s="194"/>
      <c r="P1000" s="129"/>
      <c r="Q1000" s="129"/>
      <c r="R1000" s="200"/>
    </row>
    <row r="1001" spans="1:18" ht="48" hidden="1">
      <c r="A1001" s="191">
        <v>6050</v>
      </c>
      <c r="B1001" s="198" t="s">
        <v>751</v>
      </c>
      <c r="C1001" s="128"/>
      <c r="D1001" s="104">
        <f>G1001+J1001+P1001+M1001</f>
        <v>0</v>
      </c>
      <c r="E1001" s="129">
        <f t="shared" si="123"/>
        <v>0</v>
      </c>
      <c r="F1001" s="432" t="e">
        <f>E1001/D1001*100</f>
        <v>#DIV/0!</v>
      </c>
      <c r="G1001" s="128"/>
      <c r="H1001" s="196"/>
      <c r="I1001" s="105" t="e">
        <f>H1001/G1001*100</f>
        <v>#DIV/0!</v>
      </c>
      <c r="J1001" s="245"/>
      <c r="K1001" s="129"/>
      <c r="L1001" s="110"/>
      <c r="M1001" s="196"/>
      <c r="N1001" s="196"/>
      <c r="O1001" s="246"/>
      <c r="P1001" s="196"/>
      <c r="Q1001" s="196"/>
      <c r="R1001" s="197"/>
    </row>
    <row r="1002" spans="1:18" ht="36.75" thickBot="1">
      <c r="A1002" s="227">
        <v>6050</v>
      </c>
      <c r="B1002" s="228" t="s">
        <v>752</v>
      </c>
      <c r="C1002" s="128">
        <v>280000</v>
      </c>
      <c r="D1002" s="104">
        <f t="shared" si="121"/>
        <v>280000</v>
      </c>
      <c r="E1002" s="129">
        <f t="shared" si="123"/>
        <v>115699</v>
      </c>
      <c r="F1002" s="432">
        <f t="shared" si="118"/>
        <v>41.32107142857143</v>
      </c>
      <c r="G1002" s="128">
        <v>280000</v>
      </c>
      <c r="H1002" s="196">
        <v>115699</v>
      </c>
      <c r="I1002" s="105">
        <f t="shared" si="119"/>
        <v>41.32107142857143</v>
      </c>
      <c r="J1002" s="245"/>
      <c r="K1002" s="129"/>
      <c r="L1002" s="110"/>
      <c r="M1002" s="196"/>
      <c r="N1002" s="196"/>
      <c r="O1002" s="246"/>
      <c r="P1002" s="196"/>
      <c r="Q1002" s="196"/>
      <c r="R1002" s="197"/>
    </row>
    <row r="1003" spans="1:18" s="461" customFormat="1" ht="14.25" customHeight="1" thickBot="1" thickTop="1">
      <c r="A1003" s="459">
        <v>852</v>
      </c>
      <c r="B1003" s="460" t="s">
        <v>753</v>
      </c>
      <c r="C1003" s="203">
        <f>C1004+C1059+C1062+C1154+C1162+C1182+C1185+C1210+C1188+C1272+C1290+C1242+C1252+C1191+C1193+C1288</f>
        <v>42994110</v>
      </c>
      <c r="D1003" s="78">
        <f>G1003+J1003+P1003+M1003</f>
        <v>43393956</v>
      </c>
      <c r="E1003" s="78">
        <f>H1003+K1003+Q1003+N1003</f>
        <v>10469750</v>
      </c>
      <c r="F1003" s="436">
        <f t="shared" si="118"/>
        <v>24.12720794573327</v>
      </c>
      <c r="G1003" s="203">
        <f>G1004+G1059+G1062+G1154+G1162+G1182+G1185+G1210+G1188+G1272+G1290+G1242+G1252+G1191+G1193+G1288</f>
        <v>18590583</v>
      </c>
      <c r="H1003" s="78">
        <f>H1004+H1059+H1062+H1154+H1162+H1182+H1185+H1210+H1188+H1272+H1290+H1242+H1252+H1191+H1193+H1288</f>
        <v>4423505</v>
      </c>
      <c r="I1003" s="79">
        <f>H1003/G1003*100</f>
        <v>23.794331786152163</v>
      </c>
      <c r="J1003" s="78">
        <f>J1004+J1059+J1062+J1154+J1162+J1182+J1185+J1210+J1188+J1272+J1290+J1242+J1252+J1191+J1193+J1288</f>
        <v>19993000</v>
      </c>
      <c r="K1003" s="78">
        <f>K1004+K1059+K1062+K1154+K1162+K1182+K1185+K1210+K1188+K1272+K1290+K1242+K1252+K1191+K1193+K1288</f>
        <v>4759445</v>
      </c>
      <c r="L1003" s="207">
        <f>K1003/J1003*100</f>
        <v>23.805556944930725</v>
      </c>
      <c r="M1003" s="376">
        <f>M1004+M1059+M1062+M1154+M1162+M1185+M1210+M1188+M1272+M1290+M1242+M1252+M1191+M1193</f>
        <v>4797373</v>
      </c>
      <c r="N1003" s="78">
        <f>N1004+N1059+N1062+N1154+N1162+N1185+N1210+N1188+N1272+N1290+N1242+N1252+N1191+N1193</f>
        <v>1286800</v>
      </c>
      <c r="O1003" s="81">
        <f aca="true" t="shared" si="124" ref="O1003:O1058">N1003/M1003*100</f>
        <v>26.823013345011947</v>
      </c>
      <c r="P1003" s="78">
        <f>P1242</f>
        <v>13000</v>
      </c>
      <c r="Q1003" s="78">
        <f>Q1242</f>
        <v>0</v>
      </c>
      <c r="R1003" s="81">
        <f>Q1003/P1003*100</f>
        <v>0</v>
      </c>
    </row>
    <row r="1004" spans="1:18" s="185" customFormat="1" ht="33.75" customHeight="1" thickTop="1">
      <c r="A1004" s="382">
        <v>85201</v>
      </c>
      <c r="B1004" s="462" t="s">
        <v>754</v>
      </c>
      <c r="C1004" s="90">
        <f>SUM(C1005:C1008)+C1022+C1040</f>
        <v>979770</v>
      </c>
      <c r="D1004" s="91">
        <f>G1004+J1004+P1004+M1004</f>
        <v>1239166</v>
      </c>
      <c r="E1004" s="311">
        <f>H1004+K1004+Q1004+N1004</f>
        <v>289512</v>
      </c>
      <c r="F1004" s="446">
        <f t="shared" si="118"/>
        <v>23.363455743621113</v>
      </c>
      <c r="G1004" s="384">
        <f>SUM(G1005:G1008)</f>
        <v>196913</v>
      </c>
      <c r="H1004" s="97">
        <f>SUM(H1005:H1008)</f>
        <v>37629</v>
      </c>
      <c r="I1004" s="463">
        <f>H1004/G1004*100</f>
        <v>19.109454429113367</v>
      </c>
      <c r="J1004" s="96"/>
      <c r="K1004" s="97"/>
      <c r="L1004" s="98"/>
      <c r="M1004" s="93">
        <f>SUM(M1005:M1007)+M1022+M1040</f>
        <v>1042253</v>
      </c>
      <c r="N1004" s="93">
        <f>SUM(N1005:N1007)+N1022+N1040</f>
        <v>251883</v>
      </c>
      <c r="O1004" s="232">
        <f t="shared" si="124"/>
        <v>24.167164786285095</v>
      </c>
      <c r="P1004" s="93"/>
      <c r="Q1004" s="93"/>
      <c r="R1004" s="464"/>
    </row>
    <row r="1005" spans="1:18" s="185" customFormat="1" ht="72">
      <c r="A1005" s="191">
        <v>2320</v>
      </c>
      <c r="B1005" s="423" t="s">
        <v>523</v>
      </c>
      <c r="C1005" s="128">
        <v>400000</v>
      </c>
      <c r="D1005" s="104">
        <f aca="true" t="shared" si="125" ref="D1005:E1023">G1005+J1005+P1005+M1005</f>
        <v>400000</v>
      </c>
      <c r="E1005" s="104">
        <f t="shared" si="125"/>
        <v>111494</v>
      </c>
      <c r="F1005" s="432">
        <f t="shared" si="118"/>
        <v>27.8735</v>
      </c>
      <c r="G1005" s="160"/>
      <c r="H1005" s="104"/>
      <c r="I1005" s="465"/>
      <c r="J1005" s="288"/>
      <c r="K1005" s="287"/>
      <c r="L1005" s="289"/>
      <c r="M1005" s="132">
        <v>400000</v>
      </c>
      <c r="N1005" s="150">
        <v>111494</v>
      </c>
      <c r="O1005" s="256">
        <f t="shared" si="124"/>
        <v>27.8735</v>
      </c>
      <c r="P1005" s="129"/>
      <c r="Q1005" s="129"/>
      <c r="R1005" s="200"/>
    </row>
    <row r="1006" spans="1:18" s="185" customFormat="1" ht="52.5" customHeight="1">
      <c r="A1006" s="191">
        <v>2820</v>
      </c>
      <c r="B1006" s="423" t="s">
        <v>755</v>
      </c>
      <c r="C1006" s="128">
        <v>45000</v>
      </c>
      <c r="D1006" s="104">
        <f t="shared" si="125"/>
        <v>45000</v>
      </c>
      <c r="E1006" s="104">
        <f t="shared" si="125"/>
        <v>15000</v>
      </c>
      <c r="F1006" s="432">
        <f t="shared" si="118"/>
        <v>33.33333333333333</v>
      </c>
      <c r="G1006" s="160"/>
      <c r="H1006" s="104"/>
      <c r="I1006" s="465"/>
      <c r="J1006" s="288"/>
      <c r="K1006" s="287"/>
      <c r="L1006" s="289"/>
      <c r="M1006" s="128">
        <v>45000</v>
      </c>
      <c r="N1006" s="129">
        <v>15000</v>
      </c>
      <c r="O1006" s="256">
        <f t="shared" si="124"/>
        <v>33.33333333333333</v>
      </c>
      <c r="P1006" s="129"/>
      <c r="Q1006" s="129"/>
      <c r="R1006" s="200"/>
    </row>
    <row r="1007" spans="1:18" s="185" customFormat="1" ht="16.5" customHeight="1">
      <c r="A1007" s="191">
        <v>3110</v>
      </c>
      <c r="B1007" s="423" t="s">
        <v>682</v>
      </c>
      <c r="C1007" s="128">
        <v>30000</v>
      </c>
      <c r="D1007" s="104">
        <f t="shared" si="125"/>
        <v>276615</v>
      </c>
      <c r="E1007" s="104">
        <f t="shared" si="125"/>
        <v>32153</v>
      </c>
      <c r="F1007" s="432">
        <f t="shared" si="118"/>
        <v>11.623736962926811</v>
      </c>
      <c r="G1007" s="160"/>
      <c r="H1007" s="104"/>
      <c r="I1007" s="465"/>
      <c r="J1007" s="288"/>
      <c r="K1007" s="287"/>
      <c r="L1007" s="289"/>
      <c r="M1007" s="128">
        <f>30000+246615</f>
        <v>276615</v>
      </c>
      <c r="N1007" s="129">
        <v>32153</v>
      </c>
      <c r="O1007" s="256">
        <f t="shared" si="124"/>
        <v>11.623736962926811</v>
      </c>
      <c r="P1007" s="129"/>
      <c r="Q1007" s="129"/>
      <c r="R1007" s="200"/>
    </row>
    <row r="1008" spans="1:18" s="221" customFormat="1" ht="16.5" customHeight="1">
      <c r="A1008" s="209"/>
      <c r="B1008" s="466" t="s">
        <v>756</v>
      </c>
      <c r="C1008" s="211">
        <f>SUM(C1009:C1021)</f>
        <v>189840</v>
      </c>
      <c r="D1008" s="213">
        <f>G1008+J1008+P1008+M1008</f>
        <v>196913</v>
      </c>
      <c r="E1008" s="213">
        <f>H1008+K1008+Q1008+N1008</f>
        <v>37629</v>
      </c>
      <c r="F1008" s="467">
        <f>E1008/D1008*100</f>
        <v>19.109454429113367</v>
      </c>
      <c r="G1008" s="468">
        <f>SUM(G1009:G1021)</f>
        <v>196913</v>
      </c>
      <c r="H1008" s="213">
        <f>SUM(H1009:H1021)</f>
        <v>37629</v>
      </c>
      <c r="I1008" s="262">
        <f>H1008/G1008*100</f>
        <v>19.109454429113367</v>
      </c>
      <c r="J1008" s="215"/>
      <c r="K1008" s="213"/>
      <c r="L1008" s="289"/>
      <c r="M1008" s="211"/>
      <c r="N1008" s="213"/>
      <c r="O1008" s="435"/>
      <c r="P1008" s="213"/>
      <c r="Q1008" s="213"/>
      <c r="R1008" s="220"/>
    </row>
    <row r="1009" spans="1:18" s="185" customFormat="1" ht="24">
      <c r="A1009" s="191">
        <v>4010</v>
      </c>
      <c r="B1009" s="423" t="s">
        <v>346</v>
      </c>
      <c r="C1009" s="128">
        <v>72130</v>
      </c>
      <c r="D1009" s="104">
        <f t="shared" si="125"/>
        <v>72130</v>
      </c>
      <c r="E1009" s="104">
        <f t="shared" si="125"/>
        <v>17791</v>
      </c>
      <c r="F1009" s="432">
        <f t="shared" si="118"/>
        <v>24.665187855261333</v>
      </c>
      <c r="G1009" s="128">
        <v>72130</v>
      </c>
      <c r="H1009" s="104">
        <v>17791</v>
      </c>
      <c r="I1009" s="262">
        <f>H1009/G1009*100</f>
        <v>24.665187855261333</v>
      </c>
      <c r="J1009" s="288"/>
      <c r="K1009" s="287"/>
      <c r="L1009" s="289"/>
      <c r="M1009" s="128"/>
      <c r="N1009" s="129"/>
      <c r="O1009" s="108"/>
      <c r="P1009" s="129"/>
      <c r="Q1009" s="129"/>
      <c r="R1009" s="200"/>
    </row>
    <row r="1010" spans="1:18" s="185" customFormat="1" ht="24">
      <c r="A1010" s="191">
        <v>4040</v>
      </c>
      <c r="B1010" s="423" t="s">
        <v>454</v>
      </c>
      <c r="C1010" s="128">
        <v>5300</v>
      </c>
      <c r="D1010" s="104">
        <f t="shared" si="125"/>
        <v>5300</v>
      </c>
      <c r="E1010" s="129">
        <f aca="true" t="shared" si="126" ref="E1010:E1058">SUM(H1010+K1010+N1010+Q1010)</f>
        <v>4961</v>
      </c>
      <c r="F1010" s="432">
        <f t="shared" si="118"/>
        <v>93.60377358490565</v>
      </c>
      <c r="G1010" s="128">
        <v>5300</v>
      </c>
      <c r="H1010" s="104">
        <v>4961</v>
      </c>
      <c r="I1010" s="262">
        <f aca="true" t="shared" si="127" ref="I1010:I1021">H1010/G1010*100</f>
        <v>93.60377358490565</v>
      </c>
      <c r="J1010" s="288"/>
      <c r="K1010" s="287"/>
      <c r="L1010" s="289"/>
      <c r="M1010" s="128"/>
      <c r="N1010" s="129"/>
      <c r="O1010" s="108"/>
      <c r="P1010" s="129"/>
      <c r="Q1010" s="129"/>
      <c r="R1010" s="200"/>
    </row>
    <row r="1011" spans="1:18" s="185" customFormat="1" ht="24">
      <c r="A1011" s="191">
        <v>4110</v>
      </c>
      <c r="B1011" s="423" t="s">
        <v>352</v>
      </c>
      <c r="C1011" s="128">
        <v>12400</v>
      </c>
      <c r="D1011" s="104">
        <f t="shared" si="125"/>
        <v>12400</v>
      </c>
      <c r="E1011" s="129">
        <f t="shared" si="126"/>
        <v>3513</v>
      </c>
      <c r="F1011" s="432">
        <f t="shared" si="118"/>
        <v>28.330645161290324</v>
      </c>
      <c r="G1011" s="128">
        <v>12400</v>
      </c>
      <c r="H1011" s="104">
        <v>3513</v>
      </c>
      <c r="I1011" s="262">
        <f t="shared" si="127"/>
        <v>28.330645161290324</v>
      </c>
      <c r="J1011" s="288"/>
      <c r="K1011" s="287"/>
      <c r="L1011" s="289"/>
      <c r="M1011" s="128"/>
      <c r="N1011" s="129"/>
      <c r="O1011" s="108"/>
      <c r="P1011" s="129"/>
      <c r="Q1011" s="129"/>
      <c r="R1011" s="200"/>
    </row>
    <row r="1012" spans="1:18" s="185" customFormat="1" ht="12.75">
      <c r="A1012" s="191">
        <v>4120</v>
      </c>
      <c r="B1012" s="423" t="s">
        <v>504</v>
      </c>
      <c r="C1012" s="128">
        <v>1900</v>
      </c>
      <c r="D1012" s="104">
        <f t="shared" si="125"/>
        <v>1900</v>
      </c>
      <c r="E1012" s="129">
        <f t="shared" si="126"/>
        <v>537</v>
      </c>
      <c r="F1012" s="432">
        <f t="shared" si="118"/>
        <v>28.26315789473684</v>
      </c>
      <c r="G1012" s="128">
        <v>1900</v>
      </c>
      <c r="H1012" s="104">
        <v>537</v>
      </c>
      <c r="I1012" s="262">
        <f t="shared" si="127"/>
        <v>28.26315789473684</v>
      </c>
      <c r="J1012" s="288"/>
      <c r="K1012" s="287"/>
      <c r="L1012" s="289"/>
      <c r="M1012" s="128"/>
      <c r="N1012" s="129"/>
      <c r="O1012" s="108"/>
      <c r="P1012" s="129"/>
      <c r="Q1012" s="129"/>
      <c r="R1012" s="200"/>
    </row>
    <row r="1013" spans="1:18" s="185" customFormat="1" ht="24">
      <c r="A1013" s="191">
        <v>4210</v>
      </c>
      <c r="B1013" s="423" t="s">
        <v>356</v>
      </c>
      <c r="C1013" s="128">
        <v>9500</v>
      </c>
      <c r="D1013" s="104">
        <f t="shared" si="125"/>
        <v>9500</v>
      </c>
      <c r="E1013" s="129">
        <f t="shared" si="126"/>
        <v>1994</v>
      </c>
      <c r="F1013" s="432">
        <f t="shared" si="118"/>
        <v>20.989473684210527</v>
      </c>
      <c r="G1013" s="128">
        <v>9500</v>
      </c>
      <c r="H1013" s="104">
        <v>1994</v>
      </c>
      <c r="I1013" s="262">
        <f t="shared" si="127"/>
        <v>20.989473684210527</v>
      </c>
      <c r="J1013" s="288"/>
      <c r="K1013" s="287"/>
      <c r="L1013" s="289"/>
      <c r="M1013" s="128"/>
      <c r="N1013" s="129"/>
      <c r="O1013" s="108"/>
      <c r="P1013" s="129"/>
      <c r="Q1013" s="129"/>
      <c r="R1013" s="200"/>
    </row>
    <row r="1014" spans="1:18" s="185" customFormat="1" ht="12.75">
      <c r="A1014" s="191">
        <v>4260</v>
      </c>
      <c r="B1014" s="423" t="s">
        <v>360</v>
      </c>
      <c r="C1014" s="128">
        <v>2010</v>
      </c>
      <c r="D1014" s="104">
        <f t="shared" si="125"/>
        <v>7395</v>
      </c>
      <c r="E1014" s="129">
        <f t="shared" si="126"/>
        <v>2183</v>
      </c>
      <c r="F1014" s="432">
        <f t="shared" si="118"/>
        <v>29.519945909398242</v>
      </c>
      <c r="G1014" s="128">
        <f>2010+5385</f>
        <v>7395</v>
      </c>
      <c r="H1014" s="104">
        <v>2183</v>
      </c>
      <c r="I1014" s="262">
        <f t="shared" si="127"/>
        <v>29.519945909398242</v>
      </c>
      <c r="J1014" s="288"/>
      <c r="K1014" s="287"/>
      <c r="L1014" s="289"/>
      <c r="M1014" s="128"/>
      <c r="N1014" s="129"/>
      <c r="O1014" s="108"/>
      <c r="P1014" s="129"/>
      <c r="Q1014" s="129"/>
      <c r="R1014" s="200"/>
    </row>
    <row r="1015" spans="1:18" s="185" customFormat="1" ht="24">
      <c r="A1015" s="191">
        <v>4270</v>
      </c>
      <c r="B1015" s="423" t="s">
        <v>362</v>
      </c>
      <c r="C1015" s="128">
        <v>60000</v>
      </c>
      <c r="D1015" s="104">
        <f t="shared" si="125"/>
        <v>60000</v>
      </c>
      <c r="E1015" s="129">
        <f t="shared" si="126"/>
        <v>0</v>
      </c>
      <c r="F1015" s="432">
        <f t="shared" si="118"/>
        <v>0</v>
      </c>
      <c r="G1015" s="128">
        <v>60000</v>
      </c>
      <c r="H1015" s="104"/>
      <c r="I1015" s="262">
        <f t="shared" si="127"/>
        <v>0</v>
      </c>
      <c r="J1015" s="288"/>
      <c r="K1015" s="287"/>
      <c r="L1015" s="289"/>
      <c r="M1015" s="128"/>
      <c r="N1015" s="129"/>
      <c r="O1015" s="108"/>
      <c r="P1015" s="129"/>
      <c r="Q1015" s="129"/>
      <c r="R1015" s="200"/>
    </row>
    <row r="1016" spans="1:18" s="185" customFormat="1" ht="24">
      <c r="A1016" s="191">
        <v>4280</v>
      </c>
      <c r="B1016" s="423" t="s">
        <v>458</v>
      </c>
      <c r="C1016" s="128">
        <v>100</v>
      </c>
      <c r="D1016" s="104">
        <f t="shared" si="125"/>
        <v>100</v>
      </c>
      <c r="E1016" s="129">
        <f t="shared" si="126"/>
        <v>0</v>
      </c>
      <c r="F1016" s="432">
        <f t="shared" si="118"/>
        <v>0</v>
      </c>
      <c r="G1016" s="128">
        <v>100</v>
      </c>
      <c r="H1016" s="104"/>
      <c r="I1016" s="262">
        <f t="shared" si="127"/>
        <v>0</v>
      </c>
      <c r="J1016" s="288"/>
      <c r="K1016" s="287"/>
      <c r="L1016" s="289"/>
      <c r="M1016" s="128"/>
      <c r="N1016" s="129"/>
      <c r="O1016" s="108"/>
      <c r="P1016" s="129"/>
      <c r="Q1016" s="129"/>
      <c r="R1016" s="200"/>
    </row>
    <row r="1017" spans="1:18" s="185" customFormat="1" ht="12" customHeight="1">
      <c r="A1017" s="191">
        <v>4300</v>
      </c>
      <c r="B1017" s="423" t="s">
        <v>364</v>
      </c>
      <c r="C1017" s="128">
        <v>18200</v>
      </c>
      <c r="D1017" s="104">
        <f t="shared" si="125"/>
        <v>19083</v>
      </c>
      <c r="E1017" s="129">
        <f t="shared" si="126"/>
        <v>2478</v>
      </c>
      <c r="F1017" s="432">
        <f>E1017/D1017*100</f>
        <v>12.985379657286591</v>
      </c>
      <c r="G1017" s="128">
        <f>18200+883</f>
        <v>19083</v>
      </c>
      <c r="H1017" s="104">
        <v>2478</v>
      </c>
      <c r="I1017" s="262">
        <f t="shared" si="127"/>
        <v>12.985379657286591</v>
      </c>
      <c r="J1017" s="288"/>
      <c r="K1017" s="287"/>
      <c r="L1017" s="289"/>
      <c r="M1017" s="128"/>
      <c r="N1017" s="129"/>
      <c r="O1017" s="108"/>
      <c r="P1017" s="129"/>
      <c r="Q1017" s="129"/>
      <c r="R1017" s="200"/>
    </row>
    <row r="1018" spans="1:18" s="185" customFormat="1" ht="48">
      <c r="A1018" s="267">
        <v>4370</v>
      </c>
      <c r="B1018" s="291" t="s">
        <v>577</v>
      </c>
      <c r="C1018" s="128">
        <v>1200</v>
      </c>
      <c r="D1018" s="104">
        <f t="shared" si="125"/>
        <v>1200</v>
      </c>
      <c r="E1018" s="129">
        <f t="shared" si="126"/>
        <v>341</v>
      </c>
      <c r="F1018" s="432">
        <f>E1018/D1018*100</f>
        <v>28.416666666666668</v>
      </c>
      <c r="G1018" s="128">
        <v>1200</v>
      </c>
      <c r="H1018" s="104">
        <v>341</v>
      </c>
      <c r="I1018" s="262">
        <f t="shared" si="127"/>
        <v>28.416666666666668</v>
      </c>
      <c r="J1018" s="288"/>
      <c r="K1018" s="287"/>
      <c r="L1018" s="289"/>
      <c r="M1018" s="128"/>
      <c r="N1018" s="129"/>
      <c r="O1018" s="108"/>
      <c r="P1018" s="129"/>
      <c r="Q1018" s="129"/>
      <c r="R1018" s="200"/>
    </row>
    <row r="1019" spans="1:18" s="185" customFormat="1" ht="12.75">
      <c r="A1019" s="191">
        <v>4440</v>
      </c>
      <c r="B1019" s="423" t="s">
        <v>368</v>
      </c>
      <c r="C1019" s="128">
        <v>3030</v>
      </c>
      <c r="D1019" s="104">
        <f t="shared" si="125"/>
        <v>3030</v>
      </c>
      <c r="E1019" s="129">
        <f>SUM(H1019+K1019+N1019+Q1019)</f>
        <v>0</v>
      </c>
      <c r="F1019" s="432">
        <f>E1019/D1019*100</f>
        <v>0</v>
      </c>
      <c r="G1019" s="128">
        <v>3030</v>
      </c>
      <c r="H1019" s="104"/>
      <c r="I1019" s="262">
        <f t="shared" si="127"/>
        <v>0</v>
      </c>
      <c r="J1019" s="288"/>
      <c r="K1019" s="287"/>
      <c r="L1019" s="289"/>
      <c r="M1019" s="128"/>
      <c r="N1019" s="129"/>
      <c r="O1019" s="108"/>
      <c r="P1019" s="129"/>
      <c r="Q1019" s="129"/>
      <c r="R1019" s="200"/>
    </row>
    <row r="1020" spans="1:18" s="185" customFormat="1" ht="24">
      <c r="A1020" s="191">
        <v>4480</v>
      </c>
      <c r="B1020" s="423" t="s">
        <v>370</v>
      </c>
      <c r="C1020" s="128">
        <v>570</v>
      </c>
      <c r="D1020" s="104">
        <f t="shared" si="125"/>
        <v>1375</v>
      </c>
      <c r="E1020" s="129">
        <f>SUM(H1020+K1020+N1020+Q1020)</f>
        <v>343</v>
      </c>
      <c r="F1020" s="432">
        <f>E1020/D1020*100</f>
        <v>24.945454545454545</v>
      </c>
      <c r="G1020" s="128">
        <f>570+805</f>
        <v>1375</v>
      </c>
      <c r="H1020" s="104">
        <v>343</v>
      </c>
      <c r="I1020" s="465">
        <f t="shared" si="127"/>
        <v>24.945454545454545</v>
      </c>
      <c r="J1020" s="288"/>
      <c r="K1020" s="287"/>
      <c r="L1020" s="289"/>
      <c r="M1020" s="128"/>
      <c r="N1020" s="129"/>
      <c r="O1020" s="108"/>
      <c r="P1020" s="129"/>
      <c r="Q1020" s="129"/>
      <c r="R1020" s="200"/>
    </row>
    <row r="1021" spans="1:18" s="185" customFormat="1" ht="36">
      <c r="A1021" s="191">
        <v>6060</v>
      </c>
      <c r="B1021" s="423" t="s">
        <v>515</v>
      </c>
      <c r="C1021" s="128">
        <v>3500</v>
      </c>
      <c r="D1021" s="104">
        <f t="shared" si="125"/>
        <v>3500</v>
      </c>
      <c r="E1021" s="129">
        <f t="shared" si="126"/>
        <v>3488</v>
      </c>
      <c r="F1021" s="432">
        <f aca="true" t="shared" si="128" ref="F1021:F1084">E1021/D1021*100</f>
        <v>99.65714285714286</v>
      </c>
      <c r="G1021" s="128">
        <v>3500</v>
      </c>
      <c r="H1021" s="104">
        <v>3488</v>
      </c>
      <c r="I1021" s="200">
        <f t="shared" si="127"/>
        <v>99.65714285714286</v>
      </c>
      <c r="J1021" s="288"/>
      <c r="K1021" s="287"/>
      <c r="L1021" s="289"/>
      <c r="M1021" s="128"/>
      <c r="N1021" s="129"/>
      <c r="O1021" s="108"/>
      <c r="P1021" s="129"/>
      <c r="Q1021" s="129"/>
      <c r="R1021" s="200"/>
    </row>
    <row r="1022" spans="1:18" s="221" customFormat="1" ht="24">
      <c r="A1022" s="209"/>
      <c r="B1022" s="466" t="s">
        <v>757</v>
      </c>
      <c r="C1022" s="211">
        <f>SUM(C1023:C1039)</f>
        <v>178550</v>
      </c>
      <c r="D1022" s="213">
        <f t="shared" si="125"/>
        <v>181404</v>
      </c>
      <c r="E1022" s="213">
        <f t="shared" si="126"/>
        <v>45300</v>
      </c>
      <c r="F1022" s="467">
        <f t="shared" si="128"/>
        <v>24.971885956208244</v>
      </c>
      <c r="G1022" s="211"/>
      <c r="H1022" s="213"/>
      <c r="I1022" s="200"/>
      <c r="J1022" s="215"/>
      <c r="K1022" s="215"/>
      <c r="L1022" s="289"/>
      <c r="M1022" s="215">
        <f>SUM(M1023:M1039)</f>
        <v>181404</v>
      </c>
      <c r="N1022" s="215">
        <f>SUM(N1023:N1039)</f>
        <v>45300</v>
      </c>
      <c r="O1022" s="256">
        <f t="shared" si="124"/>
        <v>24.971885956208244</v>
      </c>
      <c r="P1022" s="213"/>
      <c r="Q1022" s="213"/>
      <c r="R1022" s="220"/>
    </row>
    <row r="1023" spans="1:18" s="185" customFormat="1" ht="24">
      <c r="A1023" s="191">
        <v>4010</v>
      </c>
      <c r="B1023" s="198" t="s">
        <v>346</v>
      </c>
      <c r="C1023" s="128">
        <v>50474</v>
      </c>
      <c r="D1023" s="104">
        <f t="shared" si="125"/>
        <v>50474</v>
      </c>
      <c r="E1023" s="129">
        <f t="shared" si="126"/>
        <v>12041</v>
      </c>
      <c r="F1023" s="432">
        <f t="shared" si="128"/>
        <v>23.855846574473986</v>
      </c>
      <c r="G1023" s="286"/>
      <c r="H1023" s="287"/>
      <c r="I1023" s="200"/>
      <c r="J1023" s="288"/>
      <c r="K1023" s="288"/>
      <c r="L1023" s="289"/>
      <c r="M1023" s="193">
        <v>50474</v>
      </c>
      <c r="N1023" s="129">
        <v>12041</v>
      </c>
      <c r="O1023" s="256">
        <f t="shared" si="124"/>
        <v>23.855846574473986</v>
      </c>
      <c r="P1023" s="129"/>
      <c r="Q1023" s="129"/>
      <c r="R1023" s="200"/>
    </row>
    <row r="1024" spans="1:18" s="185" customFormat="1" ht="24">
      <c r="A1024" s="191">
        <v>4040</v>
      </c>
      <c r="B1024" s="198" t="s">
        <v>454</v>
      </c>
      <c r="C1024" s="128">
        <v>4090</v>
      </c>
      <c r="D1024" s="104">
        <f aca="true" t="shared" si="129" ref="D1024:D1058">G1024+J1024+P1024+M1024</f>
        <v>4090</v>
      </c>
      <c r="E1024" s="129">
        <f t="shared" si="126"/>
        <v>4088</v>
      </c>
      <c r="F1024" s="432">
        <f t="shared" si="128"/>
        <v>99.95110024449878</v>
      </c>
      <c r="G1024" s="286"/>
      <c r="H1024" s="287"/>
      <c r="I1024" s="200"/>
      <c r="J1024" s="288"/>
      <c r="K1024" s="288"/>
      <c r="L1024" s="289"/>
      <c r="M1024" s="193">
        <v>4090</v>
      </c>
      <c r="N1024" s="129">
        <v>4088</v>
      </c>
      <c r="O1024" s="256">
        <f t="shared" si="124"/>
        <v>99.95110024449878</v>
      </c>
      <c r="P1024" s="129"/>
      <c r="Q1024" s="129"/>
      <c r="R1024" s="200"/>
    </row>
    <row r="1025" spans="1:18" s="185" customFormat="1" ht="24">
      <c r="A1025" s="191">
        <v>4110</v>
      </c>
      <c r="B1025" s="198" t="s">
        <v>352</v>
      </c>
      <c r="C1025" s="128">
        <v>8802</v>
      </c>
      <c r="D1025" s="104">
        <f t="shared" si="129"/>
        <v>8802</v>
      </c>
      <c r="E1025" s="129">
        <f t="shared" si="126"/>
        <v>2590</v>
      </c>
      <c r="F1025" s="432">
        <f t="shared" si="128"/>
        <v>29.425130652124516</v>
      </c>
      <c r="G1025" s="286"/>
      <c r="H1025" s="287"/>
      <c r="I1025" s="200"/>
      <c r="J1025" s="288"/>
      <c r="K1025" s="288"/>
      <c r="L1025" s="289"/>
      <c r="M1025" s="193">
        <v>8802</v>
      </c>
      <c r="N1025" s="129">
        <v>2590</v>
      </c>
      <c r="O1025" s="256">
        <f t="shared" si="124"/>
        <v>29.425130652124516</v>
      </c>
      <c r="P1025" s="129"/>
      <c r="Q1025" s="129"/>
      <c r="R1025" s="200"/>
    </row>
    <row r="1026" spans="1:18" s="185" customFormat="1" ht="12.75">
      <c r="A1026" s="191">
        <v>4120</v>
      </c>
      <c r="B1026" s="198" t="s">
        <v>504</v>
      </c>
      <c r="C1026" s="128">
        <v>1340</v>
      </c>
      <c r="D1026" s="104">
        <f t="shared" si="129"/>
        <v>1340</v>
      </c>
      <c r="E1026" s="129">
        <f t="shared" si="126"/>
        <v>395</v>
      </c>
      <c r="F1026" s="432">
        <f t="shared" si="128"/>
        <v>29.47761194029851</v>
      </c>
      <c r="G1026" s="286"/>
      <c r="H1026" s="287"/>
      <c r="I1026" s="200"/>
      <c r="J1026" s="288"/>
      <c r="K1026" s="288"/>
      <c r="L1026" s="289"/>
      <c r="M1026" s="193">
        <v>1340</v>
      </c>
      <c r="N1026" s="129">
        <v>395</v>
      </c>
      <c r="O1026" s="256">
        <f t="shared" si="124"/>
        <v>29.47761194029851</v>
      </c>
      <c r="P1026" s="129"/>
      <c r="Q1026" s="129"/>
      <c r="R1026" s="200"/>
    </row>
    <row r="1027" spans="1:18" s="185" customFormat="1" ht="24">
      <c r="A1027" s="191">
        <v>4170</v>
      </c>
      <c r="B1027" s="198" t="s">
        <v>392</v>
      </c>
      <c r="C1027" s="128">
        <v>4605</v>
      </c>
      <c r="D1027" s="104">
        <f t="shared" si="129"/>
        <v>4605</v>
      </c>
      <c r="E1027" s="129">
        <f t="shared" si="126"/>
        <v>1140</v>
      </c>
      <c r="F1027" s="432">
        <f t="shared" si="128"/>
        <v>24.7557003257329</v>
      </c>
      <c r="G1027" s="286"/>
      <c r="H1027" s="287"/>
      <c r="I1027" s="200"/>
      <c r="J1027" s="288"/>
      <c r="K1027" s="288"/>
      <c r="L1027" s="289"/>
      <c r="M1027" s="193">
        <v>4605</v>
      </c>
      <c r="N1027" s="129">
        <v>1140</v>
      </c>
      <c r="O1027" s="256">
        <f t="shared" si="124"/>
        <v>24.7557003257329</v>
      </c>
      <c r="P1027" s="129"/>
      <c r="Q1027" s="129"/>
      <c r="R1027" s="200"/>
    </row>
    <row r="1028" spans="1:18" s="185" customFormat="1" ht="24">
      <c r="A1028" s="191">
        <v>4210</v>
      </c>
      <c r="B1028" s="198" t="s">
        <v>356</v>
      </c>
      <c r="C1028" s="128">
        <v>15649</v>
      </c>
      <c r="D1028" s="104">
        <f t="shared" si="129"/>
        <v>15649</v>
      </c>
      <c r="E1028" s="129">
        <f t="shared" si="126"/>
        <v>3436</v>
      </c>
      <c r="F1028" s="432">
        <f t="shared" si="128"/>
        <v>21.956674547894433</v>
      </c>
      <c r="G1028" s="286"/>
      <c r="H1028" s="287"/>
      <c r="I1028" s="200"/>
      <c r="J1028" s="288"/>
      <c r="K1028" s="288"/>
      <c r="L1028" s="289"/>
      <c r="M1028" s="193">
        <v>15649</v>
      </c>
      <c r="N1028" s="129">
        <v>3436</v>
      </c>
      <c r="O1028" s="256">
        <f t="shared" si="124"/>
        <v>21.956674547894433</v>
      </c>
      <c r="P1028" s="129"/>
      <c r="Q1028" s="129"/>
      <c r="R1028" s="200"/>
    </row>
    <row r="1029" spans="1:18" s="185" customFormat="1" ht="24">
      <c r="A1029" s="191">
        <v>4230</v>
      </c>
      <c r="B1029" s="198" t="s">
        <v>358</v>
      </c>
      <c r="C1029" s="128">
        <v>155</v>
      </c>
      <c r="D1029" s="104">
        <f t="shared" si="129"/>
        <v>155</v>
      </c>
      <c r="E1029" s="129">
        <f t="shared" si="126"/>
        <v>0</v>
      </c>
      <c r="F1029" s="432">
        <f t="shared" si="128"/>
        <v>0</v>
      </c>
      <c r="G1029" s="286"/>
      <c r="H1029" s="287"/>
      <c r="I1029" s="200"/>
      <c r="J1029" s="288"/>
      <c r="K1029" s="288"/>
      <c r="L1029" s="289"/>
      <c r="M1029" s="193">
        <v>155</v>
      </c>
      <c r="N1029" s="129"/>
      <c r="O1029" s="256">
        <f t="shared" si="124"/>
        <v>0</v>
      </c>
      <c r="P1029" s="129"/>
      <c r="Q1029" s="129"/>
      <c r="R1029" s="200"/>
    </row>
    <row r="1030" spans="1:18" s="185" customFormat="1" ht="12.75">
      <c r="A1030" s="191">
        <v>4260</v>
      </c>
      <c r="B1030" s="198" t="s">
        <v>360</v>
      </c>
      <c r="C1030" s="128">
        <v>5605</v>
      </c>
      <c r="D1030" s="104">
        <f t="shared" si="129"/>
        <v>5605</v>
      </c>
      <c r="E1030" s="129">
        <f t="shared" si="126"/>
        <v>1439</v>
      </c>
      <c r="F1030" s="432">
        <f t="shared" si="128"/>
        <v>25.67350579839429</v>
      </c>
      <c r="G1030" s="286"/>
      <c r="H1030" s="287"/>
      <c r="I1030" s="200"/>
      <c r="J1030" s="288"/>
      <c r="K1030" s="288"/>
      <c r="L1030" s="289"/>
      <c r="M1030" s="193">
        <v>5605</v>
      </c>
      <c r="N1030" s="129">
        <v>1439</v>
      </c>
      <c r="O1030" s="256">
        <f t="shared" si="124"/>
        <v>25.67350579839429</v>
      </c>
      <c r="P1030" s="129"/>
      <c r="Q1030" s="129"/>
      <c r="R1030" s="200"/>
    </row>
    <row r="1031" spans="1:18" s="185" customFormat="1" ht="24">
      <c r="A1031" s="191">
        <v>4270</v>
      </c>
      <c r="B1031" s="198" t="s">
        <v>362</v>
      </c>
      <c r="C1031" s="128">
        <v>2000</v>
      </c>
      <c r="D1031" s="104">
        <f t="shared" si="129"/>
        <v>2000</v>
      </c>
      <c r="E1031" s="129">
        <f t="shared" si="126"/>
        <v>0</v>
      </c>
      <c r="F1031" s="432">
        <f t="shared" si="128"/>
        <v>0</v>
      </c>
      <c r="G1031" s="286"/>
      <c r="H1031" s="287"/>
      <c r="I1031" s="200"/>
      <c r="J1031" s="288"/>
      <c r="K1031" s="288"/>
      <c r="L1031" s="289"/>
      <c r="M1031" s="193">
        <v>2000</v>
      </c>
      <c r="N1031" s="129"/>
      <c r="O1031" s="256">
        <f t="shared" si="124"/>
        <v>0</v>
      </c>
      <c r="P1031" s="129"/>
      <c r="Q1031" s="129"/>
      <c r="R1031" s="200"/>
    </row>
    <row r="1032" spans="1:18" s="185" customFormat="1" ht="24">
      <c r="A1032" s="191">
        <v>4280</v>
      </c>
      <c r="B1032" s="198" t="s">
        <v>758</v>
      </c>
      <c r="C1032" s="128">
        <v>2050</v>
      </c>
      <c r="D1032" s="104">
        <f t="shared" si="129"/>
        <v>2050</v>
      </c>
      <c r="E1032" s="129">
        <f t="shared" si="126"/>
        <v>0</v>
      </c>
      <c r="F1032" s="432">
        <f t="shared" si="128"/>
        <v>0</v>
      </c>
      <c r="G1032" s="286"/>
      <c r="H1032" s="287"/>
      <c r="I1032" s="200"/>
      <c r="J1032" s="288"/>
      <c r="K1032" s="288"/>
      <c r="L1032" s="289"/>
      <c r="M1032" s="193">
        <v>2050</v>
      </c>
      <c r="N1032" s="129"/>
      <c r="O1032" s="256">
        <f t="shared" si="124"/>
        <v>0</v>
      </c>
      <c r="P1032" s="129"/>
      <c r="Q1032" s="129"/>
      <c r="R1032" s="200"/>
    </row>
    <row r="1033" spans="1:18" s="185" customFormat="1" ht="12" customHeight="1">
      <c r="A1033" s="191">
        <v>4300</v>
      </c>
      <c r="B1033" s="198" t="s">
        <v>364</v>
      </c>
      <c r="C1033" s="128">
        <v>81210</v>
      </c>
      <c r="D1033" s="104">
        <f t="shared" si="129"/>
        <v>81210</v>
      </c>
      <c r="E1033" s="129">
        <f t="shared" si="126"/>
        <v>19696</v>
      </c>
      <c r="F1033" s="432">
        <f t="shared" si="128"/>
        <v>24.253170791774412</v>
      </c>
      <c r="G1033" s="286"/>
      <c r="H1033" s="287"/>
      <c r="I1033" s="200"/>
      <c r="J1033" s="288"/>
      <c r="K1033" s="288"/>
      <c r="L1033" s="289"/>
      <c r="M1033" s="193">
        <v>81210</v>
      </c>
      <c r="N1033" s="129">
        <v>19696</v>
      </c>
      <c r="O1033" s="256">
        <f t="shared" si="124"/>
        <v>24.253170791774412</v>
      </c>
      <c r="P1033" s="129"/>
      <c r="Q1033" s="129"/>
      <c r="R1033" s="200"/>
    </row>
    <row r="1034" spans="1:18" s="185" customFormat="1" ht="24">
      <c r="A1034" s="267">
        <v>4350</v>
      </c>
      <c r="B1034" s="305" t="s">
        <v>460</v>
      </c>
      <c r="C1034" s="128">
        <v>720</v>
      </c>
      <c r="D1034" s="104">
        <f t="shared" si="129"/>
        <v>720</v>
      </c>
      <c r="E1034" s="129">
        <f t="shared" si="126"/>
        <v>175</v>
      </c>
      <c r="F1034" s="432">
        <f t="shared" si="128"/>
        <v>24.305555555555554</v>
      </c>
      <c r="G1034" s="286"/>
      <c r="H1034" s="287"/>
      <c r="I1034" s="200"/>
      <c r="J1034" s="288"/>
      <c r="K1034" s="288"/>
      <c r="L1034" s="289"/>
      <c r="M1034" s="193">
        <v>720</v>
      </c>
      <c r="N1034" s="129">
        <v>175</v>
      </c>
      <c r="O1034" s="256">
        <f t="shared" si="124"/>
        <v>24.305555555555554</v>
      </c>
      <c r="P1034" s="129"/>
      <c r="Q1034" s="129"/>
      <c r="R1034" s="200"/>
    </row>
    <row r="1035" spans="1:18" s="185" customFormat="1" ht="48">
      <c r="A1035" s="267">
        <v>4370</v>
      </c>
      <c r="B1035" s="305" t="s">
        <v>577</v>
      </c>
      <c r="C1035" s="128">
        <v>1230</v>
      </c>
      <c r="D1035" s="104">
        <f t="shared" si="129"/>
        <v>1230</v>
      </c>
      <c r="E1035" s="129">
        <f t="shared" si="126"/>
        <v>300</v>
      </c>
      <c r="F1035" s="432">
        <f t="shared" si="128"/>
        <v>24.390243902439025</v>
      </c>
      <c r="G1035" s="286"/>
      <c r="H1035" s="287"/>
      <c r="I1035" s="200"/>
      <c r="J1035" s="288"/>
      <c r="K1035" s="288"/>
      <c r="L1035" s="289"/>
      <c r="M1035" s="193">
        <v>1230</v>
      </c>
      <c r="N1035" s="129">
        <v>300</v>
      </c>
      <c r="O1035" s="256">
        <f t="shared" si="124"/>
        <v>24.390243902439025</v>
      </c>
      <c r="P1035" s="129"/>
      <c r="Q1035" s="129"/>
      <c r="R1035" s="200"/>
    </row>
    <row r="1036" spans="1:18" s="185" customFormat="1" ht="12" customHeight="1">
      <c r="A1036" s="191">
        <v>4410</v>
      </c>
      <c r="B1036" s="198" t="s">
        <v>338</v>
      </c>
      <c r="C1036" s="128">
        <v>155</v>
      </c>
      <c r="D1036" s="104">
        <f t="shared" si="129"/>
        <v>3009</v>
      </c>
      <c r="E1036" s="129">
        <f t="shared" si="126"/>
        <v>0</v>
      </c>
      <c r="F1036" s="432">
        <f t="shared" si="128"/>
        <v>0</v>
      </c>
      <c r="G1036" s="286"/>
      <c r="H1036" s="287"/>
      <c r="I1036" s="200"/>
      <c r="J1036" s="288"/>
      <c r="K1036" s="288"/>
      <c r="L1036" s="289"/>
      <c r="M1036" s="193">
        <f>155+2854</f>
        <v>3009</v>
      </c>
      <c r="N1036" s="129"/>
      <c r="O1036" s="256">
        <f t="shared" si="124"/>
        <v>0</v>
      </c>
      <c r="P1036" s="129"/>
      <c r="Q1036" s="129"/>
      <c r="R1036" s="200"/>
    </row>
    <row r="1037" spans="1:18" s="185" customFormat="1" ht="12" customHeight="1" hidden="1">
      <c r="A1037" s="191">
        <v>4440</v>
      </c>
      <c r="B1037" s="423" t="s">
        <v>368</v>
      </c>
      <c r="C1037" s="193"/>
      <c r="D1037" s="104">
        <f t="shared" si="129"/>
        <v>0</v>
      </c>
      <c r="E1037" s="129">
        <f t="shared" si="126"/>
        <v>0</v>
      </c>
      <c r="F1037" s="432" t="e">
        <f t="shared" si="128"/>
        <v>#DIV/0!</v>
      </c>
      <c r="G1037" s="286"/>
      <c r="H1037" s="287"/>
      <c r="I1037" s="200"/>
      <c r="J1037" s="288"/>
      <c r="K1037" s="288"/>
      <c r="L1037" s="289"/>
      <c r="M1037" s="193"/>
      <c r="N1037" s="129"/>
      <c r="O1037" s="256"/>
      <c r="P1037" s="129"/>
      <c r="Q1037" s="129"/>
      <c r="R1037" s="200"/>
    </row>
    <row r="1038" spans="1:18" s="185" customFormat="1" ht="60">
      <c r="A1038" s="267">
        <v>4740</v>
      </c>
      <c r="B1038" s="291" t="s">
        <v>380</v>
      </c>
      <c r="C1038" s="193">
        <v>155</v>
      </c>
      <c r="D1038" s="104">
        <f t="shared" si="129"/>
        <v>155</v>
      </c>
      <c r="E1038" s="129">
        <f t="shared" si="126"/>
        <v>0</v>
      </c>
      <c r="F1038" s="432">
        <f t="shared" si="128"/>
        <v>0</v>
      </c>
      <c r="G1038" s="286"/>
      <c r="H1038" s="287"/>
      <c r="I1038" s="200"/>
      <c r="J1038" s="288"/>
      <c r="K1038" s="288"/>
      <c r="L1038" s="289"/>
      <c r="M1038" s="193">
        <v>155</v>
      </c>
      <c r="N1038" s="129"/>
      <c r="O1038" s="256">
        <f t="shared" si="124"/>
        <v>0</v>
      </c>
      <c r="P1038" s="129"/>
      <c r="Q1038" s="129"/>
      <c r="R1038" s="200"/>
    </row>
    <row r="1039" spans="1:18" s="185" customFormat="1" ht="36">
      <c r="A1039" s="267">
        <v>4750</v>
      </c>
      <c r="B1039" s="291" t="s">
        <v>467</v>
      </c>
      <c r="C1039" s="193">
        <v>310</v>
      </c>
      <c r="D1039" s="104">
        <f t="shared" si="129"/>
        <v>310</v>
      </c>
      <c r="E1039" s="129">
        <f t="shared" si="126"/>
        <v>0</v>
      </c>
      <c r="F1039" s="432">
        <f t="shared" si="128"/>
        <v>0</v>
      </c>
      <c r="G1039" s="286"/>
      <c r="H1039" s="287"/>
      <c r="I1039" s="200"/>
      <c r="J1039" s="288"/>
      <c r="K1039" s="288"/>
      <c r="L1039" s="289"/>
      <c r="M1039" s="193">
        <v>310</v>
      </c>
      <c r="N1039" s="129"/>
      <c r="O1039" s="256">
        <f t="shared" si="124"/>
        <v>0</v>
      </c>
      <c r="P1039" s="129"/>
      <c r="Q1039" s="129"/>
      <c r="R1039" s="200"/>
    </row>
    <row r="1040" spans="1:18" s="221" customFormat="1" ht="24">
      <c r="A1040" s="209"/>
      <c r="B1040" s="466" t="s">
        <v>759</v>
      </c>
      <c r="C1040" s="211">
        <f>SUM(C1041:C1058)</f>
        <v>136380</v>
      </c>
      <c r="D1040" s="213">
        <f t="shared" si="129"/>
        <v>139234</v>
      </c>
      <c r="E1040" s="213">
        <f t="shared" si="126"/>
        <v>47936</v>
      </c>
      <c r="F1040" s="467">
        <f t="shared" si="128"/>
        <v>34.428372380309405</v>
      </c>
      <c r="G1040" s="211"/>
      <c r="H1040" s="213"/>
      <c r="I1040" s="200"/>
      <c r="J1040" s="215"/>
      <c r="K1040" s="215"/>
      <c r="L1040" s="289"/>
      <c r="M1040" s="215">
        <f>SUM(M1041:M1058)</f>
        <v>139234</v>
      </c>
      <c r="N1040" s="215">
        <f>SUM(N1041:N1058)</f>
        <v>47936</v>
      </c>
      <c r="O1040" s="256">
        <f t="shared" si="124"/>
        <v>34.428372380309405</v>
      </c>
      <c r="P1040" s="213"/>
      <c r="Q1040" s="213"/>
      <c r="R1040" s="220"/>
    </row>
    <row r="1041" spans="1:18" s="269" customFormat="1" ht="24">
      <c r="A1041" s="267">
        <v>4010</v>
      </c>
      <c r="B1041" s="458" t="s">
        <v>346</v>
      </c>
      <c r="C1041" s="160">
        <v>53109</v>
      </c>
      <c r="D1041" s="104">
        <f t="shared" si="129"/>
        <v>53109</v>
      </c>
      <c r="E1041" s="104">
        <f t="shared" si="126"/>
        <v>12644</v>
      </c>
      <c r="F1041" s="432">
        <f t="shared" si="128"/>
        <v>23.807640889491424</v>
      </c>
      <c r="G1041" s="160"/>
      <c r="H1041" s="104"/>
      <c r="I1041" s="200"/>
      <c r="J1041" s="109"/>
      <c r="K1041" s="109"/>
      <c r="L1041" s="110"/>
      <c r="M1041" s="109">
        <v>53109</v>
      </c>
      <c r="N1041" s="104">
        <v>12644</v>
      </c>
      <c r="O1041" s="256">
        <f t="shared" si="124"/>
        <v>23.807640889491424</v>
      </c>
      <c r="P1041" s="104"/>
      <c r="Q1041" s="104"/>
      <c r="R1041" s="200"/>
    </row>
    <row r="1042" spans="1:18" s="269" customFormat="1" ht="24">
      <c r="A1042" s="267">
        <v>4040</v>
      </c>
      <c r="B1042" s="458" t="s">
        <v>454</v>
      </c>
      <c r="C1042" s="160">
        <v>4300</v>
      </c>
      <c r="D1042" s="104">
        <f t="shared" si="129"/>
        <v>4300</v>
      </c>
      <c r="E1042" s="104">
        <f t="shared" si="126"/>
        <v>4299</v>
      </c>
      <c r="F1042" s="432">
        <f t="shared" si="128"/>
        <v>99.9767441860465</v>
      </c>
      <c r="G1042" s="160"/>
      <c r="H1042" s="104"/>
      <c r="I1042" s="200"/>
      <c r="J1042" s="109"/>
      <c r="K1042" s="109"/>
      <c r="L1042" s="110"/>
      <c r="M1042" s="109">
        <v>4300</v>
      </c>
      <c r="N1042" s="104">
        <v>4299</v>
      </c>
      <c r="O1042" s="256">
        <f t="shared" si="124"/>
        <v>99.9767441860465</v>
      </c>
      <c r="P1042" s="104"/>
      <c r="Q1042" s="104"/>
      <c r="R1042" s="200"/>
    </row>
    <row r="1043" spans="1:18" s="269" customFormat="1" ht="24">
      <c r="A1043" s="267">
        <v>4110</v>
      </c>
      <c r="B1043" s="305" t="s">
        <v>352</v>
      </c>
      <c r="C1043" s="160">
        <v>9234</v>
      </c>
      <c r="D1043" s="104">
        <f t="shared" si="129"/>
        <v>9234</v>
      </c>
      <c r="E1043" s="104">
        <f t="shared" si="126"/>
        <v>2721</v>
      </c>
      <c r="F1043" s="432">
        <f t="shared" si="128"/>
        <v>29.467186484730345</v>
      </c>
      <c r="G1043" s="160"/>
      <c r="H1043" s="104"/>
      <c r="I1043" s="200"/>
      <c r="J1043" s="109"/>
      <c r="K1043" s="109"/>
      <c r="L1043" s="110"/>
      <c r="M1043" s="109">
        <v>9234</v>
      </c>
      <c r="N1043" s="104">
        <v>2721</v>
      </c>
      <c r="O1043" s="256">
        <f t="shared" si="124"/>
        <v>29.467186484730345</v>
      </c>
      <c r="P1043" s="104"/>
      <c r="Q1043" s="104"/>
      <c r="R1043" s="200"/>
    </row>
    <row r="1044" spans="1:18" s="269" customFormat="1" ht="12.75">
      <c r="A1044" s="267">
        <v>4120</v>
      </c>
      <c r="B1044" s="305" t="s">
        <v>504</v>
      </c>
      <c r="C1044" s="160">
        <v>1410</v>
      </c>
      <c r="D1044" s="104">
        <f t="shared" si="129"/>
        <v>1410</v>
      </c>
      <c r="E1044" s="104">
        <f t="shared" si="126"/>
        <v>415</v>
      </c>
      <c r="F1044" s="432">
        <f t="shared" si="128"/>
        <v>29.432624113475175</v>
      </c>
      <c r="G1044" s="160"/>
      <c r="H1044" s="104"/>
      <c r="I1044" s="200"/>
      <c r="J1044" s="109"/>
      <c r="K1044" s="109"/>
      <c r="L1044" s="110"/>
      <c r="M1044" s="109">
        <v>1410</v>
      </c>
      <c r="N1044" s="104">
        <v>415</v>
      </c>
      <c r="O1044" s="256">
        <f t="shared" si="124"/>
        <v>29.432624113475175</v>
      </c>
      <c r="P1044" s="104"/>
      <c r="Q1044" s="104"/>
      <c r="R1044" s="200"/>
    </row>
    <row r="1045" spans="1:18" s="269" customFormat="1" ht="24">
      <c r="A1045" s="267">
        <v>4170</v>
      </c>
      <c r="B1045" s="305" t="s">
        <v>392</v>
      </c>
      <c r="C1045" s="160">
        <v>4605</v>
      </c>
      <c r="D1045" s="104">
        <f t="shared" si="129"/>
        <v>4605</v>
      </c>
      <c r="E1045" s="104">
        <f t="shared" si="126"/>
        <v>1140</v>
      </c>
      <c r="F1045" s="432">
        <f t="shared" si="128"/>
        <v>24.7557003257329</v>
      </c>
      <c r="G1045" s="160"/>
      <c r="H1045" s="104"/>
      <c r="I1045" s="200"/>
      <c r="J1045" s="109"/>
      <c r="K1045" s="109"/>
      <c r="L1045" s="110"/>
      <c r="M1045" s="109">
        <v>4605</v>
      </c>
      <c r="N1045" s="104">
        <v>1140</v>
      </c>
      <c r="O1045" s="256">
        <f t="shared" si="124"/>
        <v>24.7557003257329</v>
      </c>
      <c r="P1045" s="104"/>
      <c r="Q1045" s="104"/>
      <c r="R1045" s="200"/>
    </row>
    <row r="1046" spans="1:18" s="269" customFormat="1" ht="24">
      <c r="A1046" s="267">
        <v>4210</v>
      </c>
      <c r="B1046" s="305" t="s">
        <v>356</v>
      </c>
      <c r="C1046" s="160">
        <v>10760</v>
      </c>
      <c r="D1046" s="104">
        <f t="shared" si="129"/>
        <v>10760</v>
      </c>
      <c r="E1046" s="104">
        <f t="shared" si="126"/>
        <v>7474</v>
      </c>
      <c r="F1046" s="432">
        <f t="shared" si="128"/>
        <v>69.46096654275094</v>
      </c>
      <c r="G1046" s="160"/>
      <c r="H1046" s="104"/>
      <c r="I1046" s="200"/>
      <c r="J1046" s="109"/>
      <c r="K1046" s="109"/>
      <c r="L1046" s="110"/>
      <c r="M1046" s="109">
        <v>10760</v>
      </c>
      <c r="N1046" s="104">
        <f>7473+1</f>
        <v>7474</v>
      </c>
      <c r="O1046" s="256">
        <f t="shared" si="124"/>
        <v>69.46096654275094</v>
      </c>
      <c r="P1046" s="104"/>
      <c r="Q1046" s="104"/>
      <c r="R1046" s="200"/>
    </row>
    <row r="1047" spans="1:18" s="269" customFormat="1" ht="24">
      <c r="A1047" s="267">
        <v>4230</v>
      </c>
      <c r="B1047" s="305" t="s">
        <v>358</v>
      </c>
      <c r="C1047" s="160">
        <v>155</v>
      </c>
      <c r="D1047" s="104">
        <f t="shared" si="129"/>
        <v>155</v>
      </c>
      <c r="E1047" s="104">
        <f t="shared" si="126"/>
        <v>0</v>
      </c>
      <c r="F1047" s="432">
        <f t="shared" si="128"/>
        <v>0</v>
      </c>
      <c r="G1047" s="160"/>
      <c r="H1047" s="104"/>
      <c r="I1047" s="200"/>
      <c r="J1047" s="109"/>
      <c r="K1047" s="109"/>
      <c r="L1047" s="110"/>
      <c r="M1047" s="109">
        <v>155</v>
      </c>
      <c r="N1047" s="104"/>
      <c r="O1047" s="256">
        <f t="shared" si="124"/>
        <v>0</v>
      </c>
      <c r="P1047" s="104"/>
      <c r="Q1047" s="104"/>
      <c r="R1047" s="200"/>
    </row>
    <row r="1048" spans="1:18" s="269" customFormat="1" ht="36">
      <c r="A1048" s="267">
        <v>4240</v>
      </c>
      <c r="B1048" s="305" t="s">
        <v>489</v>
      </c>
      <c r="C1048" s="160">
        <v>4000</v>
      </c>
      <c r="D1048" s="104">
        <f t="shared" si="129"/>
        <v>4000</v>
      </c>
      <c r="E1048" s="104">
        <f>SUM(H1048+K1048+N1048+Q1048)</f>
        <v>0</v>
      </c>
      <c r="F1048" s="432">
        <f>E1048/D1048*100</f>
        <v>0</v>
      </c>
      <c r="G1048" s="160"/>
      <c r="H1048" s="104"/>
      <c r="I1048" s="200"/>
      <c r="J1048" s="109"/>
      <c r="K1048" s="109"/>
      <c r="L1048" s="110"/>
      <c r="M1048" s="109">
        <v>4000</v>
      </c>
      <c r="N1048" s="104"/>
      <c r="O1048" s="256">
        <f t="shared" si="124"/>
        <v>0</v>
      </c>
      <c r="P1048" s="104"/>
      <c r="Q1048" s="104"/>
      <c r="R1048" s="200"/>
    </row>
    <row r="1049" spans="1:18" s="269" customFormat="1" ht="12.75">
      <c r="A1049" s="267">
        <v>4260</v>
      </c>
      <c r="B1049" s="305" t="s">
        <v>360</v>
      </c>
      <c r="C1049" s="160">
        <v>4550</v>
      </c>
      <c r="D1049" s="104">
        <f t="shared" si="129"/>
        <v>4550</v>
      </c>
      <c r="E1049" s="104">
        <f t="shared" si="126"/>
        <v>1165</v>
      </c>
      <c r="F1049" s="432">
        <f t="shared" si="128"/>
        <v>25.604395604395602</v>
      </c>
      <c r="G1049" s="160"/>
      <c r="H1049" s="104"/>
      <c r="I1049" s="200"/>
      <c r="J1049" s="109"/>
      <c r="K1049" s="109"/>
      <c r="L1049" s="110"/>
      <c r="M1049" s="109">
        <v>4550</v>
      </c>
      <c r="N1049" s="104">
        <v>1165</v>
      </c>
      <c r="O1049" s="256">
        <f t="shared" si="124"/>
        <v>25.604395604395602</v>
      </c>
      <c r="P1049" s="104"/>
      <c r="Q1049" s="104"/>
      <c r="R1049" s="200"/>
    </row>
    <row r="1050" spans="1:18" s="269" customFormat="1" ht="11.25" customHeight="1" hidden="1">
      <c r="A1050" s="267">
        <v>4270</v>
      </c>
      <c r="B1050" s="305" t="s">
        <v>362</v>
      </c>
      <c r="C1050" s="160"/>
      <c r="D1050" s="104">
        <f t="shared" si="129"/>
        <v>0</v>
      </c>
      <c r="E1050" s="104">
        <f t="shared" si="126"/>
        <v>0</v>
      </c>
      <c r="F1050" s="432" t="e">
        <f t="shared" si="128"/>
        <v>#DIV/0!</v>
      </c>
      <c r="G1050" s="160"/>
      <c r="H1050" s="104"/>
      <c r="I1050" s="200"/>
      <c r="J1050" s="109"/>
      <c r="K1050" s="109"/>
      <c r="L1050" s="110"/>
      <c r="M1050" s="109"/>
      <c r="N1050" s="104"/>
      <c r="O1050" s="256" t="e">
        <f t="shared" si="124"/>
        <v>#DIV/0!</v>
      </c>
      <c r="P1050" s="104"/>
      <c r="Q1050" s="104"/>
      <c r="R1050" s="200"/>
    </row>
    <row r="1051" spans="1:18" s="269" customFormat="1" ht="12" customHeight="1" hidden="1">
      <c r="A1051" s="267">
        <v>4280</v>
      </c>
      <c r="B1051" s="305" t="s">
        <v>758</v>
      </c>
      <c r="C1051" s="160"/>
      <c r="D1051" s="104">
        <f t="shared" si="129"/>
        <v>0</v>
      </c>
      <c r="E1051" s="104">
        <f t="shared" si="126"/>
        <v>0</v>
      </c>
      <c r="F1051" s="432"/>
      <c r="G1051" s="160"/>
      <c r="H1051" s="104"/>
      <c r="I1051" s="200"/>
      <c r="J1051" s="109"/>
      <c r="K1051" s="109"/>
      <c r="L1051" s="110"/>
      <c r="M1051" s="109"/>
      <c r="N1051" s="104"/>
      <c r="O1051" s="256" t="e">
        <f t="shared" si="124"/>
        <v>#DIV/0!</v>
      </c>
      <c r="P1051" s="104"/>
      <c r="Q1051" s="104"/>
      <c r="R1051" s="200"/>
    </row>
    <row r="1052" spans="1:18" s="269" customFormat="1" ht="12" customHeight="1">
      <c r="A1052" s="267">
        <v>4300</v>
      </c>
      <c r="B1052" s="305" t="s">
        <v>364</v>
      </c>
      <c r="C1052" s="160">
        <v>41750</v>
      </c>
      <c r="D1052" s="104">
        <f t="shared" si="129"/>
        <v>41750</v>
      </c>
      <c r="E1052" s="104">
        <f t="shared" si="126"/>
        <v>17758</v>
      </c>
      <c r="F1052" s="432">
        <f t="shared" si="128"/>
        <v>42.534131736526945</v>
      </c>
      <c r="G1052" s="160"/>
      <c r="H1052" s="104"/>
      <c r="I1052" s="200"/>
      <c r="J1052" s="109"/>
      <c r="K1052" s="109"/>
      <c r="L1052" s="110"/>
      <c r="M1052" s="109">
        <v>41750</v>
      </c>
      <c r="N1052" s="104">
        <v>17758</v>
      </c>
      <c r="O1052" s="256">
        <f t="shared" si="124"/>
        <v>42.534131736526945</v>
      </c>
      <c r="P1052" s="104"/>
      <c r="Q1052" s="104"/>
      <c r="R1052" s="200"/>
    </row>
    <row r="1053" spans="1:18" s="269" customFormat="1" ht="12" customHeight="1">
      <c r="A1053" s="267">
        <v>4350</v>
      </c>
      <c r="B1053" s="305" t="s">
        <v>460</v>
      </c>
      <c r="C1053" s="160">
        <v>900</v>
      </c>
      <c r="D1053" s="104">
        <f t="shared" si="129"/>
        <v>900</v>
      </c>
      <c r="E1053" s="104"/>
      <c r="F1053" s="432"/>
      <c r="G1053" s="160"/>
      <c r="H1053" s="104"/>
      <c r="I1053" s="200"/>
      <c r="J1053" s="109"/>
      <c r="K1053" s="109"/>
      <c r="L1053" s="110"/>
      <c r="M1053" s="109">
        <v>900</v>
      </c>
      <c r="N1053" s="104">
        <v>80</v>
      </c>
      <c r="O1053" s="256">
        <f t="shared" si="124"/>
        <v>8.88888888888889</v>
      </c>
      <c r="P1053" s="104"/>
      <c r="Q1053" s="104"/>
      <c r="R1053" s="200"/>
    </row>
    <row r="1054" spans="1:18" s="269" customFormat="1" ht="48">
      <c r="A1054" s="267">
        <v>4370</v>
      </c>
      <c r="B1054" s="305" t="s">
        <v>577</v>
      </c>
      <c r="C1054" s="160">
        <v>985</v>
      </c>
      <c r="D1054" s="104">
        <f t="shared" si="129"/>
        <v>985</v>
      </c>
      <c r="E1054" s="104">
        <f t="shared" si="126"/>
        <v>240</v>
      </c>
      <c r="F1054" s="432">
        <f t="shared" si="128"/>
        <v>24.36548223350254</v>
      </c>
      <c r="G1054" s="160"/>
      <c r="H1054" s="104"/>
      <c r="I1054" s="200"/>
      <c r="J1054" s="109"/>
      <c r="K1054" s="109"/>
      <c r="L1054" s="110"/>
      <c r="M1054" s="109">
        <v>985</v>
      </c>
      <c r="N1054" s="104">
        <v>240</v>
      </c>
      <c r="O1054" s="256">
        <f t="shared" si="124"/>
        <v>24.36548223350254</v>
      </c>
      <c r="P1054" s="104"/>
      <c r="Q1054" s="104"/>
      <c r="R1054" s="200"/>
    </row>
    <row r="1055" spans="1:18" s="269" customFormat="1" ht="12" customHeight="1">
      <c r="A1055" s="267">
        <v>4410</v>
      </c>
      <c r="B1055" s="305" t="s">
        <v>338</v>
      </c>
      <c r="C1055" s="160">
        <v>155</v>
      </c>
      <c r="D1055" s="104">
        <f t="shared" si="129"/>
        <v>3009</v>
      </c>
      <c r="E1055" s="104">
        <f t="shared" si="126"/>
        <v>0</v>
      </c>
      <c r="F1055" s="432">
        <f t="shared" si="128"/>
        <v>0</v>
      </c>
      <c r="G1055" s="160"/>
      <c r="H1055" s="104"/>
      <c r="I1055" s="200"/>
      <c r="J1055" s="109"/>
      <c r="K1055" s="109"/>
      <c r="L1055" s="110"/>
      <c r="M1055" s="109">
        <f>155+2854</f>
        <v>3009</v>
      </c>
      <c r="N1055" s="104"/>
      <c r="O1055" s="256">
        <f t="shared" si="124"/>
        <v>0</v>
      </c>
      <c r="P1055" s="104"/>
      <c r="Q1055" s="104"/>
      <c r="R1055" s="200"/>
    </row>
    <row r="1056" spans="1:18" s="269" customFormat="1" ht="12" customHeight="1" hidden="1">
      <c r="A1056" s="267">
        <v>4440</v>
      </c>
      <c r="B1056" s="458" t="s">
        <v>368</v>
      </c>
      <c r="C1056" s="109"/>
      <c r="D1056" s="104">
        <f t="shared" si="129"/>
        <v>0</v>
      </c>
      <c r="E1056" s="104">
        <f t="shared" si="126"/>
        <v>0</v>
      </c>
      <c r="F1056" s="432" t="e">
        <f t="shared" si="128"/>
        <v>#DIV/0!</v>
      </c>
      <c r="G1056" s="160"/>
      <c r="H1056" s="104"/>
      <c r="I1056" s="200"/>
      <c r="J1056" s="109"/>
      <c r="K1056" s="109"/>
      <c r="L1056" s="110"/>
      <c r="M1056" s="109"/>
      <c r="N1056" s="104"/>
      <c r="O1056" s="256"/>
      <c r="P1056" s="104"/>
      <c r="Q1056" s="104"/>
      <c r="R1056" s="200"/>
    </row>
    <row r="1057" spans="1:18" s="269" customFormat="1" ht="60">
      <c r="A1057" s="267">
        <v>4740</v>
      </c>
      <c r="B1057" s="291" t="s">
        <v>380</v>
      </c>
      <c r="C1057" s="109">
        <v>155</v>
      </c>
      <c r="D1057" s="104">
        <f t="shared" si="129"/>
        <v>155</v>
      </c>
      <c r="E1057" s="104">
        <f t="shared" si="126"/>
        <v>0</v>
      </c>
      <c r="F1057" s="432">
        <f t="shared" si="128"/>
        <v>0</v>
      </c>
      <c r="G1057" s="160"/>
      <c r="H1057" s="104"/>
      <c r="I1057" s="200"/>
      <c r="J1057" s="109"/>
      <c r="K1057" s="109"/>
      <c r="L1057" s="110"/>
      <c r="M1057" s="109">
        <v>155</v>
      </c>
      <c r="N1057" s="104"/>
      <c r="O1057" s="256">
        <f t="shared" si="124"/>
        <v>0</v>
      </c>
      <c r="P1057" s="104"/>
      <c r="Q1057" s="104"/>
      <c r="R1057" s="200"/>
    </row>
    <row r="1058" spans="1:18" s="269" customFormat="1" ht="36">
      <c r="A1058" s="316">
        <v>4750</v>
      </c>
      <c r="B1058" s="317" t="s">
        <v>467</v>
      </c>
      <c r="C1058" s="231">
        <v>312</v>
      </c>
      <c r="D1058" s="230">
        <f t="shared" si="129"/>
        <v>312</v>
      </c>
      <c r="E1058" s="230">
        <f t="shared" si="126"/>
        <v>0</v>
      </c>
      <c r="F1058" s="232">
        <f t="shared" si="128"/>
        <v>0</v>
      </c>
      <c r="G1058" s="270"/>
      <c r="H1058" s="230"/>
      <c r="I1058" s="238"/>
      <c r="J1058" s="231"/>
      <c r="K1058" s="231"/>
      <c r="L1058" s="319"/>
      <c r="M1058" s="231">
        <v>312</v>
      </c>
      <c r="N1058" s="230"/>
      <c r="O1058" s="232">
        <f t="shared" si="124"/>
        <v>0</v>
      </c>
      <c r="P1058" s="230"/>
      <c r="Q1058" s="230"/>
      <c r="R1058" s="238"/>
    </row>
    <row r="1059" spans="1:18" s="221" customFormat="1" ht="12" customHeight="1">
      <c r="A1059" s="272">
        <v>85202</v>
      </c>
      <c r="B1059" s="469" t="s">
        <v>760</v>
      </c>
      <c r="C1059" s="274">
        <f>SUM(C1060:C1061)</f>
        <v>700000</v>
      </c>
      <c r="D1059" s="189">
        <f aca="true" t="shared" si="130" ref="D1059:E1061">G1059+J1059+M1059+P1059</f>
        <v>700000</v>
      </c>
      <c r="E1059" s="189">
        <f t="shared" si="130"/>
        <v>202399</v>
      </c>
      <c r="F1059" s="446">
        <f t="shared" si="128"/>
        <v>28.914142857142856</v>
      </c>
      <c r="G1059" s="274">
        <f>SUM(G1060:G1061)</f>
        <v>700000</v>
      </c>
      <c r="H1059" s="189">
        <f>SUM(H1060:H1061)</f>
        <v>202399</v>
      </c>
      <c r="I1059" s="470">
        <f>H1059/G1059*100</f>
        <v>28.914142857142856</v>
      </c>
      <c r="J1059" s="276"/>
      <c r="K1059" s="276"/>
      <c r="L1059" s="313"/>
      <c r="M1059" s="276"/>
      <c r="N1059" s="189"/>
      <c r="O1059" s="278"/>
      <c r="P1059" s="189"/>
      <c r="Q1059" s="189"/>
      <c r="R1059" s="280"/>
    </row>
    <row r="1060" spans="1:18" s="269" customFormat="1" ht="12" customHeight="1" hidden="1">
      <c r="A1060" s="267">
        <v>4300</v>
      </c>
      <c r="B1060" s="458" t="s">
        <v>385</v>
      </c>
      <c r="C1060" s="160"/>
      <c r="D1060" s="104">
        <f t="shared" si="130"/>
        <v>0</v>
      </c>
      <c r="E1060" s="104">
        <f t="shared" si="130"/>
        <v>0</v>
      </c>
      <c r="F1060" s="432"/>
      <c r="G1060" s="160"/>
      <c r="H1060" s="104"/>
      <c r="I1060" s="262"/>
      <c r="J1060" s="109"/>
      <c r="K1060" s="109"/>
      <c r="L1060" s="110"/>
      <c r="M1060" s="109"/>
      <c r="N1060" s="104"/>
      <c r="O1060" s="108"/>
      <c r="P1060" s="104"/>
      <c r="Q1060" s="104"/>
      <c r="R1060" s="200"/>
    </row>
    <row r="1061" spans="1:18" s="269" customFormat="1" ht="24">
      <c r="A1061" s="316">
        <v>4330</v>
      </c>
      <c r="B1061" s="471" t="s">
        <v>761</v>
      </c>
      <c r="C1061" s="270">
        <v>700000</v>
      </c>
      <c r="D1061" s="104">
        <f t="shared" si="130"/>
        <v>700000</v>
      </c>
      <c r="E1061" s="104">
        <f t="shared" si="130"/>
        <v>202399</v>
      </c>
      <c r="F1061" s="432">
        <f t="shared" si="128"/>
        <v>28.914142857142856</v>
      </c>
      <c r="G1061" s="270">
        <v>700000</v>
      </c>
      <c r="H1061" s="230">
        <v>202399</v>
      </c>
      <c r="I1061" s="470">
        <f>H1061/G1061*100</f>
        <v>28.914142857142856</v>
      </c>
      <c r="J1061" s="231"/>
      <c r="K1061" s="231"/>
      <c r="L1061" s="319"/>
      <c r="M1061" s="231"/>
      <c r="N1061" s="230"/>
      <c r="O1061" s="170"/>
      <c r="P1061" s="230"/>
      <c r="Q1061" s="230"/>
      <c r="R1061" s="238"/>
    </row>
    <row r="1062" spans="1:18" s="269" customFormat="1" ht="12.75">
      <c r="A1062" s="239">
        <v>85203</v>
      </c>
      <c r="B1062" s="472" t="s">
        <v>762</v>
      </c>
      <c r="C1062" s="136">
        <f>C1070+C1090+C1133+C1110+C1063</f>
        <v>1137000</v>
      </c>
      <c r="D1062" s="137">
        <f>G1062+J1062+P1062+M1062</f>
        <v>1137000</v>
      </c>
      <c r="E1062" s="137">
        <f aca="true" t="shared" si="131" ref="D1062:E1080">H1062+K1062+Q1062+N1062</f>
        <v>284913</v>
      </c>
      <c r="F1062" s="425">
        <f t="shared" si="128"/>
        <v>25.058311345646437</v>
      </c>
      <c r="G1062" s="136">
        <f>G1070+G1090+G1133+G1063+G1069</f>
        <v>500000</v>
      </c>
      <c r="H1062" s="137">
        <f>H1070+H1090+H1133+H1063+H1069</f>
        <v>166006</v>
      </c>
      <c r="I1062" s="297">
        <f>H1062/G1062*100</f>
        <v>33.2012</v>
      </c>
      <c r="J1062" s="140">
        <f>J1070+J1090+J1133+J1110+SUM(J1063:J1068)</f>
        <v>637000</v>
      </c>
      <c r="K1062" s="140">
        <f>K1070+K1090+K1133+K1110+SUM(K1063:K1068)</f>
        <v>118907</v>
      </c>
      <c r="L1062" s="127">
        <f aca="true" t="shared" si="132" ref="L1062:L1068">K1062/J1062*100</f>
        <v>18.666718995290424</v>
      </c>
      <c r="M1062" s="137"/>
      <c r="N1062" s="137"/>
      <c r="O1062" s="127"/>
      <c r="P1062" s="137"/>
      <c r="Q1062" s="137"/>
      <c r="R1062" s="283"/>
    </row>
    <row r="1063" spans="1:18" s="269" customFormat="1" ht="72">
      <c r="A1063" s="191">
        <v>2820</v>
      </c>
      <c r="B1063" s="458" t="s">
        <v>472</v>
      </c>
      <c r="C1063" s="160">
        <f>176400+210000</f>
        <v>386400</v>
      </c>
      <c r="D1063" s="104">
        <f t="shared" si="131"/>
        <v>386400</v>
      </c>
      <c r="E1063" s="104">
        <f t="shared" si="131"/>
        <v>44100</v>
      </c>
      <c r="F1063" s="432">
        <f t="shared" si="128"/>
        <v>11.41304347826087</v>
      </c>
      <c r="G1063" s="160">
        <v>210000</v>
      </c>
      <c r="H1063" s="104">
        <v>44100</v>
      </c>
      <c r="I1063" s="162">
        <f aca="true" t="shared" si="133" ref="I1063:I1068">H1063/G1063*100</f>
        <v>21</v>
      </c>
      <c r="J1063" s="109">
        <v>176400</v>
      </c>
      <c r="K1063" s="109"/>
      <c r="L1063" s="108">
        <f t="shared" si="132"/>
        <v>0</v>
      </c>
      <c r="M1063" s="104"/>
      <c r="N1063" s="104"/>
      <c r="O1063" s="108"/>
      <c r="P1063" s="104"/>
      <c r="Q1063" s="104"/>
      <c r="R1063" s="200"/>
    </row>
    <row r="1064" spans="1:18" s="269" customFormat="1" ht="24" hidden="1">
      <c r="A1064" s="267">
        <v>4210</v>
      </c>
      <c r="B1064" s="423" t="s">
        <v>356</v>
      </c>
      <c r="C1064" s="160"/>
      <c r="D1064" s="104">
        <f>G1064+J1064+P1064+M1064</f>
        <v>0</v>
      </c>
      <c r="E1064" s="104">
        <f t="shared" si="131"/>
        <v>0</v>
      </c>
      <c r="F1064" s="432" t="e">
        <f t="shared" si="128"/>
        <v>#DIV/0!</v>
      </c>
      <c r="G1064" s="160"/>
      <c r="H1064" s="104"/>
      <c r="I1064" s="162" t="e">
        <f t="shared" si="133"/>
        <v>#DIV/0!</v>
      </c>
      <c r="J1064" s="109"/>
      <c r="K1064" s="109"/>
      <c r="L1064" s="108" t="e">
        <f t="shared" si="132"/>
        <v>#DIV/0!</v>
      </c>
      <c r="M1064" s="104"/>
      <c r="N1064" s="104"/>
      <c r="O1064" s="108"/>
      <c r="P1064" s="104"/>
      <c r="Q1064" s="104"/>
      <c r="R1064" s="200"/>
    </row>
    <row r="1065" spans="1:18" s="269" customFormat="1" ht="24" hidden="1">
      <c r="A1065" s="267">
        <v>4270</v>
      </c>
      <c r="B1065" s="458" t="s">
        <v>552</v>
      </c>
      <c r="C1065" s="160"/>
      <c r="D1065" s="104">
        <f t="shared" si="131"/>
        <v>0</v>
      </c>
      <c r="E1065" s="104">
        <f t="shared" si="131"/>
        <v>0</v>
      </c>
      <c r="F1065" s="432" t="e">
        <f t="shared" si="128"/>
        <v>#DIV/0!</v>
      </c>
      <c r="G1065" s="160"/>
      <c r="H1065" s="104"/>
      <c r="I1065" s="162" t="e">
        <f t="shared" si="133"/>
        <v>#DIV/0!</v>
      </c>
      <c r="J1065" s="109"/>
      <c r="K1065" s="109"/>
      <c r="L1065" s="108" t="e">
        <f t="shared" si="132"/>
        <v>#DIV/0!</v>
      </c>
      <c r="M1065" s="104"/>
      <c r="N1065" s="104"/>
      <c r="O1065" s="108"/>
      <c r="P1065" s="104"/>
      <c r="Q1065" s="104"/>
      <c r="R1065" s="200"/>
    </row>
    <row r="1066" spans="1:18" s="269" customFormat="1" ht="24" hidden="1">
      <c r="A1066" s="267">
        <v>4300</v>
      </c>
      <c r="B1066" s="423" t="s">
        <v>364</v>
      </c>
      <c r="C1066" s="160"/>
      <c r="D1066" s="104">
        <f t="shared" si="131"/>
        <v>0</v>
      </c>
      <c r="E1066" s="104">
        <f t="shared" si="131"/>
        <v>0</v>
      </c>
      <c r="F1066" s="432" t="e">
        <f t="shared" si="128"/>
        <v>#DIV/0!</v>
      </c>
      <c r="G1066" s="160"/>
      <c r="H1066" s="104"/>
      <c r="I1066" s="162" t="e">
        <f t="shared" si="133"/>
        <v>#DIV/0!</v>
      </c>
      <c r="J1066" s="109"/>
      <c r="K1066" s="109"/>
      <c r="L1066" s="108" t="e">
        <f t="shared" si="132"/>
        <v>#DIV/0!</v>
      </c>
      <c r="M1066" s="104"/>
      <c r="N1066" s="104"/>
      <c r="O1066" s="108"/>
      <c r="P1066" s="104"/>
      <c r="Q1066" s="104"/>
      <c r="R1066" s="200"/>
    </row>
    <row r="1067" spans="1:18" s="269" customFormat="1" ht="24" hidden="1">
      <c r="A1067" s="267">
        <v>6050</v>
      </c>
      <c r="B1067" s="458" t="s">
        <v>396</v>
      </c>
      <c r="C1067" s="160"/>
      <c r="D1067" s="104">
        <f>G1067+J1067+P1067+M1067</f>
        <v>0</v>
      </c>
      <c r="E1067" s="104">
        <f t="shared" si="131"/>
        <v>0</v>
      </c>
      <c r="F1067" s="432" t="e">
        <f t="shared" si="128"/>
        <v>#DIV/0!</v>
      </c>
      <c r="G1067" s="160"/>
      <c r="H1067" s="104"/>
      <c r="I1067" s="162" t="e">
        <f t="shared" si="133"/>
        <v>#DIV/0!</v>
      </c>
      <c r="J1067" s="109"/>
      <c r="K1067" s="109"/>
      <c r="L1067" s="108" t="e">
        <f t="shared" si="132"/>
        <v>#DIV/0!</v>
      </c>
      <c r="M1067" s="104"/>
      <c r="N1067" s="104"/>
      <c r="O1067" s="108"/>
      <c r="P1067" s="104"/>
      <c r="Q1067" s="104"/>
      <c r="R1067" s="200"/>
    </row>
    <row r="1068" spans="1:18" s="269" customFormat="1" ht="36" hidden="1">
      <c r="A1068" s="267">
        <v>6060</v>
      </c>
      <c r="B1068" s="458" t="s">
        <v>763</v>
      </c>
      <c r="C1068" s="160"/>
      <c r="D1068" s="104">
        <f t="shared" si="131"/>
        <v>0</v>
      </c>
      <c r="E1068" s="104">
        <f t="shared" si="131"/>
        <v>0</v>
      </c>
      <c r="F1068" s="432" t="e">
        <f t="shared" si="128"/>
        <v>#DIV/0!</v>
      </c>
      <c r="G1068" s="160"/>
      <c r="H1068" s="104"/>
      <c r="I1068" s="162" t="e">
        <f t="shared" si="133"/>
        <v>#DIV/0!</v>
      </c>
      <c r="J1068" s="109">
        <f>10000-10000</f>
        <v>0</v>
      </c>
      <c r="K1068" s="109"/>
      <c r="L1068" s="108" t="e">
        <f t="shared" si="132"/>
        <v>#DIV/0!</v>
      </c>
      <c r="M1068" s="104"/>
      <c r="N1068" s="104"/>
      <c r="O1068" s="108"/>
      <c r="P1068" s="104"/>
      <c r="Q1068" s="104"/>
      <c r="R1068" s="200"/>
    </row>
    <row r="1069" spans="1:18" s="269" customFormat="1" ht="12.75" hidden="1">
      <c r="A1069" s="267">
        <v>4360</v>
      </c>
      <c r="B1069" s="458"/>
      <c r="C1069" s="160"/>
      <c r="D1069" s="104"/>
      <c r="E1069" s="104">
        <f t="shared" si="131"/>
        <v>0</v>
      </c>
      <c r="F1069" s="432"/>
      <c r="G1069" s="160"/>
      <c r="H1069" s="104"/>
      <c r="I1069" s="162"/>
      <c r="J1069" s="109"/>
      <c r="K1069" s="109"/>
      <c r="L1069" s="108"/>
      <c r="M1069" s="104"/>
      <c r="N1069" s="104"/>
      <c r="O1069" s="108"/>
      <c r="P1069" s="104"/>
      <c r="Q1069" s="104"/>
      <c r="R1069" s="200"/>
    </row>
    <row r="1070" spans="1:18" ht="12.75">
      <c r="A1070" s="284"/>
      <c r="B1070" s="473" t="s">
        <v>764</v>
      </c>
      <c r="C1070" s="286">
        <f>SUM(C1071:C1089)</f>
        <v>194000</v>
      </c>
      <c r="D1070" s="213">
        <f t="shared" si="131"/>
        <v>194000</v>
      </c>
      <c r="E1070" s="287">
        <f t="shared" si="131"/>
        <v>48893</v>
      </c>
      <c r="F1070" s="432">
        <f t="shared" si="128"/>
        <v>25.202577319587625</v>
      </c>
      <c r="G1070" s="211">
        <f>SUM(G1071:G1089)</f>
        <v>194000</v>
      </c>
      <c r="H1070" s="213">
        <f>SUM(H1071:H1089)</f>
        <v>48893</v>
      </c>
      <c r="I1070" s="162">
        <f>H1070/G1070*100</f>
        <v>25.202577319587625</v>
      </c>
      <c r="J1070" s="288"/>
      <c r="K1070" s="288"/>
      <c r="L1070" s="108"/>
      <c r="M1070" s="287"/>
      <c r="N1070" s="287"/>
      <c r="O1070" s="108"/>
      <c r="P1070" s="287"/>
      <c r="Q1070" s="287"/>
      <c r="R1070" s="200"/>
    </row>
    <row r="1071" spans="1:18" ht="36">
      <c r="A1071" s="191">
        <v>3020</v>
      </c>
      <c r="B1071" s="423" t="s">
        <v>453</v>
      </c>
      <c r="C1071" s="128">
        <v>400</v>
      </c>
      <c r="D1071" s="104">
        <f t="shared" si="131"/>
        <v>400</v>
      </c>
      <c r="E1071" s="129">
        <f>SUM(H1071+K1071+N1071+Q1071)</f>
        <v>0</v>
      </c>
      <c r="F1071" s="432">
        <f t="shared" si="128"/>
        <v>0</v>
      </c>
      <c r="G1071" s="128">
        <v>400</v>
      </c>
      <c r="H1071" s="104"/>
      <c r="I1071" s="162">
        <f aca="true" t="shared" si="134" ref="I1071:I1109">H1071/G1071*100</f>
        <v>0</v>
      </c>
      <c r="J1071" s="193"/>
      <c r="K1071" s="129"/>
      <c r="L1071" s="108"/>
      <c r="M1071" s="129"/>
      <c r="N1071" s="129"/>
      <c r="O1071" s="108"/>
      <c r="P1071" s="129"/>
      <c r="Q1071" s="129"/>
      <c r="R1071" s="200"/>
    </row>
    <row r="1072" spans="1:18" ht="24">
      <c r="A1072" s="191">
        <v>4010</v>
      </c>
      <c r="B1072" s="423" t="s">
        <v>346</v>
      </c>
      <c r="C1072" s="128">
        <v>79472</v>
      </c>
      <c r="D1072" s="104">
        <f t="shared" si="131"/>
        <v>79472</v>
      </c>
      <c r="E1072" s="129">
        <f>SUM(H1072+K1072+N1072+Q1072)</f>
        <v>20629</v>
      </c>
      <c r="F1072" s="432">
        <f>E1072/D1072*100</f>
        <v>25.957569961747534</v>
      </c>
      <c r="G1072" s="128">
        <v>79472</v>
      </c>
      <c r="H1072" s="104">
        <v>20629</v>
      </c>
      <c r="I1072" s="162">
        <f t="shared" si="134"/>
        <v>25.957569961747534</v>
      </c>
      <c r="J1072" s="193"/>
      <c r="K1072" s="129"/>
      <c r="L1072" s="108"/>
      <c r="M1072" s="129"/>
      <c r="N1072" s="129"/>
      <c r="O1072" s="108"/>
      <c r="P1072" s="129"/>
      <c r="Q1072" s="129"/>
      <c r="R1072" s="200"/>
    </row>
    <row r="1073" spans="1:18" ht="24">
      <c r="A1073" s="191">
        <v>4040</v>
      </c>
      <c r="B1073" s="423" t="s">
        <v>454</v>
      </c>
      <c r="C1073" s="128">
        <v>6719</v>
      </c>
      <c r="D1073" s="104">
        <f t="shared" si="131"/>
        <v>6719</v>
      </c>
      <c r="E1073" s="129">
        <f>SUM(H1073+K1073+N1073+Q1073)</f>
        <v>6263</v>
      </c>
      <c r="F1073" s="432">
        <f t="shared" si="128"/>
        <v>93.21327578508706</v>
      </c>
      <c r="G1073" s="128">
        <v>6719</v>
      </c>
      <c r="H1073" s="104">
        <v>6263</v>
      </c>
      <c r="I1073" s="162">
        <f t="shared" si="134"/>
        <v>93.21327578508706</v>
      </c>
      <c r="J1073" s="193"/>
      <c r="K1073" s="129"/>
      <c r="L1073" s="108"/>
      <c r="M1073" s="129"/>
      <c r="N1073" s="129"/>
      <c r="O1073" s="108"/>
      <c r="P1073" s="129"/>
      <c r="Q1073" s="129"/>
      <c r="R1073" s="200"/>
    </row>
    <row r="1074" spans="1:18" ht="24" customHeight="1">
      <c r="A1074" s="191">
        <v>4110</v>
      </c>
      <c r="B1074" s="423" t="s">
        <v>352</v>
      </c>
      <c r="C1074" s="128">
        <v>13808</v>
      </c>
      <c r="D1074" s="104">
        <f t="shared" si="131"/>
        <v>13808</v>
      </c>
      <c r="E1074" s="129">
        <f aca="true" t="shared" si="135" ref="E1074:E1089">SUM(H1074+K1074+N1074+Q1074)</f>
        <v>3369</v>
      </c>
      <c r="F1074" s="432">
        <f t="shared" si="128"/>
        <v>24.398899188876015</v>
      </c>
      <c r="G1074" s="128">
        <v>13808</v>
      </c>
      <c r="H1074" s="104">
        <v>3369</v>
      </c>
      <c r="I1074" s="162">
        <f t="shared" si="134"/>
        <v>24.398899188876015</v>
      </c>
      <c r="J1074" s="193"/>
      <c r="K1074" s="129"/>
      <c r="L1074" s="108"/>
      <c r="M1074" s="129"/>
      <c r="N1074" s="129"/>
      <c r="O1074" s="108"/>
      <c r="P1074" s="129"/>
      <c r="Q1074" s="129"/>
      <c r="R1074" s="200"/>
    </row>
    <row r="1075" spans="1:18" ht="11.25" customHeight="1">
      <c r="A1075" s="191">
        <v>4120</v>
      </c>
      <c r="B1075" s="423" t="s">
        <v>504</v>
      </c>
      <c r="C1075" s="128">
        <v>2112</v>
      </c>
      <c r="D1075" s="104">
        <f t="shared" si="131"/>
        <v>2112</v>
      </c>
      <c r="E1075" s="129">
        <f t="shared" si="135"/>
        <v>515</v>
      </c>
      <c r="F1075" s="432">
        <f t="shared" si="128"/>
        <v>24.384469696969695</v>
      </c>
      <c r="G1075" s="128">
        <v>2112</v>
      </c>
      <c r="H1075" s="104">
        <v>515</v>
      </c>
      <c r="I1075" s="162">
        <f t="shared" si="134"/>
        <v>24.384469696969695</v>
      </c>
      <c r="J1075" s="193"/>
      <c r="K1075" s="129"/>
      <c r="L1075" s="108"/>
      <c r="M1075" s="129"/>
      <c r="N1075" s="129"/>
      <c r="O1075" s="108"/>
      <c r="P1075" s="129"/>
      <c r="Q1075" s="129"/>
      <c r="R1075" s="200"/>
    </row>
    <row r="1076" spans="1:18" ht="24">
      <c r="A1076" s="191">
        <v>4210</v>
      </c>
      <c r="B1076" s="423" t="s">
        <v>356</v>
      </c>
      <c r="C1076" s="128">
        <v>4700</v>
      </c>
      <c r="D1076" s="104">
        <f t="shared" si="131"/>
        <v>4700</v>
      </c>
      <c r="E1076" s="129">
        <f t="shared" si="135"/>
        <v>2208</v>
      </c>
      <c r="F1076" s="432">
        <f t="shared" si="128"/>
        <v>46.97872340425532</v>
      </c>
      <c r="G1076" s="128">
        <v>4700</v>
      </c>
      <c r="H1076" s="104">
        <v>2208</v>
      </c>
      <c r="I1076" s="162">
        <f t="shared" si="134"/>
        <v>46.97872340425532</v>
      </c>
      <c r="J1076" s="193"/>
      <c r="K1076" s="129"/>
      <c r="L1076" s="108"/>
      <c r="M1076" s="129"/>
      <c r="N1076" s="129"/>
      <c r="O1076" s="108"/>
      <c r="P1076" s="129"/>
      <c r="Q1076" s="129"/>
      <c r="R1076" s="200"/>
    </row>
    <row r="1077" spans="1:18" ht="24">
      <c r="A1077" s="191">
        <v>4230</v>
      </c>
      <c r="B1077" s="423" t="s">
        <v>358</v>
      </c>
      <c r="C1077" s="128">
        <v>205</v>
      </c>
      <c r="D1077" s="104">
        <f t="shared" si="131"/>
        <v>205</v>
      </c>
      <c r="E1077" s="129">
        <f t="shared" si="135"/>
        <v>0</v>
      </c>
      <c r="F1077" s="432">
        <f t="shared" si="128"/>
        <v>0</v>
      </c>
      <c r="G1077" s="128">
        <v>205</v>
      </c>
      <c r="H1077" s="104"/>
      <c r="I1077" s="162">
        <f t="shared" si="134"/>
        <v>0</v>
      </c>
      <c r="J1077" s="193"/>
      <c r="K1077" s="129"/>
      <c r="L1077" s="108"/>
      <c r="M1077" s="129"/>
      <c r="N1077" s="129"/>
      <c r="O1077" s="108"/>
      <c r="P1077" s="129"/>
      <c r="Q1077" s="129"/>
      <c r="R1077" s="200"/>
    </row>
    <row r="1078" spans="1:18" ht="12.75">
      <c r="A1078" s="191">
        <v>4260</v>
      </c>
      <c r="B1078" s="423" t="s">
        <v>360</v>
      </c>
      <c r="C1078" s="128">
        <v>15890</v>
      </c>
      <c r="D1078" s="104">
        <f t="shared" si="131"/>
        <v>15890</v>
      </c>
      <c r="E1078" s="129">
        <f t="shared" si="135"/>
        <v>3545</v>
      </c>
      <c r="F1078" s="432">
        <f t="shared" si="128"/>
        <v>22.309628697293896</v>
      </c>
      <c r="G1078" s="128">
        <v>15890</v>
      </c>
      <c r="H1078" s="104">
        <v>3545</v>
      </c>
      <c r="I1078" s="162">
        <f t="shared" si="134"/>
        <v>22.309628697293896</v>
      </c>
      <c r="J1078" s="193"/>
      <c r="K1078" s="129"/>
      <c r="L1078" s="108"/>
      <c r="M1078" s="129"/>
      <c r="N1078" s="129"/>
      <c r="O1078" s="108"/>
      <c r="P1078" s="129"/>
      <c r="Q1078" s="129"/>
      <c r="R1078" s="200"/>
    </row>
    <row r="1079" spans="1:18" ht="24">
      <c r="A1079" s="191">
        <v>4280</v>
      </c>
      <c r="B1079" s="423" t="s">
        <v>458</v>
      </c>
      <c r="C1079" s="128">
        <v>140</v>
      </c>
      <c r="D1079" s="104">
        <f t="shared" si="131"/>
        <v>140</v>
      </c>
      <c r="E1079" s="129">
        <f t="shared" si="135"/>
        <v>73</v>
      </c>
      <c r="F1079" s="432">
        <f t="shared" si="128"/>
        <v>52.142857142857146</v>
      </c>
      <c r="G1079" s="128">
        <v>140</v>
      </c>
      <c r="H1079" s="104">
        <v>73</v>
      </c>
      <c r="I1079" s="162">
        <f t="shared" si="134"/>
        <v>52.142857142857146</v>
      </c>
      <c r="J1079" s="193"/>
      <c r="K1079" s="129"/>
      <c r="L1079" s="108"/>
      <c r="M1079" s="129"/>
      <c r="N1079" s="129"/>
      <c r="O1079" s="108"/>
      <c r="P1079" s="129"/>
      <c r="Q1079" s="129"/>
      <c r="R1079" s="200"/>
    </row>
    <row r="1080" spans="1:18" ht="12.75" customHeight="1">
      <c r="A1080" s="191">
        <v>4300</v>
      </c>
      <c r="B1080" s="423" t="s">
        <v>364</v>
      </c>
      <c r="C1080" s="128">
        <v>52000</v>
      </c>
      <c r="D1080" s="104">
        <f t="shared" si="131"/>
        <v>52000</v>
      </c>
      <c r="E1080" s="129">
        <f t="shared" si="135"/>
        <v>8682</v>
      </c>
      <c r="F1080" s="432">
        <f t="shared" si="128"/>
        <v>16.696153846153848</v>
      </c>
      <c r="G1080" s="128">
        <v>52000</v>
      </c>
      <c r="H1080" s="104">
        <v>8682</v>
      </c>
      <c r="I1080" s="162">
        <f t="shared" si="134"/>
        <v>16.696153846153848</v>
      </c>
      <c r="J1080" s="193"/>
      <c r="K1080" s="129"/>
      <c r="L1080" s="108"/>
      <c r="M1080" s="129"/>
      <c r="N1080" s="129"/>
      <c r="O1080" s="108"/>
      <c r="P1080" s="129"/>
      <c r="Q1080" s="129"/>
      <c r="R1080" s="200"/>
    </row>
    <row r="1081" spans="1:18" ht="24">
      <c r="A1081" s="191">
        <v>4350</v>
      </c>
      <c r="B1081" s="198" t="s">
        <v>460</v>
      </c>
      <c r="C1081" s="128">
        <v>1069</v>
      </c>
      <c r="D1081" s="104">
        <f aca="true" t="shared" si="136" ref="D1081:E1146">G1081+J1081+P1081+M1081</f>
        <v>1069</v>
      </c>
      <c r="E1081" s="129">
        <f>SUM(H1081+K1081+N1081+Q1081)</f>
        <v>258</v>
      </c>
      <c r="F1081" s="432">
        <f>E1081/D1081*100</f>
        <v>24.134705332086064</v>
      </c>
      <c r="G1081" s="128">
        <v>1069</v>
      </c>
      <c r="H1081" s="104">
        <v>258</v>
      </c>
      <c r="I1081" s="162">
        <f t="shared" si="134"/>
        <v>24.134705332086064</v>
      </c>
      <c r="J1081" s="193"/>
      <c r="K1081" s="129"/>
      <c r="L1081" s="108"/>
      <c r="M1081" s="129"/>
      <c r="N1081" s="129"/>
      <c r="O1081" s="108"/>
      <c r="P1081" s="129"/>
      <c r="Q1081" s="129"/>
      <c r="R1081" s="200"/>
    </row>
    <row r="1082" spans="1:18" ht="48">
      <c r="A1082" s="267">
        <v>4370</v>
      </c>
      <c r="B1082" s="291" t="s">
        <v>577</v>
      </c>
      <c r="C1082" s="128">
        <v>1250</v>
      </c>
      <c r="D1082" s="104">
        <f t="shared" si="136"/>
        <v>1250</v>
      </c>
      <c r="E1082" s="129">
        <f>SUM(H1082+K1082+N1082+Q1082)</f>
        <v>369</v>
      </c>
      <c r="F1082" s="432">
        <f>E1082/D1082*100</f>
        <v>29.520000000000003</v>
      </c>
      <c r="G1082" s="128">
        <v>1250</v>
      </c>
      <c r="H1082" s="104">
        <v>369</v>
      </c>
      <c r="I1082" s="162">
        <f t="shared" si="134"/>
        <v>29.520000000000003</v>
      </c>
      <c r="J1082" s="193"/>
      <c r="K1082" s="129"/>
      <c r="L1082" s="108"/>
      <c r="M1082" s="129"/>
      <c r="N1082" s="129"/>
      <c r="O1082" s="108"/>
      <c r="P1082" s="129"/>
      <c r="Q1082" s="129"/>
      <c r="R1082" s="200"/>
    </row>
    <row r="1083" spans="1:18" ht="24">
      <c r="A1083" s="267">
        <v>4400</v>
      </c>
      <c r="B1083" s="291" t="s">
        <v>463</v>
      </c>
      <c r="C1083" s="128">
        <v>10920</v>
      </c>
      <c r="D1083" s="104">
        <f t="shared" si="136"/>
        <v>10920</v>
      </c>
      <c r="E1083" s="129">
        <f>SUM(H1083+K1083+N1083+Q1083)</f>
        <v>2622</v>
      </c>
      <c r="F1083" s="432">
        <f>E1083/D1083*100</f>
        <v>24.01098901098901</v>
      </c>
      <c r="G1083" s="128">
        <v>10920</v>
      </c>
      <c r="H1083" s="104">
        <v>2622</v>
      </c>
      <c r="I1083" s="162">
        <f t="shared" si="134"/>
        <v>24.01098901098901</v>
      </c>
      <c r="J1083" s="193"/>
      <c r="K1083" s="129"/>
      <c r="L1083" s="108"/>
      <c r="M1083" s="129"/>
      <c r="N1083" s="129"/>
      <c r="O1083" s="108"/>
      <c r="P1083" s="129"/>
      <c r="Q1083" s="129"/>
      <c r="R1083" s="200"/>
    </row>
    <row r="1084" spans="1:18" ht="12.75" customHeight="1">
      <c r="A1084" s="191">
        <v>4410</v>
      </c>
      <c r="B1084" s="423" t="s">
        <v>338</v>
      </c>
      <c r="C1084" s="128">
        <v>205</v>
      </c>
      <c r="D1084" s="104">
        <f t="shared" si="136"/>
        <v>205</v>
      </c>
      <c r="E1084" s="129">
        <f t="shared" si="135"/>
        <v>0</v>
      </c>
      <c r="F1084" s="432">
        <f t="shared" si="128"/>
        <v>0</v>
      </c>
      <c r="G1084" s="128">
        <v>205</v>
      </c>
      <c r="H1084" s="104"/>
      <c r="I1084" s="162">
        <f t="shared" si="134"/>
        <v>0</v>
      </c>
      <c r="J1084" s="193"/>
      <c r="K1084" s="129"/>
      <c r="L1084" s="108"/>
      <c r="M1084" s="129"/>
      <c r="N1084" s="129"/>
      <c r="O1084" s="108"/>
      <c r="P1084" s="129"/>
      <c r="Q1084" s="129"/>
      <c r="R1084" s="200"/>
    </row>
    <row r="1085" spans="1:18" ht="12.75" customHeight="1">
      <c r="A1085" s="191">
        <v>4430</v>
      </c>
      <c r="B1085" s="423" t="s">
        <v>366</v>
      </c>
      <c r="C1085" s="128">
        <v>100</v>
      </c>
      <c r="D1085" s="104">
        <f t="shared" si="136"/>
        <v>100</v>
      </c>
      <c r="E1085" s="129">
        <f t="shared" si="135"/>
        <v>0</v>
      </c>
      <c r="F1085" s="432">
        <f aca="true" t="shared" si="137" ref="F1085:F1114">E1085/D1085*100</f>
        <v>0</v>
      </c>
      <c r="G1085" s="128">
        <v>100</v>
      </c>
      <c r="H1085" s="104"/>
      <c r="I1085" s="162">
        <f t="shared" si="134"/>
        <v>0</v>
      </c>
      <c r="J1085" s="193"/>
      <c r="K1085" s="129"/>
      <c r="L1085" s="108"/>
      <c r="M1085" s="129"/>
      <c r="N1085" s="129"/>
      <c r="O1085" s="108"/>
      <c r="P1085" s="129"/>
      <c r="Q1085" s="129"/>
      <c r="R1085" s="200"/>
    </row>
    <row r="1086" spans="1:18" ht="12.75" customHeight="1">
      <c r="A1086" s="191">
        <v>4480</v>
      </c>
      <c r="B1086" s="423" t="s">
        <v>370</v>
      </c>
      <c r="C1086" s="128">
        <v>1350</v>
      </c>
      <c r="D1086" s="104">
        <f t="shared" si="136"/>
        <v>1350</v>
      </c>
      <c r="E1086" s="129">
        <f>SUM(H1086+K1086+N1086+Q1086)</f>
        <v>332</v>
      </c>
      <c r="F1086" s="432">
        <f t="shared" si="137"/>
        <v>24.592592592592595</v>
      </c>
      <c r="G1086" s="128">
        <v>1350</v>
      </c>
      <c r="H1086" s="104">
        <v>332</v>
      </c>
      <c r="I1086" s="162">
        <f t="shared" si="134"/>
        <v>24.592592592592595</v>
      </c>
      <c r="J1086" s="193"/>
      <c r="K1086" s="129"/>
      <c r="L1086" s="108"/>
      <c r="M1086" s="129"/>
      <c r="N1086" s="129"/>
      <c r="O1086" s="108"/>
      <c r="P1086" s="129"/>
      <c r="Q1086" s="129"/>
      <c r="R1086" s="200"/>
    </row>
    <row r="1087" spans="1:18" ht="12.75" customHeight="1">
      <c r="A1087" s="191">
        <v>4440</v>
      </c>
      <c r="B1087" s="259" t="s">
        <v>368</v>
      </c>
      <c r="C1087" s="128">
        <v>2660</v>
      </c>
      <c r="D1087" s="104">
        <f t="shared" si="136"/>
        <v>2660</v>
      </c>
      <c r="E1087" s="129">
        <f>SUM(H1087+K1087+N1087+Q1087)</f>
        <v>0</v>
      </c>
      <c r="F1087" s="432">
        <f t="shared" si="137"/>
        <v>0</v>
      </c>
      <c r="G1087" s="128">
        <v>2660</v>
      </c>
      <c r="H1087" s="104"/>
      <c r="I1087" s="162">
        <f t="shared" si="134"/>
        <v>0</v>
      </c>
      <c r="J1087" s="193"/>
      <c r="K1087" s="129"/>
      <c r="L1087" s="108"/>
      <c r="M1087" s="129"/>
      <c r="N1087" s="129"/>
      <c r="O1087" s="108"/>
      <c r="P1087" s="129"/>
      <c r="Q1087" s="129"/>
      <c r="R1087" s="200"/>
    </row>
    <row r="1088" spans="1:18" ht="60">
      <c r="A1088" s="267">
        <v>4740</v>
      </c>
      <c r="B1088" s="291" t="s">
        <v>380</v>
      </c>
      <c r="C1088" s="128">
        <v>500</v>
      </c>
      <c r="D1088" s="104">
        <f t="shared" si="136"/>
        <v>500</v>
      </c>
      <c r="E1088" s="129">
        <f>SUM(H1088+K1088+N1088+Q1088)</f>
        <v>0</v>
      </c>
      <c r="F1088" s="432">
        <f t="shared" si="137"/>
        <v>0</v>
      </c>
      <c r="G1088" s="128">
        <v>500</v>
      </c>
      <c r="H1088" s="104"/>
      <c r="I1088" s="162">
        <f t="shared" si="134"/>
        <v>0</v>
      </c>
      <c r="J1088" s="193"/>
      <c r="K1088" s="129"/>
      <c r="L1088" s="108"/>
      <c r="M1088" s="129"/>
      <c r="N1088" s="129"/>
      <c r="O1088" s="108"/>
      <c r="P1088" s="129"/>
      <c r="Q1088" s="129"/>
      <c r="R1088" s="200"/>
    </row>
    <row r="1089" spans="1:18" s="185" customFormat="1" ht="36">
      <c r="A1089" s="316">
        <v>4750</v>
      </c>
      <c r="B1089" s="317" t="s">
        <v>467</v>
      </c>
      <c r="C1089" s="229">
        <v>500</v>
      </c>
      <c r="D1089" s="230">
        <f t="shared" si="136"/>
        <v>500</v>
      </c>
      <c r="E1089" s="236">
        <f t="shared" si="135"/>
        <v>28</v>
      </c>
      <c r="F1089" s="446">
        <f t="shared" si="137"/>
        <v>5.6000000000000005</v>
      </c>
      <c r="G1089" s="229">
        <v>500</v>
      </c>
      <c r="H1089" s="230">
        <v>28</v>
      </c>
      <c r="I1089" s="168">
        <f t="shared" si="134"/>
        <v>5.6000000000000005</v>
      </c>
      <c r="J1089" s="233"/>
      <c r="K1089" s="236"/>
      <c r="L1089" s="170"/>
      <c r="M1089" s="236"/>
      <c r="N1089" s="236"/>
      <c r="O1089" s="170"/>
      <c r="P1089" s="236"/>
      <c r="Q1089" s="236"/>
      <c r="R1089" s="238"/>
    </row>
    <row r="1090" spans="1:18" s="185" customFormat="1" ht="25.5" customHeight="1">
      <c r="A1090" s="227"/>
      <c r="B1090" s="474" t="s">
        <v>765</v>
      </c>
      <c r="C1090" s="188">
        <f>SUM(C1091:C1109)</f>
        <v>96000</v>
      </c>
      <c r="D1090" s="137">
        <f t="shared" si="136"/>
        <v>96000</v>
      </c>
      <c r="E1090" s="119">
        <f>H1090+K1090+Q1090+N1090</f>
        <v>73013</v>
      </c>
      <c r="F1090" s="425">
        <f t="shared" si="137"/>
        <v>76.05520833333334</v>
      </c>
      <c r="G1090" s="136">
        <f>SUM(G1091:G1109)</f>
        <v>96000</v>
      </c>
      <c r="H1090" s="189">
        <f>SUM(H1091:H1109)</f>
        <v>73013</v>
      </c>
      <c r="I1090" s="120">
        <f t="shared" si="134"/>
        <v>76.05520833333334</v>
      </c>
      <c r="J1090" s="312"/>
      <c r="K1090" s="311"/>
      <c r="L1090" s="125"/>
      <c r="M1090" s="119"/>
      <c r="N1090" s="119"/>
      <c r="O1090" s="190"/>
      <c r="P1090" s="311"/>
      <c r="Q1090" s="311"/>
      <c r="R1090" s="238"/>
    </row>
    <row r="1091" spans="1:18" s="185" customFormat="1" ht="72" hidden="1">
      <c r="A1091" s="191">
        <v>2820</v>
      </c>
      <c r="B1091" s="458" t="s">
        <v>472</v>
      </c>
      <c r="C1091" s="128"/>
      <c r="D1091" s="104">
        <f t="shared" si="136"/>
        <v>0</v>
      </c>
      <c r="E1091" s="129">
        <f>SUM(H1091+K1091+N1091+Q1091)</f>
        <v>0</v>
      </c>
      <c r="F1091" s="432" t="e">
        <f t="shared" si="137"/>
        <v>#DIV/0!</v>
      </c>
      <c r="G1091" s="128"/>
      <c r="H1091" s="104"/>
      <c r="I1091" s="105" t="e">
        <f>H1091/G1091*100</f>
        <v>#DIV/0!</v>
      </c>
      <c r="J1091" s="288"/>
      <c r="K1091" s="287"/>
      <c r="L1091" s="289"/>
      <c r="M1091" s="287"/>
      <c r="N1091" s="287"/>
      <c r="O1091" s="194"/>
      <c r="P1091" s="287"/>
      <c r="Q1091" s="287"/>
      <c r="R1091" s="200"/>
    </row>
    <row r="1092" spans="1:18" s="185" customFormat="1" ht="26.25" customHeight="1">
      <c r="A1092" s="191">
        <v>4010</v>
      </c>
      <c r="B1092" s="423" t="s">
        <v>346</v>
      </c>
      <c r="C1092" s="128">
        <v>36000</v>
      </c>
      <c r="D1092" s="104">
        <f t="shared" si="136"/>
        <v>36000</v>
      </c>
      <c r="E1092" s="129">
        <f aca="true" t="shared" si="138" ref="E1092:E1132">SUM(H1092+K1092+N1092+Q1092)</f>
        <v>36000</v>
      </c>
      <c r="F1092" s="432">
        <f t="shared" si="137"/>
        <v>100</v>
      </c>
      <c r="G1092" s="128">
        <v>36000</v>
      </c>
      <c r="H1092" s="104">
        <v>36000</v>
      </c>
      <c r="I1092" s="105">
        <f t="shared" si="134"/>
        <v>100</v>
      </c>
      <c r="J1092" s="193"/>
      <c r="K1092" s="129"/>
      <c r="L1092" s="110"/>
      <c r="M1092" s="129"/>
      <c r="N1092" s="129"/>
      <c r="O1092" s="194"/>
      <c r="P1092" s="129"/>
      <c r="Q1092" s="129"/>
      <c r="R1092" s="200"/>
    </row>
    <row r="1093" spans="1:18" s="185" customFormat="1" ht="23.25" customHeight="1">
      <c r="A1093" s="191">
        <v>4040</v>
      </c>
      <c r="B1093" s="423" t="s">
        <v>454</v>
      </c>
      <c r="C1093" s="128">
        <v>12510</v>
      </c>
      <c r="D1093" s="104">
        <f t="shared" si="136"/>
        <v>12510</v>
      </c>
      <c r="E1093" s="129">
        <f t="shared" si="138"/>
        <v>12225</v>
      </c>
      <c r="F1093" s="432">
        <f t="shared" si="137"/>
        <v>97.72182254196643</v>
      </c>
      <c r="G1093" s="128">
        <v>12510</v>
      </c>
      <c r="H1093" s="104">
        <v>12225</v>
      </c>
      <c r="I1093" s="105">
        <f t="shared" si="134"/>
        <v>97.72182254196643</v>
      </c>
      <c r="J1093" s="193"/>
      <c r="K1093" s="129"/>
      <c r="L1093" s="110"/>
      <c r="M1093" s="129"/>
      <c r="N1093" s="129"/>
      <c r="O1093" s="194"/>
      <c r="P1093" s="129"/>
      <c r="Q1093" s="129"/>
      <c r="R1093" s="200"/>
    </row>
    <row r="1094" spans="1:18" s="185" customFormat="1" ht="25.5" customHeight="1">
      <c r="A1094" s="191">
        <v>4110</v>
      </c>
      <c r="B1094" s="423" t="s">
        <v>352</v>
      </c>
      <c r="C1094" s="128">
        <v>8000</v>
      </c>
      <c r="D1094" s="104">
        <f t="shared" si="136"/>
        <v>8000</v>
      </c>
      <c r="E1094" s="129">
        <f t="shared" si="138"/>
        <v>8000</v>
      </c>
      <c r="F1094" s="432">
        <f t="shared" si="137"/>
        <v>100</v>
      </c>
      <c r="G1094" s="128">
        <v>8000</v>
      </c>
      <c r="H1094" s="104">
        <v>8000</v>
      </c>
      <c r="I1094" s="105">
        <f t="shared" si="134"/>
        <v>100</v>
      </c>
      <c r="J1094" s="193"/>
      <c r="K1094" s="129"/>
      <c r="L1094" s="110"/>
      <c r="M1094" s="129"/>
      <c r="N1094" s="129"/>
      <c r="O1094" s="194"/>
      <c r="P1094" s="129"/>
      <c r="Q1094" s="129"/>
      <c r="R1094" s="200"/>
    </row>
    <row r="1095" spans="1:18" s="185" customFormat="1" ht="12.75">
      <c r="A1095" s="191">
        <v>4120</v>
      </c>
      <c r="B1095" s="423" t="s">
        <v>504</v>
      </c>
      <c r="C1095" s="128">
        <v>1200</v>
      </c>
      <c r="D1095" s="104">
        <f t="shared" si="136"/>
        <v>1200</v>
      </c>
      <c r="E1095" s="129">
        <f t="shared" si="138"/>
        <v>1000</v>
      </c>
      <c r="F1095" s="432">
        <f t="shared" si="137"/>
        <v>83.33333333333334</v>
      </c>
      <c r="G1095" s="128">
        <v>1200</v>
      </c>
      <c r="H1095" s="104">
        <v>1000</v>
      </c>
      <c r="I1095" s="105">
        <f t="shared" si="134"/>
        <v>83.33333333333334</v>
      </c>
      <c r="J1095" s="193"/>
      <c r="K1095" s="129"/>
      <c r="L1095" s="110"/>
      <c r="M1095" s="129"/>
      <c r="N1095" s="129"/>
      <c r="O1095" s="194"/>
      <c r="P1095" s="129"/>
      <c r="Q1095" s="129"/>
      <c r="R1095" s="200"/>
    </row>
    <row r="1096" spans="1:18" s="185" customFormat="1" ht="24" hidden="1">
      <c r="A1096" s="191">
        <v>4170</v>
      </c>
      <c r="B1096" s="423" t="s">
        <v>392</v>
      </c>
      <c r="C1096" s="128"/>
      <c r="D1096" s="104">
        <f t="shared" si="136"/>
        <v>0</v>
      </c>
      <c r="E1096" s="129">
        <f>SUM(H1096+K1096+N1096+Q1096)</f>
        <v>0</v>
      </c>
      <c r="F1096" s="432" t="e">
        <f>E1096/D1096*100</f>
        <v>#DIV/0!</v>
      </c>
      <c r="G1096" s="128"/>
      <c r="H1096" s="104"/>
      <c r="I1096" s="105" t="e">
        <f t="shared" si="134"/>
        <v>#DIV/0!</v>
      </c>
      <c r="J1096" s="193"/>
      <c r="K1096" s="129"/>
      <c r="L1096" s="110"/>
      <c r="M1096" s="129"/>
      <c r="N1096" s="129"/>
      <c r="O1096" s="194"/>
      <c r="P1096" s="129"/>
      <c r="Q1096" s="129"/>
      <c r="R1096" s="200"/>
    </row>
    <row r="1097" spans="1:18" s="185" customFormat="1" ht="23.25" customHeight="1">
      <c r="A1097" s="191">
        <v>4210</v>
      </c>
      <c r="B1097" s="423" t="s">
        <v>356</v>
      </c>
      <c r="C1097" s="128">
        <v>2000</v>
      </c>
      <c r="D1097" s="104">
        <f t="shared" si="136"/>
        <v>1750</v>
      </c>
      <c r="E1097" s="129">
        <f t="shared" si="138"/>
        <v>793</v>
      </c>
      <c r="F1097" s="432">
        <f t="shared" si="137"/>
        <v>45.31428571428571</v>
      </c>
      <c r="G1097" s="128">
        <f>2000-250</f>
        <v>1750</v>
      </c>
      <c r="H1097" s="104">
        <v>793</v>
      </c>
      <c r="I1097" s="105">
        <f t="shared" si="134"/>
        <v>45.31428571428571</v>
      </c>
      <c r="J1097" s="193"/>
      <c r="K1097" s="129"/>
      <c r="L1097" s="110"/>
      <c r="M1097" s="129"/>
      <c r="N1097" s="129"/>
      <c r="O1097" s="194"/>
      <c r="P1097" s="129"/>
      <c r="Q1097" s="129"/>
      <c r="R1097" s="200"/>
    </row>
    <row r="1098" spans="1:18" s="185" customFormat="1" ht="12.75">
      <c r="A1098" s="191">
        <v>4260</v>
      </c>
      <c r="B1098" s="423" t="s">
        <v>360</v>
      </c>
      <c r="C1098" s="128">
        <v>26000</v>
      </c>
      <c r="D1098" s="104">
        <f t="shared" si="136"/>
        <v>26000</v>
      </c>
      <c r="E1098" s="129">
        <f t="shared" si="138"/>
        <v>10141</v>
      </c>
      <c r="F1098" s="432">
        <f t="shared" si="137"/>
        <v>39.003846153846155</v>
      </c>
      <c r="G1098" s="128">
        <v>26000</v>
      </c>
      <c r="H1098" s="104">
        <v>10141</v>
      </c>
      <c r="I1098" s="105">
        <f t="shared" si="134"/>
        <v>39.003846153846155</v>
      </c>
      <c r="J1098" s="193"/>
      <c r="K1098" s="129"/>
      <c r="L1098" s="110"/>
      <c r="M1098" s="129"/>
      <c r="N1098" s="129"/>
      <c r="O1098" s="194"/>
      <c r="P1098" s="129"/>
      <c r="Q1098" s="129"/>
      <c r="R1098" s="200"/>
    </row>
    <row r="1099" spans="1:18" s="185" customFormat="1" ht="14.25" customHeight="1" hidden="1">
      <c r="A1099" s="191">
        <v>4270</v>
      </c>
      <c r="B1099" s="423" t="s">
        <v>362</v>
      </c>
      <c r="C1099" s="128"/>
      <c r="D1099" s="104">
        <f t="shared" si="136"/>
        <v>0</v>
      </c>
      <c r="E1099" s="129">
        <f t="shared" si="138"/>
        <v>0</v>
      </c>
      <c r="F1099" s="432" t="e">
        <f t="shared" si="137"/>
        <v>#DIV/0!</v>
      </c>
      <c r="G1099" s="128"/>
      <c r="H1099" s="104"/>
      <c r="I1099" s="105" t="e">
        <f t="shared" si="134"/>
        <v>#DIV/0!</v>
      </c>
      <c r="J1099" s="193"/>
      <c r="K1099" s="129"/>
      <c r="L1099" s="110"/>
      <c r="M1099" s="129"/>
      <c r="N1099" s="129"/>
      <c r="O1099" s="194"/>
      <c r="P1099" s="129"/>
      <c r="Q1099" s="129"/>
      <c r="R1099" s="200"/>
    </row>
    <row r="1100" spans="1:18" s="185" customFormat="1" ht="14.25" customHeight="1">
      <c r="A1100" s="191">
        <v>4280</v>
      </c>
      <c r="B1100" s="423" t="s">
        <v>458</v>
      </c>
      <c r="C1100" s="128"/>
      <c r="D1100" s="104">
        <f t="shared" si="136"/>
        <v>0</v>
      </c>
      <c r="E1100" s="129">
        <f>SUM(H1100+K1100+N1100+Q1100)</f>
        <v>85</v>
      </c>
      <c r="F1100" s="432" t="e">
        <f>E1100/D1100*100</f>
        <v>#DIV/0!</v>
      </c>
      <c r="G1100" s="128"/>
      <c r="H1100" s="104">
        <v>85</v>
      </c>
      <c r="I1100" s="105" t="e">
        <f>H1100/G1100*100</f>
        <v>#DIV/0!</v>
      </c>
      <c r="J1100" s="193"/>
      <c r="K1100" s="129"/>
      <c r="L1100" s="110"/>
      <c r="M1100" s="129"/>
      <c r="N1100" s="129"/>
      <c r="O1100" s="194"/>
      <c r="P1100" s="129"/>
      <c r="Q1100" s="129"/>
      <c r="R1100" s="200"/>
    </row>
    <row r="1101" spans="1:18" s="185" customFormat="1" ht="49.5" customHeight="1">
      <c r="A1101" s="191">
        <v>4290</v>
      </c>
      <c r="B1101" s="423" t="s">
        <v>766</v>
      </c>
      <c r="C1101" s="128"/>
      <c r="D1101" s="104">
        <f t="shared" si="136"/>
        <v>250</v>
      </c>
      <c r="E1101" s="129">
        <f>SUM(H1101+K1101+N1101+Q1101)</f>
        <v>0</v>
      </c>
      <c r="F1101" s="432">
        <f>E1101/D1101*100</f>
        <v>0</v>
      </c>
      <c r="G1101" s="128">
        <v>250</v>
      </c>
      <c r="H1101" s="104"/>
      <c r="I1101" s="105">
        <f>H1101/G1101*100</f>
        <v>0</v>
      </c>
      <c r="J1101" s="193"/>
      <c r="K1101" s="129"/>
      <c r="L1101" s="110"/>
      <c r="M1101" s="129"/>
      <c r="N1101" s="129"/>
      <c r="O1101" s="194"/>
      <c r="P1101" s="129"/>
      <c r="Q1101" s="129"/>
      <c r="R1101" s="200"/>
    </row>
    <row r="1102" spans="1:18" s="185" customFormat="1" ht="14.25" customHeight="1">
      <c r="A1102" s="191">
        <v>4300</v>
      </c>
      <c r="B1102" s="423" t="s">
        <v>459</v>
      </c>
      <c r="C1102" s="128">
        <v>6500</v>
      </c>
      <c r="D1102" s="104">
        <f t="shared" si="136"/>
        <v>6500</v>
      </c>
      <c r="E1102" s="129">
        <f t="shared" si="138"/>
        <v>2970</v>
      </c>
      <c r="F1102" s="432">
        <f t="shared" si="137"/>
        <v>45.69230769230769</v>
      </c>
      <c r="G1102" s="128">
        <v>6500</v>
      </c>
      <c r="H1102" s="104">
        <v>2970</v>
      </c>
      <c r="I1102" s="162">
        <f t="shared" si="134"/>
        <v>45.69230769230769</v>
      </c>
      <c r="J1102" s="193"/>
      <c r="K1102" s="129"/>
      <c r="L1102" s="110"/>
      <c r="M1102" s="129"/>
      <c r="N1102" s="129"/>
      <c r="O1102" s="194"/>
      <c r="P1102" s="129"/>
      <c r="Q1102" s="129"/>
      <c r="R1102" s="200"/>
    </row>
    <row r="1103" spans="1:18" s="185" customFormat="1" ht="48" hidden="1">
      <c r="A1103" s="267">
        <v>4360</v>
      </c>
      <c r="B1103" s="291" t="s">
        <v>461</v>
      </c>
      <c r="C1103" s="128"/>
      <c r="D1103" s="104">
        <f t="shared" si="136"/>
        <v>0</v>
      </c>
      <c r="E1103" s="129">
        <f t="shared" si="138"/>
        <v>0</v>
      </c>
      <c r="F1103" s="432" t="e">
        <f t="shared" si="137"/>
        <v>#DIV/0!</v>
      </c>
      <c r="G1103" s="128"/>
      <c r="H1103" s="104"/>
      <c r="I1103" s="162" t="e">
        <f>H1103/G1103*100</f>
        <v>#DIV/0!</v>
      </c>
      <c r="J1103" s="193"/>
      <c r="K1103" s="129"/>
      <c r="L1103" s="110"/>
      <c r="M1103" s="129"/>
      <c r="N1103" s="129"/>
      <c r="O1103" s="194"/>
      <c r="P1103" s="129"/>
      <c r="Q1103" s="129"/>
      <c r="R1103" s="200"/>
    </row>
    <row r="1104" spans="1:18" s="185" customFormat="1" ht="48">
      <c r="A1104" s="267">
        <v>4370</v>
      </c>
      <c r="B1104" s="291" t="s">
        <v>577</v>
      </c>
      <c r="C1104" s="128">
        <v>1000</v>
      </c>
      <c r="D1104" s="104">
        <f t="shared" si="136"/>
        <v>1000</v>
      </c>
      <c r="E1104" s="129">
        <f t="shared" si="138"/>
        <v>957</v>
      </c>
      <c r="F1104" s="432">
        <f t="shared" si="137"/>
        <v>95.7</v>
      </c>
      <c r="G1104" s="128">
        <v>1000</v>
      </c>
      <c r="H1104" s="104">
        <v>957</v>
      </c>
      <c r="I1104" s="162">
        <f t="shared" si="134"/>
        <v>95.7</v>
      </c>
      <c r="J1104" s="193"/>
      <c r="K1104" s="129"/>
      <c r="L1104" s="110"/>
      <c r="M1104" s="129"/>
      <c r="N1104" s="129"/>
      <c r="O1104" s="194"/>
      <c r="P1104" s="129"/>
      <c r="Q1104" s="129"/>
      <c r="R1104" s="200"/>
    </row>
    <row r="1105" spans="1:18" s="185" customFormat="1" ht="15.75" customHeight="1" hidden="1">
      <c r="A1105" s="191">
        <v>4410</v>
      </c>
      <c r="B1105" s="423" t="s">
        <v>338</v>
      </c>
      <c r="C1105" s="128"/>
      <c r="D1105" s="104">
        <f t="shared" si="136"/>
        <v>0</v>
      </c>
      <c r="E1105" s="129">
        <f t="shared" si="138"/>
        <v>0</v>
      </c>
      <c r="F1105" s="432" t="e">
        <f t="shared" si="137"/>
        <v>#DIV/0!</v>
      </c>
      <c r="G1105" s="128"/>
      <c r="H1105" s="104"/>
      <c r="I1105" s="162" t="e">
        <f t="shared" si="134"/>
        <v>#DIV/0!</v>
      </c>
      <c r="J1105" s="193"/>
      <c r="K1105" s="129"/>
      <c r="L1105" s="110"/>
      <c r="M1105" s="129"/>
      <c r="N1105" s="129"/>
      <c r="O1105" s="194"/>
      <c r="P1105" s="129"/>
      <c r="Q1105" s="129"/>
      <c r="R1105" s="200"/>
    </row>
    <row r="1106" spans="1:18" s="185" customFormat="1" ht="15.75" customHeight="1">
      <c r="A1106" s="191">
        <v>4440</v>
      </c>
      <c r="B1106" s="259" t="s">
        <v>368</v>
      </c>
      <c r="C1106" s="128">
        <v>1300</v>
      </c>
      <c r="D1106" s="104">
        <f t="shared" si="136"/>
        <v>1300</v>
      </c>
      <c r="E1106" s="129">
        <f t="shared" si="138"/>
        <v>0</v>
      </c>
      <c r="F1106" s="432">
        <f t="shared" si="137"/>
        <v>0</v>
      </c>
      <c r="G1106" s="128">
        <v>1300</v>
      </c>
      <c r="H1106" s="104"/>
      <c r="I1106" s="162">
        <f t="shared" si="134"/>
        <v>0</v>
      </c>
      <c r="J1106" s="193"/>
      <c r="K1106" s="129"/>
      <c r="L1106" s="110"/>
      <c r="M1106" s="129"/>
      <c r="N1106" s="129"/>
      <c r="O1106" s="194"/>
      <c r="P1106" s="129"/>
      <c r="Q1106" s="129"/>
      <c r="R1106" s="200"/>
    </row>
    <row r="1107" spans="1:18" s="185" customFormat="1" ht="15.75" customHeight="1">
      <c r="A1107" s="191">
        <v>4480</v>
      </c>
      <c r="B1107" s="423" t="s">
        <v>370</v>
      </c>
      <c r="C1107" s="128">
        <v>900</v>
      </c>
      <c r="D1107" s="104">
        <f t="shared" si="136"/>
        <v>900</v>
      </c>
      <c r="E1107" s="129">
        <f t="shared" si="138"/>
        <v>842</v>
      </c>
      <c r="F1107" s="432">
        <f t="shared" si="137"/>
        <v>93.55555555555556</v>
      </c>
      <c r="G1107" s="128">
        <v>900</v>
      </c>
      <c r="H1107" s="104">
        <v>842</v>
      </c>
      <c r="I1107" s="162">
        <f t="shared" si="134"/>
        <v>93.55555555555556</v>
      </c>
      <c r="J1107" s="193"/>
      <c r="K1107" s="129"/>
      <c r="L1107" s="110"/>
      <c r="M1107" s="129"/>
      <c r="N1107" s="129"/>
      <c r="O1107" s="194"/>
      <c r="P1107" s="129"/>
      <c r="Q1107" s="129"/>
      <c r="R1107" s="200"/>
    </row>
    <row r="1108" spans="1:18" s="185" customFormat="1" ht="60">
      <c r="A1108" s="267">
        <v>4740</v>
      </c>
      <c r="B1108" s="291" t="s">
        <v>380</v>
      </c>
      <c r="C1108" s="128">
        <v>290</v>
      </c>
      <c r="D1108" s="104">
        <f t="shared" si="136"/>
        <v>290</v>
      </c>
      <c r="E1108" s="129">
        <f t="shared" si="138"/>
        <v>0</v>
      </c>
      <c r="F1108" s="432">
        <f t="shared" si="137"/>
        <v>0</v>
      </c>
      <c r="G1108" s="128">
        <v>290</v>
      </c>
      <c r="H1108" s="104"/>
      <c r="I1108" s="162">
        <f t="shared" si="134"/>
        <v>0</v>
      </c>
      <c r="J1108" s="193"/>
      <c r="K1108" s="129"/>
      <c r="L1108" s="110"/>
      <c r="M1108" s="129"/>
      <c r="N1108" s="129"/>
      <c r="O1108" s="194"/>
      <c r="P1108" s="129"/>
      <c r="Q1108" s="129"/>
      <c r="R1108" s="200"/>
    </row>
    <row r="1109" spans="1:18" s="185" customFormat="1" ht="36">
      <c r="A1109" s="316">
        <v>4750</v>
      </c>
      <c r="B1109" s="317" t="s">
        <v>467</v>
      </c>
      <c r="C1109" s="229">
        <v>300</v>
      </c>
      <c r="D1109" s="230">
        <f t="shared" si="136"/>
        <v>300</v>
      </c>
      <c r="E1109" s="236">
        <f t="shared" si="138"/>
        <v>0</v>
      </c>
      <c r="F1109" s="446">
        <f t="shared" si="137"/>
        <v>0</v>
      </c>
      <c r="G1109" s="229">
        <v>300</v>
      </c>
      <c r="H1109" s="230"/>
      <c r="I1109" s="447">
        <f t="shared" si="134"/>
        <v>0</v>
      </c>
      <c r="J1109" s="233"/>
      <c r="K1109" s="236"/>
      <c r="L1109" s="319"/>
      <c r="M1109" s="236"/>
      <c r="N1109" s="236"/>
      <c r="O1109" s="237"/>
      <c r="P1109" s="236"/>
      <c r="Q1109" s="236"/>
      <c r="R1109" s="238"/>
    </row>
    <row r="1110" spans="1:18" s="221" customFormat="1" ht="14.25" customHeight="1">
      <c r="A1110" s="272"/>
      <c r="B1110" s="469" t="s">
        <v>767</v>
      </c>
      <c r="C1110" s="274">
        <f>SUM(C1111:C1132)</f>
        <v>229300</v>
      </c>
      <c r="D1110" s="189">
        <f t="shared" si="136"/>
        <v>230300</v>
      </c>
      <c r="E1110" s="137">
        <f t="shared" si="138"/>
        <v>59142</v>
      </c>
      <c r="F1110" s="446">
        <f t="shared" si="137"/>
        <v>25.6804168475901</v>
      </c>
      <c r="G1110" s="274"/>
      <c r="H1110" s="189"/>
      <c r="I1110" s="447"/>
      <c r="J1110" s="276">
        <f>SUM(J1111:J1132)</f>
        <v>230300</v>
      </c>
      <c r="K1110" s="276">
        <f>SUM(K1111:K1132)</f>
        <v>59142</v>
      </c>
      <c r="L1110" s="127">
        <f>K1110/J1110*100</f>
        <v>25.6804168475901</v>
      </c>
      <c r="M1110" s="189"/>
      <c r="N1110" s="189"/>
      <c r="O1110" s="279"/>
      <c r="P1110" s="189"/>
      <c r="Q1110" s="189"/>
      <c r="R1110" s="280"/>
    </row>
    <row r="1111" spans="1:18" s="269" customFormat="1" ht="36" customHeight="1">
      <c r="A1111" s="267">
        <v>3020</v>
      </c>
      <c r="B1111" s="305" t="s">
        <v>453</v>
      </c>
      <c r="C1111" s="148">
        <v>200</v>
      </c>
      <c r="D1111" s="104">
        <f t="shared" si="136"/>
        <v>200</v>
      </c>
      <c r="E1111" s="129">
        <f>SUM(H1111+K1111+N1111+Q1111)</f>
        <v>0</v>
      </c>
      <c r="F1111" s="105">
        <f>E1111/D1111*100</f>
        <v>0</v>
      </c>
      <c r="G1111" s="160"/>
      <c r="H1111" s="104"/>
      <c r="I1111" s="162"/>
      <c r="J1111" s="109">
        <v>200</v>
      </c>
      <c r="K1111" s="109"/>
      <c r="L1111" s="108">
        <f>K1111/J1111*100</f>
        <v>0</v>
      </c>
      <c r="M1111" s="104"/>
      <c r="N1111" s="104"/>
      <c r="O1111" s="194"/>
      <c r="P1111" s="104"/>
      <c r="Q1111" s="104"/>
      <c r="R1111" s="200"/>
    </row>
    <row r="1112" spans="1:18" s="269" customFormat="1" ht="24">
      <c r="A1112" s="191">
        <v>4010</v>
      </c>
      <c r="B1112" s="423" t="s">
        <v>346</v>
      </c>
      <c r="C1112" s="160">
        <v>121500</v>
      </c>
      <c r="D1112" s="104">
        <f t="shared" si="136"/>
        <v>121500</v>
      </c>
      <c r="E1112" s="129">
        <f t="shared" si="138"/>
        <v>29144</v>
      </c>
      <c r="F1112" s="105">
        <f t="shared" si="137"/>
        <v>23.986831275720164</v>
      </c>
      <c r="G1112" s="160"/>
      <c r="H1112" s="104"/>
      <c r="I1112" s="162"/>
      <c r="J1112" s="160">
        <v>121500</v>
      </c>
      <c r="K1112" s="109">
        <v>29144</v>
      </c>
      <c r="L1112" s="108">
        <f>K1112/J1112*100</f>
        <v>23.986831275720164</v>
      </c>
      <c r="M1112" s="104"/>
      <c r="N1112" s="104"/>
      <c r="O1112" s="194"/>
      <c r="P1112" s="104"/>
      <c r="Q1112" s="104"/>
      <c r="R1112" s="200"/>
    </row>
    <row r="1113" spans="1:18" s="269" customFormat="1" ht="24">
      <c r="A1113" s="191">
        <v>4040</v>
      </c>
      <c r="B1113" s="423" t="s">
        <v>454</v>
      </c>
      <c r="C1113" s="160">
        <v>11300</v>
      </c>
      <c r="D1113" s="104">
        <f t="shared" si="136"/>
        <v>11300</v>
      </c>
      <c r="E1113" s="129">
        <f t="shared" si="138"/>
        <v>9869</v>
      </c>
      <c r="F1113" s="105">
        <f t="shared" si="137"/>
        <v>87.33628318584071</v>
      </c>
      <c r="G1113" s="160"/>
      <c r="H1113" s="104"/>
      <c r="I1113" s="162"/>
      <c r="J1113" s="160">
        <v>11300</v>
      </c>
      <c r="K1113" s="109">
        <v>9869</v>
      </c>
      <c r="L1113" s="108">
        <f aca="true" t="shared" si="139" ref="L1113:L1129">K1113/J1113*100</f>
        <v>87.33628318584071</v>
      </c>
      <c r="M1113" s="104"/>
      <c r="N1113" s="104"/>
      <c r="O1113" s="194"/>
      <c r="P1113" s="104"/>
      <c r="Q1113" s="104"/>
      <c r="R1113" s="200"/>
    </row>
    <row r="1114" spans="1:18" s="269" customFormat="1" ht="24">
      <c r="A1114" s="191">
        <v>4110</v>
      </c>
      <c r="B1114" s="423" t="s">
        <v>352</v>
      </c>
      <c r="C1114" s="160">
        <v>21300</v>
      </c>
      <c r="D1114" s="104">
        <f t="shared" si="136"/>
        <v>21300</v>
      </c>
      <c r="E1114" s="129">
        <f t="shared" si="138"/>
        <v>6042</v>
      </c>
      <c r="F1114" s="105">
        <f t="shared" si="137"/>
        <v>28.366197183098592</v>
      </c>
      <c r="G1114" s="160"/>
      <c r="H1114" s="104"/>
      <c r="I1114" s="162"/>
      <c r="J1114" s="160">
        <v>21300</v>
      </c>
      <c r="K1114" s="109">
        <v>6042</v>
      </c>
      <c r="L1114" s="108">
        <f t="shared" si="139"/>
        <v>28.366197183098592</v>
      </c>
      <c r="M1114" s="104"/>
      <c r="N1114" s="104"/>
      <c r="O1114" s="194"/>
      <c r="P1114" s="104"/>
      <c r="Q1114" s="104"/>
      <c r="R1114" s="200"/>
    </row>
    <row r="1115" spans="1:18" s="269" customFormat="1" ht="14.25" customHeight="1">
      <c r="A1115" s="191">
        <v>4120</v>
      </c>
      <c r="B1115" s="423" t="s">
        <v>504</v>
      </c>
      <c r="C1115" s="160">
        <v>3300</v>
      </c>
      <c r="D1115" s="104">
        <f t="shared" si="136"/>
        <v>3300</v>
      </c>
      <c r="E1115" s="129">
        <f t="shared" si="138"/>
        <v>924</v>
      </c>
      <c r="F1115" s="105">
        <f>E1115/D1115*100</f>
        <v>28.000000000000004</v>
      </c>
      <c r="G1115" s="160"/>
      <c r="H1115" s="104"/>
      <c r="I1115" s="162"/>
      <c r="J1115" s="160">
        <v>3300</v>
      </c>
      <c r="K1115" s="109">
        <v>924</v>
      </c>
      <c r="L1115" s="108">
        <f t="shared" si="139"/>
        <v>28.000000000000004</v>
      </c>
      <c r="M1115" s="104"/>
      <c r="N1115" s="104"/>
      <c r="O1115" s="194"/>
      <c r="P1115" s="104"/>
      <c r="Q1115" s="104"/>
      <c r="R1115" s="200"/>
    </row>
    <row r="1116" spans="1:18" s="269" customFormat="1" ht="24" hidden="1">
      <c r="A1116" s="191">
        <v>4170</v>
      </c>
      <c r="B1116" s="423" t="s">
        <v>392</v>
      </c>
      <c r="C1116" s="160"/>
      <c r="D1116" s="104">
        <f t="shared" si="136"/>
        <v>0</v>
      </c>
      <c r="E1116" s="129">
        <f>SUM(H1116+K1116+N1116+Q1116)</f>
        <v>0</v>
      </c>
      <c r="F1116" s="105" t="e">
        <f>E1116/D1116*100</f>
        <v>#DIV/0!</v>
      </c>
      <c r="G1116" s="160"/>
      <c r="H1116" s="104"/>
      <c r="I1116" s="162"/>
      <c r="J1116" s="160"/>
      <c r="K1116" s="109"/>
      <c r="L1116" s="108" t="e">
        <f t="shared" si="139"/>
        <v>#DIV/0!</v>
      </c>
      <c r="M1116" s="104"/>
      <c r="N1116" s="104"/>
      <c r="O1116" s="194"/>
      <c r="P1116" s="104"/>
      <c r="Q1116" s="104"/>
      <c r="R1116" s="200"/>
    </row>
    <row r="1117" spans="1:18" s="269" customFormat="1" ht="24">
      <c r="A1117" s="191">
        <v>4210</v>
      </c>
      <c r="B1117" s="423" t="s">
        <v>356</v>
      </c>
      <c r="C1117" s="160">
        <v>10400</v>
      </c>
      <c r="D1117" s="104">
        <f t="shared" si="136"/>
        <v>10400</v>
      </c>
      <c r="E1117" s="129">
        <f t="shared" si="138"/>
        <v>206</v>
      </c>
      <c r="F1117" s="105">
        <f aca="true" t="shared" si="140" ref="F1117:F1160">E1117/D1117*100</f>
        <v>1.9807692307692308</v>
      </c>
      <c r="G1117" s="160"/>
      <c r="H1117" s="104"/>
      <c r="I1117" s="162"/>
      <c r="J1117" s="160">
        <v>10400</v>
      </c>
      <c r="K1117" s="109">
        <v>206</v>
      </c>
      <c r="L1117" s="108">
        <f t="shared" si="139"/>
        <v>1.9807692307692308</v>
      </c>
      <c r="M1117" s="104"/>
      <c r="N1117" s="104"/>
      <c r="O1117" s="194"/>
      <c r="P1117" s="104"/>
      <c r="Q1117" s="104"/>
      <c r="R1117" s="200"/>
    </row>
    <row r="1118" spans="1:18" s="269" customFormat="1" ht="24">
      <c r="A1118" s="191">
        <v>4220</v>
      </c>
      <c r="B1118" s="423" t="s">
        <v>633</v>
      </c>
      <c r="C1118" s="160">
        <v>8700</v>
      </c>
      <c r="D1118" s="104">
        <f t="shared" si="136"/>
        <v>8700</v>
      </c>
      <c r="E1118" s="129">
        <f t="shared" si="138"/>
        <v>2991</v>
      </c>
      <c r="F1118" s="105">
        <f t="shared" si="140"/>
        <v>34.37931034482759</v>
      </c>
      <c r="G1118" s="160"/>
      <c r="H1118" s="104"/>
      <c r="I1118" s="162"/>
      <c r="J1118" s="160">
        <v>8700</v>
      </c>
      <c r="K1118" s="109">
        <v>2991</v>
      </c>
      <c r="L1118" s="108">
        <f t="shared" si="139"/>
        <v>34.37931034482759</v>
      </c>
      <c r="M1118" s="104"/>
      <c r="N1118" s="104"/>
      <c r="O1118" s="194"/>
      <c r="P1118" s="104"/>
      <c r="Q1118" s="104"/>
      <c r="R1118" s="200"/>
    </row>
    <row r="1119" spans="1:18" s="269" customFormat="1" ht="24">
      <c r="A1119" s="191">
        <v>4230</v>
      </c>
      <c r="B1119" s="423" t="s">
        <v>358</v>
      </c>
      <c r="C1119" s="160">
        <v>100</v>
      </c>
      <c r="D1119" s="104">
        <f t="shared" si="136"/>
        <v>100</v>
      </c>
      <c r="E1119" s="129">
        <f t="shared" si="138"/>
        <v>0</v>
      </c>
      <c r="F1119" s="105">
        <f t="shared" si="140"/>
        <v>0</v>
      </c>
      <c r="G1119" s="160"/>
      <c r="H1119" s="104"/>
      <c r="I1119" s="162"/>
      <c r="J1119" s="160">
        <v>100</v>
      </c>
      <c r="K1119" s="109"/>
      <c r="L1119" s="108">
        <f t="shared" si="139"/>
        <v>0</v>
      </c>
      <c r="M1119" s="104"/>
      <c r="N1119" s="104"/>
      <c r="O1119" s="194"/>
      <c r="P1119" s="104"/>
      <c r="Q1119" s="104"/>
      <c r="R1119" s="200"/>
    </row>
    <row r="1120" spans="1:18" s="269" customFormat="1" ht="14.25" customHeight="1">
      <c r="A1120" s="191">
        <v>4260</v>
      </c>
      <c r="B1120" s="423" t="s">
        <v>360</v>
      </c>
      <c r="C1120" s="160">
        <v>13100</v>
      </c>
      <c r="D1120" s="104">
        <f t="shared" si="136"/>
        <v>13100</v>
      </c>
      <c r="E1120" s="129">
        <f t="shared" si="138"/>
        <v>2935</v>
      </c>
      <c r="F1120" s="105">
        <f t="shared" si="140"/>
        <v>22.404580152671755</v>
      </c>
      <c r="G1120" s="160"/>
      <c r="H1120" s="104"/>
      <c r="I1120" s="162"/>
      <c r="J1120" s="160">
        <v>13100</v>
      </c>
      <c r="K1120" s="109">
        <f>3910-975</f>
        <v>2935</v>
      </c>
      <c r="L1120" s="108">
        <f t="shared" si="139"/>
        <v>22.404580152671755</v>
      </c>
      <c r="M1120" s="104"/>
      <c r="N1120" s="104"/>
      <c r="O1120" s="194"/>
      <c r="P1120" s="104"/>
      <c r="Q1120" s="104"/>
      <c r="R1120" s="200"/>
    </row>
    <row r="1121" spans="1:18" s="269" customFormat="1" ht="14.25" customHeight="1" hidden="1">
      <c r="A1121" s="191">
        <v>4270</v>
      </c>
      <c r="B1121" s="423" t="s">
        <v>362</v>
      </c>
      <c r="C1121" s="160"/>
      <c r="D1121" s="104">
        <f t="shared" si="136"/>
        <v>0</v>
      </c>
      <c r="E1121" s="129">
        <f>SUM(H1121+K1121+N1121+Q1121)</f>
        <v>0</v>
      </c>
      <c r="F1121" s="105" t="e">
        <f>E1121/D1121*100</f>
        <v>#DIV/0!</v>
      </c>
      <c r="G1121" s="160"/>
      <c r="H1121" s="104"/>
      <c r="I1121" s="162"/>
      <c r="J1121" s="160"/>
      <c r="K1121" s="109"/>
      <c r="L1121" s="108" t="e">
        <f t="shared" si="139"/>
        <v>#DIV/0!</v>
      </c>
      <c r="M1121" s="104"/>
      <c r="N1121" s="104"/>
      <c r="O1121" s="194"/>
      <c r="P1121" s="104"/>
      <c r="Q1121" s="104"/>
      <c r="R1121" s="200"/>
    </row>
    <row r="1122" spans="1:18" s="269" customFormat="1" ht="14.25" customHeight="1">
      <c r="A1122" s="191">
        <v>4280</v>
      </c>
      <c r="B1122" s="423" t="s">
        <v>458</v>
      </c>
      <c r="C1122" s="160">
        <v>200</v>
      </c>
      <c r="D1122" s="104">
        <f t="shared" si="136"/>
        <v>200</v>
      </c>
      <c r="E1122" s="129">
        <f>SUM(H1122+K1122+N1122+Q1122)</f>
        <v>0</v>
      </c>
      <c r="F1122" s="105">
        <f>E1122/D1122*100</f>
        <v>0</v>
      </c>
      <c r="G1122" s="160"/>
      <c r="H1122" s="104"/>
      <c r="I1122" s="162"/>
      <c r="J1122" s="160">
        <v>200</v>
      </c>
      <c r="K1122" s="109"/>
      <c r="L1122" s="108">
        <f t="shared" si="139"/>
        <v>0</v>
      </c>
      <c r="M1122" s="104"/>
      <c r="N1122" s="104"/>
      <c r="O1122" s="194"/>
      <c r="P1122" s="104"/>
      <c r="Q1122" s="104"/>
      <c r="R1122" s="200"/>
    </row>
    <row r="1123" spans="1:18" s="269" customFormat="1" ht="14.25" customHeight="1">
      <c r="A1123" s="191">
        <v>4300</v>
      </c>
      <c r="B1123" s="423" t="s">
        <v>459</v>
      </c>
      <c r="C1123" s="160">
        <v>11400</v>
      </c>
      <c r="D1123" s="104">
        <f t="shared" si="136"/>
        <v>11400</v>
      </c>
      <c r="E1123" s="129">
        <f t="shared" si="138"/>
        <v>1248</v>
      </c>
      <c r="F1123" s="105">
        <f t="shared" si="140"/>
        <v>10.947368421052632</v>
      </c>
      <c r="G1123" s="160"/>
      <c r="H1123" s="104"/>
      <c r="I1123" s="162"/>
      <c r="J1123" s="160">
        <v>11400</v>
      </c>
      <c r="K1123" s="109">
        <v>1248</v>
      </c>
      <c r="L1123" s="108">
        <f t="shared" si="139"/>
        <v>10.947368421052632</v>
      </c>
      <c r="M1123" s="104"/>
      <c r="N1123" s="104"/>
      <c r="O1123" s="194"/>
      <c r="P1123" s="104"/>
      <c r="Q1123" s="104"/>
      <c r="R1123" s="200"/>
    </row>
    <row r="1124" spans="1:18" s="269" customFormat="1" ht="24">
      <c r="A1124" s="191">
        <v>4350</v>
      </c>
      <c r="B1124" s="198" t="s">
        <v>460</v>
      </c>
      <c r="C1124" s="160">
        <v>1000</v>
      </c>
      <c r="D1124" s="104">
        <f t="shared" si="136"/>
        <v>1000</v>
      </c>
      <c r="E1124" s="129">
        <f>SUM(H1124+K1124+N1124+Q1124)</f>
        <v>318</v>
      </c>
      <c r="F1124" s="105">
        <f>E1124/D1124*100</f>
        <v>31.8</v>
      </c>
      <c r="G1124" s="160"/>
      <c r="H1124" s="104"/>
      <c r="I1124" s="162"/>
      <c r="J1124" s="160">
        <v>1000</v>
      </c>
      <c r="K1124" s="109">
        <v>318</v>
      </c>
      <c r="L1124" s="108">
        <f t="shared" si="139"/>
        <v>31.8</v>
      </c>
      <c r="M1124" s="104"/>
      <c r="N1124" s="104"/>
      <c r="O1124" s="194"/>
      <c r="P1124" s="104"/>
      <c r="Q1124" s="104"/>
      <c r="R1124" s="200"/>
    </row>
    <row r="1125" spans="1:18" s="269" customFormat="1" ht="48">
      <c r="A1125" s="267">
        <v>4370</v>
      </c>
      <c r="B1125" s="291" t="s">
        <v>577</v>
      </c>
      <c r="C1125" s="160">
        <v>2400</v>
      </c>
      <c r="D1125" s="104">
        <f t="shared" si="136"/>
        <v>2400</v>
      </c>
      <c r="E1125" s="129">
        <f>SUM(H1125+K1125+N1125+Q1125)</f>
        <v>695</v>
      </c>
      <c r="F1125" s="105">
        <f>E1125/D1125*100</f>
        <v>28.958333333333336</v>
      </c>
      <c r="G1125" s="160"/>
      <c r="H1125" s="104"/>
      <c r="I1125" s="162"/>
      <c r="J1125" s="160">
        <v>2400</v>
      </c>
      <c r="K1125" s="109">
        <v>695</v>
      </c>
      <c r="L1125" s="108">
        <f t="shared" si="139"/>
        <v>28.958333333333336</v>
      </c>
      <c r="M1125" s="104"/>
      <c r="N1125" s="104"/>
      <c r="O1125" s="194"/>
      <c r="P1125" s="104"/>
      <c r="Q1125" s="104"/>
      <c r="R1125" s="200"/>
    </row>
    <row r="1126" spans="1:18" s="269" customFormat="1" ht="24">
      <c r="A1126" s="267">
        <v>4400</v>
      </c>
      <c r="B1126" s="291" t="s">
        <v>463</v>
      </c>
      <c r="C1126" s="160">
        <v>17100</v>
      </c>
      <c r="D1126" s="104">
        <f t="shared" si="136"/>
        <v>17100</v>
      </c>
      <c r="E1126" s="129">
        <f>SUM(H1126+K1126+N1126+Q1126)</f>
        <v>4256</v>
      </c>
      <c r="F1126" s="105">
        <f>E1126/D1126*100</f>
        <v>24.88888888888889</v>
      </c>
      <c r="G1126" s="160"/>
      <c r="H1126" s="104"/>
      <c r="I1126" s="162"/>
      <c r="J1126" s="160">
        <v>17100</v>
      </c>
      <c r="K1126" s="109">
        <v>4256</v>
      </c>
      <c r="L1126" s="108">
        <f t="shared" si="139"/>
        <v>24.88888888888889</v>
      </c>
      <c r="M1126" s="104"/>
      <c r="N1126" s="104"/>
      <c r="O1126" s="194"/>
      <c r="P1126" s="104"/>
      <c r="Q1126" s="104"/>
      <c r="R1126" s="200"/>
    </row>
    <row r="1127" spans="1:18" s="269" customFormat="1" ht="24">
      <c r="A1127" s="267">
        <v>4410</v>
      </c>
      <c r="B1127" s="305" t="s">
        <v>338</v>
      </c>
      <c r="C1127" s="160">
        <v>200</v>
      </c>
      <c r="D1127" s="104">
        <f t="shared" si="136"/>
        <v>200</v>
      </c>
      <c r="E1127" s="129">
        <f>SUM(H1127+K1127+N1127+Q1127)</f>
        <v>0</v>
      </c>
      <c r="F1127" s="105">
        <f>E1127/D1127*100</f>
        <v>0</v>
      </c>
      <c r="G1127" s="160"/>
      <c r="H1127" s="104"/>
      <c r="I1127" s="162"/>
      <c r="J1127" s="160">
        <v>200</v>
      </c>
      <c r="K1127" s="109"/>
      <c r="L1127" s="108">
        <f t="shared" si="139"/>
        <v>0</v>
      </c>
      <c r="M1127" s="104"/>
      <c r="N1127" s="104"/>
      <c r="O1127" s="194"/>
      <c r="P1127" s="104"/>
      <c r="Q1127" s="104"/>
      <c r="R1127" s="200"/>
    </row>
    <row r="1128" spans="1:18" s="269" customFormat="1" ht="14.25" customHeight="1">
      <c r="A1128" s="191">
        <v>4430</v>
      </c>
      <c r="B1128" s="423" t="s">
        <v>366</v>
      </c>
      <c r="C1128" s="160">
        <v>100</v>
      </c>
      <c r="D1128" s="104">
        <f t="shared" si="136"/>
        <v>100</v>
      </c>
      <c r="E1128" s="129">
        <f t="shared" si="138"/>
        <v>0</v>
      </c>
      <c r="F1128" s="105">
        <f t="shared" si="140"/>
        <v>0</v>
      </c>
      <c r="G1128" s="160"/>
      <c r="H1128" s="104"/>
      <c r="I1128" s="162"/>
      <c r="J1128" s="160">
        <v>100</v>
      </c>
      <c r="K1128" s="109"/>
      <c r="L1128" s="108">
        <f t="shared" si="139"/>
        <v>0</v>
      </c>
      <c r="M1128" s="104"/>
      <c r="N1128" s="104"/>
      <c r="O1128" s="194"/>
      <c r="P1128" s="104"/>
      <c r="Q1128" s="104"/>
      <c r="R1128" s="200"/>
    </row>
    <row r="1129" spans="1:18" s="269" customFormat="1" ht="14.25" customHeight="1">
      <c r="A1129" s="191">
        <v>4440</v>
      </c>
      <c r="B1129" s="423" t="s">
        <v>368</v>
      </c>
      <c r="C1129" s="160">
        <v>4700</v>
      </c>
      <c r="D1129" s="104">
        <f t="shared" si="136"/>
        <v>4700</v>
      </c>
      <c r="E1129" s="129">
        <f t="shared" si="138"/>
        <v>0</v>
      </c>
      <c r="F1129" s="105">
        <f t="shared" si="140"/>
        <v>0</v>
      </c>
      <c r="G1129" s="160"/>
      <c r="H1129" s="104"/>
      <c r="I1129" s="162"/>
      <c r="J1129" s="160">
        <v>4700</v>
      </c>
      <c r="K1129" s="109"/>
      <c r="L1129" s="108">
        <f t="shared" si="139"/>
        <v>0</v>
      </c>
      <c r="M1129" s="104"/>
      <c r="N1129" s="104"/>
      <c r="O1129" s="194"/>
      <c r="P1129" s="104"/>
      <c r="Q1129" s="104"/>
      <c r="R1129" s="200"/>
    </row>
    <row r="1130" spans="1:18" s="269" customFormat="1" ht="13.5" customHeight="1">
      <c r="A1130" s="191">
        <v>4480</v>
      </c>
      <c r="B1130" s="259" t="s">
        <v>370</v>
      </c>
      <c r="C1130" s="160">
        <v>1100</v>
      </c>
      <c r="D1130" s="104">
        <f t="shared" si="136"/>
        <v>2100</v>
      </c>
      <c r="E1130" s="129">
        <f t="shared" si="138"/>
        <v>514</v>
      </c>
      <c r="F1130" s="105">
        <f t="shared" si="140"/>
        <v>24.476190476190478</v>
      </c>
      <c r="G1130" s="160"/>
      <c r="H1130" s="104"/>
      <c r="I1130" s="162"/>
      <c r="J1130" s="160">
        <f>1100+1000</f>
        <v>2100</v>
      </c>
      <c r="K1130" s="109">
        <v>514</v>
      </c>
      <c r="L1130" s="108">
        <f>K1130/J1130*100</f>
        <v>24.476190476190478</v>
      </c>
      <c r="M1130" s="104"/>
      <c r="N1130" s="104"/>
      <c r="O1130" s="194"/>
      <c r="P1130" s="104"/>
      <c r="Q1130" s="104"/>
      <c r="R1130" s="200"/>
    </row>
    <row r="1131" spans="1:18" s="269" customFormat="1" ht="60">
      <c r="A1131" s="267">
        <v>4740</v>
      </c>
      <c r="B1131" s="291" t="s">
        <v>380</v>
      </c>
      <c r="C1131" s="160">
        <v>600</v>
      </c>
      <c r="D1131" s="104">
        <f t="shared" si="136"/>
        <v>600</v>
      </c>
      <c r="E1131" s="129">
        <f>SUM(H1131+K1131+N1131+Q1131)</f>
        <v>0</v>
      </c>
      <c r="F1131" s="105">
        <f>E1131/D1131*100</f>
        <v>0</v>
      </c>
      <c r="G1131" s="160"/>
      <c r="H1131" s="104"/>
      <c r="I1131" s="162"/>
      <c r="J1131" s="160">
        <v>600</v>
      </c>
      <c r="K1131" s="109"/>
      <c r="L1131" s="108">
        <f>K1131/J1131*100</f>
        <v>0</v>
      </c>
      <c r="M1131" s="104"/>
      <c r="N1131" s="104"/>
      <c r="O1131" s="194"/>
      <c r="P1131" s="104"/>
      <c r="Q1131" s="104"/>
      <c r="R1131" s="200"/>
    </row>
    <row r="1132" spans="1:18" s="269" customFormat="1" ht="36">
      <c r="A1132" s="316">
        <v>4750</v>
      </c>
      <c r="B1132" s="317" t="s">
        <v>467</v>
      </c>
      <c r="C1132" s="270">
        <v>600</v>
      </c>
      <c r="D1132" s="230">
        <f t="shared" si="136"/>
        <v>600</v>
      </c>
      <c r="E1132" s="236">
        <f t="shared" si="138"/>
        <v>0</v>
      </c>
      <c r="F1132" s="168">
        <f t="shared" si="140"/>
        <v>0</v>
      </c>
      <c r="G1132" s="270"/>
      <c r="H1132" s="230"/>
      <c r="I1132" s="447"/>
      <c r="J1132" s="270">
        <v>600</v>
      </c>
      <c r="K1132" s="231"/>
      <c r="L1132" s="170">
        <f>K1132/J1132*100</f>
        <v>0</v>
      </c>
      <c r="M1132" s="230"/>
      <c r="N1132" s="230"/>
      <c r="O1132" s="237"/>
      <c r="P1132" s="230"/>
      <c r="Q1132" s="230"/>
      <c r="R1132" s="238"/>
    </row>
    <row r="1133" spans="1:18" s="221" customFormat="1" ht="24">
      <c r="A1133" s="239"/>
      <c r="B1133" s="472" t="s">
        <v>768</v>
      </c>
      <c r="C1133" s="136">
        <f>SUM(C1134:C1153)</f>
        <v>231300</v>
      </c>
      <c r="D1133" s="137">
        <f t="shared" si="136"/>
        <v>230300</v>
      </c>
      <c r="E1133" s="137">
        <f>H1133+K1133+Q1133+N1133</f>
        <v>59765</v>
      </c>
      <c r="F1133" s="425">
        <f t="shared" si="140"/>
        <v>25.950933564915328</v>
      </c>
      <c r="G1133" s="136"/>
      <c r="H1133" s="137"/>
      <c r="I1133" s="297"/>
      <c r="J1133" s="140">
        <f>SUM(J1134:J1153)</f>
        <v>230300</v>
      </c>
      <c r="K1133" s="140">
        <f>SUM(K1134:K1153)</f>
        <v>59765</v>
      </c>
      <c r="L1133" s="127">
        <f>K1133/J1133*100</f>
        <v>25.950933564915328</v>
      </c>
      <c r="M1133" s="137"/>
      <c r="N1133" s="137"/>
      <c r="O1133" s="265"/>
      <c r="P1133" s="137"/>
      <c r="Q1133" s="137"/>
      <c r="R1133" s="266"/>
    </row>
    <row r="1134" spans="1:18" s="269" customFormat="1" ht="36" customHeight="1">
      <c r="A1134" s="267">
        <v>3020</v>
      </c>
      <c r="B1134" s="305" t="s">
        <v>453</v>
      </c>
      <c r="C1134" s="148">
        <v>200</v>
      </c>
      <c r="D1134" s="104">
        <f t="shared" si="136"/>
        <v>200</v>
      </c>
      <c r="E1134" s="129">
        <f>SUM(H1134+K1134+N1134+Q1134)</f>
        <v>0</v>
      </c>
      <c r="F1134" s="105">
        <f t="shared" si="140"/>
        <v>0</v>
      </c>
      <c r="G1134" s="160"/>
      <c r="H1134" s="104"/>
      <c r="I1134" s="162"/>
      <c r="J1134" s="109">
        <v>200</v>
      </c>
      <c r="K1134" s="109"/>
      <c r="L1134" s="108">
        <f>K1134/J1134*100</f>
        <v>0</v>
      </c>
      <c r="M1134" s="104"/>
      <c r="N1134" s="104"/>
      <c r="O1134" s="194"/>
      <c r="P1134" s="104"/>
      <c r="Q1134" s="104"/>
      <c r="R1134" s="200"/>
    </row>
    <row r="1135" spans="1:18" s="185" customFormat="1" ht="24.75" customHeight="1">
      <c r="A1135" s="191">
        <v>4010</v>
      </c>
      <c r="B1135" s="423" t="s">
        <v>346</v>
      </c>
      <c r="C1135" s="128">
        <v>121000</v>
      </c>
      <c r="D1135" s="104">
        <f t="shared" si="136"/>
        <v>121000</v>
      </c>
      <c r="E1135" s="104">
        <f>H1135+K1135+Q1135+N1135</f>
        <v>29455</v>
      </c>
      <c r="F1135" s="432">
        <f t="shared" si="140"/>
        <v>24.34297520661157</v>
      </c>
      <c r="G1135" s="160"/>
      <c r="H1135" s="104"/>
      <c r="I1135" s="162"/>
      <c r="J1135" s="128">
        <v>121000</v>
      </c>
      <c r="K1135" s="129">
        <v>29455</v>
      </c>
      <c r="L1135" s="108">
        <f aca="true" t="shared" si="141" ref="L1135:L1153">K1135/J1135*100</f>
        <v>24.34297520661157</v>
      </c>
      <c r="M1135" s="129"/>
      <c r="N1135" s="129"/>
      <c r="O1135" s="194"/>
      <c r="P1135" s="129"/>
      <c r="Q1135" s="129"/>
      <c r="R1135" s="200"/>
    </row>
    <row r="1136" spans="1:18" s="185" customFormat="1" ht="27" customHeight="1">
      <c r="A1136" s="191">
        <v>4040</v>
      </c>
      <c r="B1136" s="423" t="s">
        <v>454</v>
      </c>
      <c r="C1136" s="128">
        <v>10500</v>
      </c>
      <c r="D1136" s="104">
        <f t="shared" si="136"/>
        <v>10500</v>
      </c>
      <c r="E1136" s="104">
        <f>H1136+K1136+Q1136+N1136</f>
        <v>9531</v>
      </c>
      <c r="F1136" s="432">
        <f t="shared" si="140"/>
        <v>90.77142857142857</v>
      </c>
      <c r="G1136" s="160"/>
      <c r="H1136" s="104"/>
      <c r="I1136" s="162"/>
      <c r="J1136" s="128">
        <v>10500</v>
      </c>
      <c r="K1136" s="129">
        <v>9531</v>
      </c>
      <c r="L1136" s="108">
        <f t="shared" si="141"/>
        <v>90.77142857142857</v>
      </c>
      <c r="M1136" s="129"/>
      <c r="N1136" s="129"/>
      <c r="O1136" s="194"/>
      <c r="P1136" s="129"/>
      <c r="Q1136" s="129"/>
      <c r="R1136" s="200"/>
    </row>
    <row r="1137" spans="1:18" s="185" customFormat="1" ht="24" customHeight="1">
      <c r="A1137" s="191">
        <v>4110</v>
      </c>
      <c r="B1137" s="423" t="s">
        <v>352</v>
      </c>
      <c r="C1137" s="128">
        <v>20900</v>
      </c>
      <c r="D1137" s="104">
        <f t="shared" si="136"/>
        <v>20900</v>
      </c>
      <c r="E1137" s="104">
        <f t="shared" si="136"/>
        <v>6245</v>
      </c>
      <c r="F1137" s="432">
        <f t="shared" si="140"/>
        <v>29.880382775119617</v>
      </c>
      <c r="G1137" s="160"/>
      <c r="H1137" s="104"/>
      <c r="I1137" s="162"/>
      <c r="J1137" s="128">
        <v>20900</v>
      </c>
      <c r="K1137" s="129">
        <f>6246-1</f>
        <v>6245</v>
      </c>
      <c r="L1137" s="108">
        <f t="shared" si="141"/>
        <v>29.880382775119617</v>
      </c>
      <c r="M1137" s="129"/>
      <c r="N1137" s="129"/>
      <c r="O1137" s="194"/>
      <c r="P1137" s="129"/>
      <c r="Q1137" s="129"/>
      <c r="R1137" s="200"/>
    </row>
    <row r="1138" spans="1:18" s="185" customFormat="1" ht="14.25" customHeight="1">
      <c r="A1138" s="191">
        <v>4120</v>
      </c>
      <c r="B1138" s="423" t="s">
        <v>504</v>
      </c>
      <c r="C1138" s="128">
        <v>3200</v>
      </c>
      <c r="D1138" s="104">
        <f t="shared" si="136"/>
        <v>3200</v>
      </c>
      <c r="E1138" s="104">
        <f t="shared" si="136"/>
        <v>955</v>
      </c>
      <c r="F1138" s="432">
        <f t="shared" si="140"/>
        <v>29.843750000000004</v>
      </c>
      <c r="G1138" s="160"/>
      <c r="H1138" s="104"/>
      <c r="I1138" s="162"/>
      <c r="J1138" s="128">
        <v>3200</v>
      </c>
      <c r="K1138" s="129">
        <v>955</v>
      </c>
      <c r="L1138" s="108">
        <f t="shared" si="141"/>
        <v>29.843750000000004</v>
      </c>
      <c r="M1138" s="129"/>
      <c r="N1138" s="129"/>
      <c r="O1138" s="194"/>
      <c r="P1138" s="129"/>
      <c r="Q1138" s="129"/>
      <c r="R1138" s="200"/>
    </row>
    <row r="1139" spans="1:18" s="185" customFormat="1" ht="24" hidden="1">
      <c r="A1139" s="191">
        <v>4170</v>
      </c>
      <c r="B1139" s="423" t="s">
        <v>392</v>
      </c>
      <c r="C1139" s="128"/>
      <c r="D1139" s="104">
        <f>G1139+J1139+P1139+M1139</f>
        <v>0</v>
      </c>
      <c r="E1139" s="104">
        <f>H1139+K1139+Q1139+N1139</f>
        <v>0</v>
      </c>
      <c r="F1139" s="432" t="e">
        <f>E1139/D1139*100</f>
        <v>#DIV/0!</v>
      </c>
      <c r="G1139" s="160"/>
      <c r="H1139" s="104"/>
      <c r="I1139" s="162"/>
      <c r="J1139" s="128"/>
      <c r="K1139" s="129"/>
      <c r="L1139" s="108"/>
      <c r="M1139" s="129"/>
      <c r="N1139" s="129"/>
      <c r="O1139" s="194"/>
      <c r="P1139" s="129"/>
      <c r="Q1139" s="129"/>
      <c r="R1139" s="200"/>
    </row>
    <row r="1140" spans="1:18" s="185" customFormat="1" ht="24" customHeight="1">
      <c r="A1140" s="191">
        <v>4210</v>
      </c>
      <c r="B1140" s="423" t="s">
        <v>356</v>
      </c>
      <c r="C1140" s="128">
        <v>5300</v>
      </c>
      <c r="D1140" s="104">
        <f t="shared" si="136"/>
        <v>5300</v>
      </c>
      <c r="E1140" s="104">
        <f t="shared" si="136"/>
        <v>187</v>
      </c>
      <c r="F1140" s="432">
        <f t="shared" si="140"/>
        <v>3.528301886792453</v>
      </c>
      <c r="G1140" s="160"/>
      <c r="H1140" s="104"/>
      <c r="I1140" s="162"/>
      <c r="J1140" s="128">
        <v>5300</v>
      </c>
      <c r="K1140" s="129">
        <v>187</v>
      </c>
      <c r="L1140" s="108">
        <f t="shared" si="141"/>
        <v>3.528301886792453</v>
      </c>
      <c r="M1140" s="129"/>
      <c r="N1140" s="129"/>
      <c r="O1140" s="194"/>
      <c r="P1140" s="129"/>
      <c r="Q1140" s="129"/>
      <c r="R1140" s="200"/>
    </row>
    <row r="1141" spans="1:18" s="185" customFormat="1" ht="24">
      <c r="A1141" s="191">
        <v>4220</v>
      </c>
      <c r="B1141" s="423" t="s">
        <v>633</v>
      </c>
      <c r="C1141" s="128">
        <v>6100</v>
      </c>
      <c r="D1141" s="104">
        <f t="shared" si="136"/>
        <v>6100</v>
      </c>
      <c r="E1141" s="104">
        <f t="shared" si="136"/>
        <v>1630</v>
      </c>
      <c r="F1141" s="432">
        <f t="shared" si="140"/>
        <v>26.721311475409838</v>
      </c>
      <c r="G1141" s="160"/>
      <c r="H1141" s="104"/>
      <c r="I1141" s="162"/>
      <c r="J1141" s="128">
        <v>6100</v>
      </c>
      <c r="K1141" s="129">
        <v>1630</v>
      </c>
      <c r="L1141" s="108">
        <f t="shared" si="141"/>
        <v>26.721311475409838</v>
      </c>
      <c r="M1141" s="129"/>
      <c r="N1141" s="129"/>
      <c r="O1141" s="194"/>
      <c r="P1141" s="129"/>
      <c r="Q1141" s="129"/>
      <c r="R1141" s="200"/>
    </row>
    <row r="1142" spans="1:18" s="185" customFormat="1" ht="23.25" customHeight="1">
      <c r="A1142" s="191">
        <v>4230</v>
      </c>
      <c r="B1142" s="423" t="s">
        <v>358</v>
      </c>
      <c r="C1142" s="128">
        <v>300</v>
      </c>
      <c r="D1142" s="104">
        <f t="shared" si="136"/>
        <v>300</v>
      </c>
      <c r="E1142" s="104">
        <f t="shared" si="136"/>
        <v>0</v>
      </c>
      <c r="F1142" s="432">
        <f t="shared" si="140"/>
        <v>0</v>
      </c>
      <c r="G1142" s="160"/>
      <c r="H1142" s="104"/>
      <c r="I1142" s="162"/>
      <c r="J1142" s="128">
        <v>300</v>
      </c>
      <c r="K1142" s="129"/>
      <c r="L1142" s="108">
        <f t="shared" si="141"/>
        <v>0</v>
      </c>
      <c r="M1142" s="129"/>
      <c r="N1142" s="129"/>
      <c r="O1142" s="194"/>
      <c r="P1142" s="129"/>
      <c r="Q1142" s="129"/>
      <c r="R1142" s="200"/>
    </row>
    <row r="1143" spans="1:18" s="185" customFormat="1" ht="13.5" customHeight="1">
      <c r="A1143" s="191">
        <v>4260</v>
      </c>
      <c r="B1143" s="423" t="s">
        <v>360</v>
      </c>
      <c r="C1143" s="128">
        <v>33600</v>
      </c>
      <c r="D1143" s="104">
        <f t="shared" si="136"/>
        <v>21000</v>
      </c>
      <c r="E1143" s="104">
        <f t="shared" si="136"/>
        <v>6082</v>
      </c>
      <c r="F1143" s="432">
        <f t="shared" si="140"/>
        <v>28.961904761904762</v>
      </c>
      <c r="G1143" s="160"/>
      <c r="H1143" s="104"/>
      <c r="I1143" s="162"/>
      <c r="J1143" s="128">
        <f>33600-12600</f>
        <v>21000</v>
      </c>
      <c r="K1143" s="129">
        <f>5107+975</f>
        <v>6082</v>
      </c>
      <c r="L1143" s="108">
        <f t="shared" si="141"/>
        <v>28.961904761904762</v>
      </c>
      <c r="M1143" s="129"/>
      <c r="N1143" s="129"/>
      <c r="O1143" s="194"/>
      <c r="P1143" s="129"/>
      <c r="Q1143" s="129"/>
      <c r="R1143" s="200"/>
    </row>
    <row r="1144" spans="1:18" s="269" customFormat="1" ht="14.25" customHeight="1">
      <c r="A1144" s="191">
        <v>4280</v>
      </c>
      <c r="B1144" s="423" t="s">
        <v>458</v>
      </c>
      <c r="C1144" s="160">
        <v>200</v>
      </c>
      <c r="D1144" s="104">
        <f t="shared" si="136"/>
        <v>200</v>
      </c>
      <c r="E1144" s="129">
        <f>SUM(H1144+K1144+N1144+Q1144)</f>
        <v>0</v>
      </c>
      <c r="F1144" s="105">
        <f t="shared" si="140"/>
        <v>0</v>
      </c>
      <c r="G1144" s="160"/>
      <c r="H1144" s="104"/>
      <c r="I1144" s="162"/>
      <c r="J1144" s="160">
        <v>200</v>
      </c>
      <c r="K1144" s="109"/>
      <c r="L1144" s="108">
        <f t="shared" si="141"/>
        <v>0</v>
      </c>
      <c r="M1144" s="104"/>
      <c r="N1144" s="104"/>
      <c r="O1144" s="194"/>
      <c r="P1144" s="104"/>
      <c r="Q1144" s="104"/>
      <c r="R1144" s="200"/>
    </row>
    <row r="1145" spans="1:18" s="185" customFormat="1" ht="13.5" customHeight="1">
      <c r="A1145" s="191">
        <v>4300</v>
      </c>
      <c r="B1145" s="423" t="s">
        <v>459</v>
      </c>
      <c r="C1145" s="128">
        <v>3200</v>
      </c>
      <c r="D1145" s="104">
        <f t="shared" si="136"/>
        <v>18100</v>
      </c>
      <c r="E1145" s="104">
        <f t="shared" si="136"/>
        <v>1511</v>
      </c>
      <c r="F1145" s="432">
        <f t="shared" si="140"/>
        <v>8.348066298342541</v>
      </c>
      <c r="G1145" s="160"/>
      <c r="H1145" s="104"/>
      <c r="I1145" s="162"/>
      <c r="J1145" s="128">
        <f>3200+14900</f>
        <v>18100</v>
      </c>
      <c r="K1145" s="129">
        <v>1511</v>
      </c>
      <c r="L1145" s="108">
        <f t="shared" si="141"/>
        <v>8.348066298342541</v>
      </c>
      <c r="M1145" s="129"/>
      <c r="N1145" s="129"/>
      <c r="O1145" s="194"/>
      <c r="P1145" s="129"/>
      <c r="Q1145" s="129"/>
      <c r="R1145" s="200"/>
    </row>
    <row r="1146" spans="1:18" s="185" customFormat="1" ht="24">
      <c r="A1146" s="191">
        <v>4350</v>
      </c>
      <c r="B1146" s="423" t="s">
        <v>460</v>
      </c>
      <c r="C1146" s="128">
        <v>700</v>
      </c>
      <c r="D1146" s="104">
        <f t="shared" si="136"/>
        <v>700</v>
      </c>
      <c r="E1146" s="104">
        <f t="shared" si="136"/>
        <v>119</v>
      </c>
      <c r="F1146" s="432">
        <f t="shared" si="140"/>
        <v>17</v>
      </c>
      <c r="G1146" s="160"/>
      <c r="H1146" s="104"/>
      <c r="I1146" s="162"/>
      <c r="J1146" s="128">
        <v>700</v>
      </c>
      <c r="K1146" s="129">
        <f>120-1</f>
        <v>119</v>
      </c>
      <c r="L1146" s="108">
        <f t="shared" si="141"/>
        <v>17</v>
      </c>
      <c r="M1146" s="129"/>
      <c r="N1146" s="129"/>
      <c r="O1146" s="194"/>
      <c r="P1146" s="129"/>
      <c r="Q1146" s="129"/>
      <c r="R1146" s="200"/>
    </row>
    <row r="1147" spans="1:18" s="185" customFormat="1" ht="48">
      <c r="A1147" s="267">
        <v>4370</v>
      </c>
      <c r="B1147" s="291" t="s">
        <v>577</v>
      </c>
      <c r="C1147" s="128">
        <v>1800</v>
      </c>
      <c r="D1147" s="104">
        <f aca="true" t="shared" si="142" ref="D1147:E1162">G1147+J1147+P1147+M1147</f>
        <v>1800</v>
      </c>
      <c r="E1147" s="104">
        <f t="shared" si="142"/>
        <v>390</v>
      </c>
      <c r="F1147" s="432">
        <f>E1147/D1147*100</f>
        <v>21.666666666666668</v>
      </c>
      <c r="G1147" s="160"/>
      <c r="H1147" s="104"/>
      <c r="I1147" s="162"/>
      <c r="J1147" s="128">
        <v>1800</v>
      </c>
      <c r="K1147" s="129">
        <v>390</v>
      </c>
      <c r="L1147" s="108">
        <f t="shared" si="141"/>
        <v>21.666666666666668</v>
      </c>
      <c r="M1147" s="129"/>
      <c r="N1147" s="129"/>
      <c r="O1147" s="194"/>
      <c r="P1147" s="129"/>
      <c r="Q1147" s="129"/>
      <c r="R1147" s="200"/>
    </row>
    <row r="1148" spans="1:18" s="185" customFormat="1" ht="24">
      <c r="A1148" s="267">
        <v>4400</v>
      </c>
      <c r="B1148" s="291" t="s">
        <v>463</v>
      </c>
      <c r="C1148" s="128">
        <v>18000</v>
      </c>
      <c r="D1148" s="104">
        <f t="shared" si="142"/>
        <v>14700</v>
      </c>
      <c r="E1148" s="104">
        <f t="shared" si="142"/>
        <v>3660</v>
      </c>
      <c r="F1148" s="432">
        <f>E1148/D1148*100</f>
        <v>24.897959183673468</v>
      </c>
      <c r="G1148" s="160"/>
      <c r="H1148" s="104"/>
      <c r="I1148" s="162"/>
      <c r="J1148" s="128">
        <f>18000-3300</f>
        <v>14700</v>
      </c>
      <c r="K1148" s="129">
        <v>3660</v>
      </c>
      <c r="L1148" s="108">
        <f t="shared" si="141"/>
        <v>24.897959183673468</v>
      </c>
      <c r="M1148" s="129"/>
      <c r="N1148" s="129"/>
      <c r="O1148" s="194"/>
      <c r="P1148" s="129"/>
      <c r="Q1148" s="129"/>
      <c r="R1148" s="200"/>
    </row>
    <row r="1149" spans="1:18" s="185" customFormat="1" ht="13.5" customHeight="1">
      <c r="A1149" s="191">
        <v>4410</v>
      </c>
      <c r="B1149" s="423" t="s">
        <v>338</v>
      </c>
      <c r="C1149" s="128">
        <v>1000</v>
      </c>
      <c r="D1149" s="104">
        <f t="shared" si="142"/>
        <v>1000</v>
      </c>
      <c r="E1149" s="104">
        <f t="shared" si="142"/>
        <v>0</v>
      </c>
      <c r="F1149" s="432">
        <f>E1149/D1149*100</f>
        <v>0</v>
      </c>
      <c r="G1149" s="160"/>
      <c r="H1149" s="104"/>
      <c r="I1149" s="162"/>
      <c r="J1149" s="128">
        <v>1000</v>
      </c>
      <c r="K1149" s="129"/>
      <c r="L1149" s="108">
        <f t="shared" si="141"/>
        <v>0</v>
      </c>
      <c r="M1149" s="129"/>
      <c r="N1149" s="129"/>
      <c r="O1149" s="194"/>
      <c r="P1149" s="129"/>
      <c r="Q1149" s="129"/>
      <c r="R1149" s="200"/>
    </row>
    <row r="1150" spans="1:18" s="185" customFormat="1" ht="13.5" customHeight="1">
      <c r="A1150" s="191">
        <v>4430</v>
      </c>
      <c r="B1150" s="423" t="s">
        <v>366</v>
      </c>
      <c r="C1150" s="128">
        <v>100</v>
      </c>
      <c r="D1150" s="104">
        <f t="shared" si="142"/>
        <v>100</v>
      </c>
      <c r="E1150" s="104">
        <f t="shared" si="142"/>
        <v>0</v>
      </c>
      <c r="F1150" s="432">
        <f t="shared" si="140"/>
        <v>0</v>
      </c>
      <c r="G1150" s="160"/>
      <c r="H1150" s="104"/>
      <c r="I1150" s="162"/>
      <c r="J1150" s="128">
        <v>100</v>
      </c>
      <c r="K1150" s="129"/>
      <c r="L1150" s="108">
        <f t="shared" si="141"/>
        <v>0</v>
      </c>
      <c r="M1150" s="129"/>
      <c r="N1150" s="129"/>
      <c r="O1150" s="194"/>
      <c r="P1150" s="129"/>
      <c r="Q1150" s="129"/>
      <c r="R1150" s="200"/>
    </row>
    <row r="1151" spans="1:18" s="185" customFormat="1" ht="13.5" customHeight="1">
      <c r="A1151" s="191">
        <v>4440</v>
      </c>
      <c r="B1151" s="423" t="s">
        <v>368</v>
      </c>
      <c r="C1151" s="128">
        <v>4200</v>
      </c>
      <c r="D1151" s="104">
        <f t="shared" si="142"/>
        <v>4200</v>
      </c>
      <c r="E1151" s="104">
        <f t="shared" si="142"/>
        <v>0</v>
      </c>
      <c r="F1151" s="432">
        <f t="shared" si="140"/>
        <v>0</v>
      </c>
      <c r="G1151" s="160"/>
      <c r="H1151" s="104"/>
      <c r="I1151" s="162"/>
      <c r="J1151" s="128">
        <v>4200</v>
      </c>
      <c r="K1151" s="129"/>
      <c r="L1151" s="108">
        <f t="shared" si="141"/>
        <v>0</v>
      </c>
      <c r="M1151" s="129"/>
      <c r="N1151" s="129"/>
      <c r="O1151" s="194"/>
      <c r="P1151" s="129"/>
      <c r="Q1151" s="129"/>
      <c r="R1151" s="200"/>
    </row>
    <row r="1152" spans="1:18" s="185" customFormat="1" ht="60">
      <c r="A1152" s="267">
        <v>4740</v>
      </c>
      <c r="B1152" s="291" t="s">
        <v>380</v>
      </c>
      <c r="C1152" s="193">
        <v>500</v>
      </c>
      <c r="D1152" s="104">
        <f t="shared" si="142"/>
        <v>500</v>
      </c>
      <c r="E1152" s="104">
        <f t="shared" si="142"/>
        <v>0</v>
      </c>
      <c r="F1152" s="432">
        <f>E1152/D1152*100</f>
        <v>0</v>
      </c>
      <c r="G1152" s="160"/>
      <c r="H1152" s="104"/>
      <c r="I1152" s="162"/>
      <c r="J1152" s="193">
        <v>500</v>
      </c>
      <c r="K1152" s="129"/>
      <c r="L1152" s="108">
        <f t="shared" si="141"/>
        <v>0</v>
      </c>
      <c r="M1152" s="129"/>
      <c r="N1152" s="129"/>
      <c r="O1152" s="194"/>
      <c r="P1152" s="129"/>
      <c r="Q1152" s="129"/>
      <c r="R1152" s="200"/>
    </row>
    <row r="1153" spans="1:18" s="185" customFormat="1" ht="36">
      <c r="A1153" s="316">
        <v>4750</v>
      </c>
      <c r="B1153" s="317" t="s">
        <v>467</v>
      </c>
      <c r="C1153" s="233">
        <v>500</v>
      </c>
      <c r="D1153" s="104">
        <f t="shared" si="142"/>
        <v>500</v>
      </c>
      <c r="E1153" s="104">
        <f t="shared" si="142"/>
        <v>0</v>
      </c>
      <c r="F1153" s="432">
        <f>E1153/D1153*100</f>
        <v>0</v>
      </c>
      <c r="G1153" s="270"/>
      <c r="H1153" s="230"/>
      <c r="I1153" s="162"/>
      <c r="J1153" s="233">
        <v>500</v>
      </c>
      <c r="K1153" s="236"/>
      <c r="L1153" s="108">
        <f t="shared" si="141"/>
        <v>0</v>
      </c>
      <c r="M1153" s="236"/>
      <c r="N1153" s="236"/>
      <c r="O1153" s="237"/>
      <c r="P1153" s="236"/>
      <c r="Q1153" s="236"/>
      <c r="R1153" s="238"/>
    </row>
    <row r="1154" spans="1:18" s="185" customFormat="1" ht="15.75" customHeight="1">
      <c r="A1154" s="186">
        <v>85204</v>
      </c>
      <c r="B1154" s="422" t="s">
        <v>769</v>
      </c>
      <c r="C1154" s="188">
        <f>SUM(C1155:C1161)</f>
        <v>2625000</v>
      </c>
      <c r="D1154" s="137">
        <f t="shared" si="142"/>
        <v>2625030</v>
      </c>
      <c r="E1154" s="119">
        <f t="shared" si="142"/>
        <v>699674</v>
      </c>
      <c r="F1154" s="425">
        <f t="shared" si="140"/>
        <v>26.65394300255616</v>
      </c>
      <c r="G1154" s="136"/>
      <c r="H1154" s="137"/>
      <c r="I1154" s="283"/>
      <c r="J1154" s="124"/>
      <c r="K1154" s="119"/>
      <c r="L1154" s="125"/>
      <c r="M1154" s="119">
        <f>SUM(M1155:M1161)</f>
        <v>2625030</v>
      </c>
      <c r="N1154" s="119">
        <f>SUM(N1155:N1161)</f>
        <v>699674</v>
      </c>
      <c r="O1154" s="127">
        <f>N1154/M1154*100</f>
        <v>26.65394300255616</v>
      </c>
      <c r="P1154" s="119"/>
      <c r="Q1154" s="119"/>
      <c r="R1154" s="283"/>
    </row>
    <row r="1155" spans="1:18" s="269" customFormat="1" ht="72">
      <c r="A1155" s="267">
        <v>2320</v>
      </c>
      <c r="B1155" s="458" t="s">
        <v>523</v>
      </c>
      <c r="C1155" s="160">
        <v>120000</v>
      </c>
      <c r="D1155" s="104">
        <f t="shared" si="142"/>
        <v>120000</v>
      </c>
      <c r="E1155" s="129">
        <f aca="true" t="shared" si="143" ref="E1155:E1181">SUM(H1155+K1155+N1155+Q1155)</f>
        <v>46808</v>
      </c>
      <c r="F1155" s="432">
        <f t="shared" si="140"/>
        <v>39.00666666666667</v>
      </c>
      <c r="G1155" s="160"/>
      <c r="H1155" s="104"/>
      <c r="I1155" s="200"/>
      <c r="J1155" s="109"/>
      <c r="K1155" s="104"/>
      <c r="L1155" s="110"/>
      <c r="M1155" s="160">
        <v>120000</v>
      </c>
      <c r="N1155" s="150">
        <v>46808</v>
      </c>
      <c r="O1155" s="108">
        <f aca="true" t="shared" si="144" ref="O1155:O1161">N1155/M1155*100</f>
        <v>39.00666666666667</v>
      </c>
      <c r="P1155" s="104"/>
      <c r="Q1155" s="104"/>
      <c r="R1155" s="200"/>
    </row>
    <row r="1156" spans="1:18" s="185" customFormat="1" ht="13.5" customHeight="1">
      <c r="A1156" s="191">
        <v>3110</v>
      </c>
      <c r="B1156" s="423" t="s">
        <v>682</v>
      </c>
      <c r="C1156" s="128">
        <v>2294000</v>
      </c>
      <c r="D1156" s="104">
        <f t="shared" si="142"/>
        <v>2294000</v>
      </c>
      <c r="E1156" s="129">
        <f t="shared" si="143"/>
        <v>584009</v>
      </c>
      <c r="F1156" s="432">
        <f t="shared" si="140"/>
        <v>25.458108108108107</v>
      </c>
      <c r="G1156" s="160"/>
      <c r="H1156" s="104"/>
      <c r="I1156" s="200"/>
      <c r="J1156" s="193"/>
      <c r="K1156" s="129"/>
      <c r="L1156" s="110"/>
      <c r="M1156" s="128">
        <v>2294000</v>
      </c>
      <c r="N1156" s="129">
        <v>584009</v>
      </c>
      <c r="O1156" s="108">
        <f t="shared" si="144"/>
        <v>25.458108108108107</v>
      </c>
      <c r="P1156" s="129"/>
      <c r="Q1156" s="129"/>
      <c r="R1156" s="200"/>
    </row>
    <row r="1157" spans="1:18" s="185" customFormat="1" ht="27" customHeight="1">
      <c r="A1157" s="191">
        <v>4110</v>
      </c>
      <c r="B1157" s="423" t="s">
        <v>352</v>
      </c>
      <c r="C1157" s="128">
        <v>36500</v>
      </c>
      <c r="D1157" s="104">
        <f t="shared" si="142"/>
        <v>36500</v>
      </c>
      <c r="E1157" s="129">
        <f t="shared" si="143"/>
        <v>8410</v>
      </c>
      <c r="F1157" s="432">
        <f t="shared" si="140"/>
        <v>23.041095890410958</v>
      </c>
      <c r="G1157" s="160"/>
      <c r="H1157" s="104"/>
      <c r="I1157" s="200"/>
      <c r="J1157" s="193"/>
      <c r="K1157" s="129"/>
      <c r="L1157" s="110"/>
      <c r="M1157" s="128">
        <v>36500</v>
      </c>
      <c r="N1157" s="129">
        <v>8410</v>
      </c>
      <c r="O1157" s="108">
        <f t="shared" si="144"/>
        <v>23.041095890410958</v>
      </c>
      <c r="P1157" s="129"/>
      <c r="Q1157" s="129"/>
      <c r="R1157" s="200"/>
    </row>
    <row r="1158" spans="1:18" s="185" customFormat="1" ht="15" customHeight="1">
      <c r="A1158" s="191">
        <v>4120</v>
      </c>
      <c r="B1158" s="423" t="s">
        <v>509</v>
      </c>
      <c r="C1158" s="128">
        <v>5500</v>
      </c>
      <c r="D1158" s="104">
        <f t="shared" si="142"/>
        <v>5500</v>
      </c>
      <c r="E1158" s="129">
        <f t="shared" si="143"/>
        <v>1445</v>
      </c>
      <c r="F1158" s="432">
        <f t="shared" si="140"/>
        <v>26.272727272727277</v>
      </c>
      <c r="G1158" s="160"/>
      <c r="H1158" s="104"/>
      <c r="I1158" s="200"/>
      <c r="J1158" s="193"/>
      <c r="K1158" s="129"/>
      <c r="L1158" s="110"/>
      <c r="M1158" s="128">
        <v>5500</v>
      </c>
      <c r="N1158" s="129">
        <v>1445</v>
      </c>
      <c r="O1158" s="108">
        <f t="shared" si="144"/>
        <v>26.272727272727277</v>
      </c>
      <c r="P1158" s="129"/>
      <c r="Q1158" s="129"/>
      <c r="R1158" s="200"/>
    </row>
    <row r="1159" spans="1:18" s="185" customFormat="1" ht="24">
      <c r="A1159" s="191">
        <v>4170</v>
      </c>
      <c r="B1159" s="423" t="s">
        <v>392</v>
      </c>
      <c r="C1159" s="128">
        <v>169000</v>
      </c>
      <c r="D1159" s="104">
        <f t="shared" si="142"/>
        <v>169000</v>
      </c>
      <c r="E1159" s="129">
        <f t="shared" si="143"/>
        <v>58979</v>
      </c>
      <c r="F1159" s="105">
        <f t="shared" si="140"/>
        <v>34.89881656804734</v>
      </c>
      <c r="G1159" s="160"/>
      <c r="H1159" s="104"/>
      <c r="I1159" s="200"/>
      <c r="J1159" s="193"/>
      <c r="K1159" s="129"/>
      <c r="L1159" s="110"/>
      <c r="M1159" s="128">
        <v>169000</v>
      </c>
      <c r="N1159" s="129">
        <v>58979</v>
      </c>
      <c r="O1159" s="108">
        <f t="shared" si="144"/>
        <v>34.89881656804734</v>
      </c>
      <c r="P1159" s="129"/>
      <c r="Q1159" s="129"/>
      <c r="R1159" s="200"/>
    </row>
    <row r="1160" spans="1:18" s="185" customFormat="1" ht="12.75">
      <c r="A1160" s="191">
        <v>4580</v>
      </c>
      <c r="B1160" s="259" t="s">
        <v>394</v>
      </c>
      <c r="C1160" s="128"/>
      <c r="D1160" s="230">
        <f t="shared" si="142"/>
        <v>30</v>
      </c>
      <c r="E1160" s="236">
        <f t="shared" si="143"/>
        <v>23</v>
      </c>
      <c r="F1160" s="232">
        <f t="shared" si="140"/>
        <v>76.66666666666667</v>
      </c>
      <c r="G1160" s="160"/>
      <c r="H1160" s="104"/>
      <c r="I1160" s="200"/>
      <c r="J1160" s="193"/>
      <c r="K1160" s="129"/>
      <c r="L1160" s="110"/>
      <c r="M1160" s="128">
        <v>30</v>
      </c>
      <c r="N1160" s="129">
        <v>23</v>
      </c>
      <c r="O1160" s="108">
        <f t="shared" si="144"/>
        <v>76.66666666666667</v>
      </c>
      <c r="P1160" s="129"/>
      <c r="Q1160" s="129"/>
      <c r="R1160" s="200"/>
    </row>
    <row r="1161" spans="1:18" s="185" customFormat="1" ht="24" hidden="1">
      <c r="A1161" s="227">
        <v>4330</v>
      </c>
      <c r="B1161" s="445" t="s">
        <v>761</v>
      </c>
      <c r="C1161" s="229"/>
      <c r="D1161" s="230">
        <f t="shared" si="142"/>
        <v>0</v>
      </c>
      <c r="E1161" s="236">
        <f t="shared" si="143"/>
        <v>0</v>
      </c>
      <c r="F1161" s="475" t="e">
        <f>E1161/D1161*100</f>
        <v>#DIV/0!</v>
      </c>
      <c r="G1161" s="270"/>
      <c r="H1161" s="230"/>
      <c r="I1161" s="238"/>
      <c r="J1161" s="233"/>
      <c r="K1161" s="236"/>
      <c r="L1161" s="319"/>
      <c r="M1161" s="229"/>
      <c r="N1161" s="236"/>
      <c r="O1161" s="108" t="e">
        <f t="shared" si="144"/>
        <v>#DIV/0!</v>
      </c>
      <c r="P1161" s="236"/>
      <c r="Q1161" s="236"/>
      <c r="R1161" s="238"/>
    </row>
    <row r="1162" spans="1:18" ht="84">
      <c r="A1162" s="186">
        <v>85212</v>
      </c>
      <c r="B1162" s="422" t="s">
        <v>770</v>
      </c>
      <c r="C1162" s="188">
        <f>SUM(C1163:C1181)</f>
        <v>17550000</v>
      </c>
      <c r="D1162" s="189">
        <f t="shared" si="142"/>
        <v>17550000</v>
      </c>
      <c r="E1162" s="189">
        <f t="shared" si="143"/>
        <v>4156638</v>
      </c>
      <c r="F1162" s="476">
        <f aca="true" t="shared" si="145" ref="F1162:F1187">E1162/D1162*100</f>
        <v>23.684547008547007</v>
      </c>
      <c r="G1162" s="188">
        <f>SUM(G1163:G1181)</f>
        <v>194000</v>
      </c>
      <c r="H1162" s="119">
        <f>SUM(H1163:H1181)</f>
        <v>0</v>
      </c>
      <c r="I1162" s="297">
        <f>H1162/G1162*100</f>
        <v>0</v>
      </c>
      <c r="J1162" s="124">
        <f>SUM(J1163:J1181)</f>
        <v>17356000</v>
      </c>
      <c r="K1162" s="119">
        <f>SUM(K1163:K1181)</f>
        <v>4156638</v>
      </c>
      <c r="L1162" s="477">
        <f>K1162/J1162*100</f>
        <v>23.949285549665824</v>
      </c>
      <c r="M1162" s="119"/>
      <c r="N1162" s="119"/>
      <c r="O1162" s="265"/>
      <c r="P1162" s="119"/>
      <c r="Q1162" s="119"/>
      <c r="R1162" s="266"/>
    </row>
    <row r="1163" spans="1:18" s="185" customFormat="1" ht="36">
      <c r="A1163" s="191">
        <v>3020</v>
      </c>
      <c r="B1163" s="423" t="s">
        <v>453</v>
      </c>
      <c r="C1163" s="132">
        <v>2000</v>
      </c>
      <c r="D1163" s="149">
        <f aca="true" t="shared" si="146" ref="D1163:E1190">G1163+J1163+P1163+M1163</f>
        <v>2000</v>
      </c>
      <c r="E1163" s="150">
        <f t="shared" si="143"/>
        <v>200</v>
      </c>
      <c r="F1163" s="222">
        <f t="shared" si="145"/>
        <v>10</v>
      </c>
      <c r="G1163" s="132"/>
      <c r="H1163" s="150"/>
      <c r="I1163" s="158"/>
      <c r="J1163" s="132">
        <v>2000</v>
      </c>
      <c r="K1163" s="150">
        <v>200</v>
      </c>
      <c r="L1163" s="343">
        <f>K1163/J1163*100</f>
        <v>10</v>
      </c>
      <c r="M1163" s="150"/>
      <c r="N1163" s="150"/>
      <c r="O1163" s="225"/>
      <c r="P1163" s="150"/>
      <c r="Q1163" s="150"/>
      <c r="R1163" s="226"/>
    </row>
    <row r="1164" spans="1:18" s="185" customFormat="1" ht="12.75">
      <c r="A1164" s="191">
        <v>3110</v>
      </c>
      <c r="B1164" s="423" t="s">
        <v>682</v>
      </c>
      <c r="C1164" s="128">
        <v>16655300</v>
      </c>
      <c r="D1164" s="104">
        <f t="shared" si="146"/>
        <v>16655300</v>
      </c>
      <c r="E1164" s="129">
        <f>SUM(H1164+K1164+N1164+Q1164)</f>
        <v>3948174</v>
      </c>
      <c r="F1164" s="256">
        <f>E1164/D1164*100</f>
        <v>23.70521095387054</v>
      </c>
      <c r="G1164" s="128"/>
      <c r="H1164" s="129"/>
      <c r="I1164" s="162"/>
      <c r="J1164" s="128">
        <v>16655300</v>
      </c>
      <c r="K1164" s="193">
        <v>3948174</v>
      </c>
      <c r="L1164" s="343">
        <f>K1164/J1164*100</f>
        <v>23.70521095387054</v>
      </c>
      <c r="M1164" s="129"/>
      <c r="N1164" s="129"/>
      <c r="O1164" s="194"/>
      <c r="P1164" s="129"/>
      <c r="Q1164" s="129"/>
      <c r="R1164" s="200"/>
    </row>
    <row r="1165" spans="1:18" s="185" customFormat="1" ht="24">
      <c r="A1165" s="191">
        <v>4010</v>
      </c>
      <c r="B1165" s="423" t="s">
        <v>346</v>
      </c>
      <c r="C1165" s="128">
        <v>492500</v>
      </c>
      <c r="D1165" s="104">
        <f t="shared" si="146"/>
        <v>492500</v>
      </c>
      <c r="E1165" s="129">
        <f t="shared" si="143"/>
        <v>101529</v>
      </c>
      <c r="F1165" s="256">
        <f t="shared" si="145"/>
        <v>20.615025380710662</v>
      </c>
      <c r="G1165" s="128">
        <v>158000</v>
      </c>
      <c r="H1165" s="129"/>
      <c r="I1165" s="105">
        <f>H1165/G1165*100</f>
        <v>0</v>
      </c>
      <c r="J1165" s="128">
        <v>334500</v>
      </c>
      <c r="K1165" s="193">
        <v>101529</v>
      </c>
      <c r="L1165" s="343">
        <f>K1165/J1165*100</f>
        <v>30.352466367713006</v>
      </c>
      <c r="M1165" s="129"/>
      <c r="N1165" s="129"/>
      <c r="O1165" s="194"/>
      <c r="P1165" s="129"/>
      <c r="Q1165" s="129"/>
      <c r="R1165" s="200"/>
    </row>
    <row r="1166" spans="1:18" s="185" customFormat="1" ht="24">
      <c r="A1166" s="191">
        <v>4040</v>
      </c>
      <c r="B1166" s="423" t="s">
        <v>771</v>
      </c>
      <c r="C1166" s="128">
        <v>41900</v>
      </c>
      <c r="D1166" s="104">
        <f t="shared" si="146"/>
        <v>41900</v>
      </c>
      <c r="E1166" s="129">
        <f t="shared" si="143"/>
        <v>28697</v>
      </c>
      <c r="F1166" s="256">
        <f t="shared" si="145"/>
        <v>68.4892601431981</v>
      </c>
      <c r="G1166" s="128"/>
      <c r="H1166" s="129"/>
      <c r="I1166" s="162"/>
      <c r="J1166" s="128">
        <v>41900</v>
      </c>
      <c r="K1166" s="193">
        <v>28697</v>
      </c>
      <c r="L1166" s="343">
        <f aca="true" t="shared" si="147" ref="L1166:L1187">K1166/J1166*100</f>
        <v>68.4892601431981</v>
      </c>
      <c r="M1166" s="129"/>
      <c r="N1166" s="129"/>
      <c r="O1166" s="194"/>
      <c r="P1166" s="129"/>
      <c r="Q1166" s="129"/>
      <c r="R1166" s="200"/>
    </row>
    <row r="1167" spans="1:18" s="185" customFormat="1" ht="24">
      <c r="A1167" s="191">
        <v>4110</v>
      </c>
      <c r="B1167" s="423" t="s">
        <v>352</v>
      </c>
      <c r="C1167" s="128">
        <v>204800</v>
      </c>
      <c r="D1167" s="104">
        <f t="shared" si="146"/>
        <v>204800</v>
      </c>
      <c r="E1167" s="129">
        <f t="shared" si="143"/>
        <v>57796</v>
      </c>
      <c r="F1167" s="256">
        <f t="shared" si="145"/>
        <v>28.220703125</v>
      </c>
      <c r="G1167" s="128">
        <v>28100</v>
      </c>
      <c r="H1167" s="129"/>
      <c r="I1167" s="162">
        <f>H1167/G1167*100</f>
        <v>0</v>
      </c>
      <c r="J1167" s="128">
        <v>176700</v>
      </c>
      <c r="K1167" s="193">
        <v>57796</v>
      </c>
      <c r="L1167" s="343">
        <f t="shared" si="147"/>
        <v>32.708545557441994</v>
      </c>
      <c r="M1167" s="129"/>
      <c r="N1167" s="129"/>
      <c r="O1167" s="194"/>
      <c r="P1167" s="129"/>
      <c r="Q1167" s="129"/>
      <c r="R1167" s="200"/>
    </row>
    <row r="1168" spans="1:18" s="185" customFormat="1" ht="12.75">
      <c r="A1168" s="191">
        <v>4120</v>
      </c>
      <c r="B1168" s="423" t="s">
        <v>504</v>
      </c>
      <c r="C1168" s="128">
        <v>10900</v>
      </c>
      <c r="D1168" s="104">
        <f t="shared" si="146"/>
        <v>10900</v>
      </c>
      <c r="E1168" s="129">
        <f t="shared" si="143"/>
        <v>3139</v>
      </c>
      <c r="F1168" s="256">
        <f t="shared" si="145"/>
        <v>28.798165137614678</v>
      </c>
      <c r="G1168" s="128">
        <v>3900</v>
      </c>
      <c r="H1168" s="129"/>
      <c r="I1168" s="162">
        <f>H1168/G1168*100</f>
        <v>0</v>
      </c>
      <c r="J1168" s="128">
        <v>7000</v>
      </c>
      <c r="K1168" s="193">
        <v>3139</v>
      </c>
      <c r="L1168" s="343">
        <f t="shared" si="147"/>
        <v>44.84285714285715</v>
      </c>
      <c r="M1168" s="129"/>
      <c r="N1168" s="129"/>
      <c r="O1168" s="194"/>
      <c r="P1168" s="129"/>
      <c r="Q1168" s="129"/>
      <c r="R1168" s="200"/>
    </row>
    <row r="1169" spans="1:18" s="185" customFormat="1" ht="24" hidden="1">
      <c r="A1169" s="191">
        <v>4170</v>
      </c>
      <c r="B1169" s="423" t="s">
        <v>392</v>
      </c>
      <c r="C1169" s="128"/>
      <c r="D1169" s="104">
        <f t="shared" si="146"/>
        <v>0</v>
      </c>
      <c r="E1169" s="129">
        <f t="shared" si="143"/>
        <v>0</v>
      </c>
      <c r="F1169" s="256" t="e">
        <f t="shared" si="145"/>
        <v>#DIV/0!</v>
      </c>
      <c r="G1169" s="128"/>
      <c r="H1169" s="129"/>
      <c r="I1169" s="162" t="e">
        <f>H1169/G1169*100</f>
        <v>#DIV/0!</v>
      </c>
      <c r="J1169" s="128"/>
      <c r="K1169" s="193"/>
      <c r="L1169" s="343" t="e">
        <f t="shared" si="147"/>
        <v>#DIV/0!</v>
      </c>
      <c r="M1169" s="129"/>
      <c r="N1169" s="129"/>
      <c r="O1169" s="194"/>
      <c r="P1169" s="129"/>
      <c r="Q1169" s="129"/>
      <c r="R1169" s="200"/>
    </row>
    <row r="1170" spans="1:18" s="185" customFormat="1" ht="24">
      <c r="A1170" s="191">
        <v>4210</v>
      </c>
      <c r="B1170" s="423" t="s">
        <v>356</v>
      </c>
      <c r="C1170" s="128">
        <v>15700</v>
      </c>
      <c r="D1170" s="104">
        <f t="shared" si="146"/>
        <v>15700</v>
      </c>
      <c r="E1170" s="129">
        <f t="shared" si="143"/>
        <v>316</v>
      </c>
      <c r="F1170" s="256">
        <f t="shared" si="145"/>
        <v>2.0127388535031847</v>
      </c>
      <c r="G1170" s="128"/>
      <c r="H1170" s="129"/>
      <c r="I1170" s="162"/>
      <c r="J1170" s="128">
        <v>15700</v>
      </c>
      <c r="K1170" s="193">
        <v>316</v>
      </c>
      <c r="L1170" s="343">
        <f t="shared" si="147"/>
        <v>2.0127388535031847</v>
      </c>
      <c r="M1170" s="129"/>
      <c r="N1170" s="129"/>
      <c r="O1170" s="194"/>
      <c r="P1170" s="129"/>
      <c r="Q1170" s="129"/>
      <c r="R1170" s="200"/>
    </row>
    <row r="1171" spans="1:18" s="185" customFormat="1" ht="12.75">
      <c r="A1171" s="191">
        <v>4260</v>
      </c>
      <c r="B1171" s="423" t="s">
        <v>360</v>
      </c>
      <c r="C1171" s="128">
        <v>21100</v>
      </c>
      <c r="D1171" s="104">
        <f t="shared" si="146"/>
        <v>21100</v>
      </c>
      <c r="E1171" s="129">
        <f t="shared" si="143"/>
        <v>5441</v>
      </c>
      <c r="F1171" s="256">
        <f t="shared" si="145"/>
        <v>25.786729857819907</v>
      </c>
      <c r="G1171" s="128">
        <v>2000</v>
      </c>
      <c r="H1171" s="129"/>
      <c r="I1171" s="162">
        <f>H1171/G1171*100</f>
        <v>0</v>
      </c>
      <c r="J1171" s="128">
        <v>19100</v>
      </c>
      <c r="K1171" s="193">
        <v>5441</v>
      </c>
      <c r="L1171" s="343">
        <f t="shared" si="147"/>
        <v>28.486910994764397</v>
      </c>
      <c r="M1171" s="129"/>
      <c r="N1171" s="129"/>
      <c r="O1171" s="194"/>
      <c r="P1171" s="129"/>
      <c r="Q1171" s="129"/>
      <c r="R1171" s="200"/>
    </row>
    <row r="1172" spans="1:18" s="185" customFormat="1" ht="24" hidden="1">
      <c r="A1172" s="191">
        <v>4270</v>
      </c>
      <c r="B1172" s="423" t="s">
        <v>362</v>
      </c>
      <c r="C1172" s="128"/>
      <c r="D1172" s="104">
        <f t="shared" si="146"/>
        <v>0</v>
      </c>
      <c r="E1172" s="129">
        <f>SUM(H1172+K1172+N1172+Q1172)</f>
        <v>0</v>
      </c>
      <c r="F1172" s="256" t="e">
        <f>E1172/D1172*100</f>
        <v>#DIV/0!</v>
      </c>
      <c r="G1172" s="128"/>
      <c r="H1172" s="129"/>
      <c r="I1172" s="162"/>
      <c r="J1172" s="128"/>
      <c r="K1172" s="193"/>
      <c r="L1172" s="343" t="e">
        <f t="shared" si="147"/>
        <v>#DIV/0!</v>
      </c>
      <c r="M1172" s="129"/>
      <c r="N1172" s="129"/>
      <c r="O1172" s="194"/>
      <c r="P1172" s="129"/>
      <c r="Q1172" s="129"/>
      <c r="R1172" s="200"/>
    </row>
    <row r="1173" spans="1:18" s="185" customFormat="1" ht="24">
      <c r="A1173" s="191">
        <v>4280</v>
      </c>
      <c r="B1173" s="423" t="s">
        <v>458</v>
      </c>
      <c r="C1173" s="128">
        <v>600</v>
      </c>
      <c r="D1173" s="104">
        <f t="shared" si="146"/>
        <v>600</v>
      </c>
      <c r="E1173" s="129">
        <f t="shared" si="143"/>
        <v>161</v>
      </c>
      <c r="F1173" s="256">
        <f t="shared" si="145"/>
        <v>26.833333333333332</v>
      </c>
      <c r="G1173" s="128"/>
      <c r="H1173" s="129"/>
      <c r="I1173" s="162"/>
      <c r="J1173" s="128">
        <v>600</v>
      </c>
      <c r="K1173" s="193">
        <v>161</v>
      </c>
      <c r="L1173" s="343">
        <f t="shared" si="147"/>
        <v>26.833333333333332</v>
      </c>
      <c r="M1173" s="129"/>
      <c r="N1173" s="129"/>
      <c r="O1173" s="194"/>
      <c r="P1173" s="129"/>
      <c r="Q1173" s="129"/>
      <c r="R1173" s="200"/>
    </row>
    <row r="1174" spans="1:18" s="185" customFormat="1" ht="24">
      <c r="A1174" s="191">
        <v>4300</v>
      </c>
      <c r="B1174" s="423" t="s">
        <v>459</v>
      </c>
      <c r="C1174" s="128">
        <v>62800</v>
      </c>
      <c r="D1174" s="104">
        <f t="shared" si="146"/>
        <v>62800</v>
      </c>
      <c r="E1174" s="129">
        <f t="shared" si="143"/>
        <v>10500</v>
      </c>
      <c r="F1174" s="256">
        <f t="shared" si="145"/>
        <v>16.719745222929934</v>
      </c>
      <c r="G1174" s="128">
        <v>1600</v>
      </c>
      <c r="H1174" s="129"/>
      <c r="I1174" s="162">
        <f>H1174/G1174*100</f>
        <v>0</v>
      </c>
      <c r="J1174" s="128">
        <v>61200</v>
      </c>
      <c r="K1174" s="193">
        <v>10500</v>
      </c>
      <c r="L1174" s="343">
        <f t="shared" si="147"/>
        <v>17.15686274509804</v>
      </c>
      <c r="M1174" s="129"/>
      <c r="N1174" s="129"/>
      <c r="O1174" s="194"/>
      <c r="P1174" s="129"/>
      <c r="Q1174" s="129"/>
      <c r="R1174" s="200"/>
    </row>
    <row r="1175" spans="1:18" s="185" customFormat="1" ht="24">
      <c r="A1175" s="191">
        <v>4350</v>
      </c>
      <c r="B1175" s="423" t="s">
        <v>460</v>
      </c>
      <c r="C1175" s="128">
        <v>1600</v>
      </c>
      <c r="D1175" s="104">
        <f t="shared" si="146"/>
        <v>1600</v>
      </c>
      <c r="E1175" s="129">
        <f t="shared" si="143"/>
        <v>0</v>
      </c>
      <c r="F1175" s="256">
        <f t="shared" si="145"/>
        <v>0</v>
      </c>
      <c r="G1175" s="128"/>
      <c r="H1175" s="129"/>
      <c r="I1175" s="162"/>
      <c r="J1175" s="128">
        <v>1600</v>
      </c>
      <c r="K1175" s="193"/>
      <c r="L1175" s="343">
        <f t="shared" si="147"/>
        <v>0</v>
      </c>
      <c r="M1175" s="129"/>
      <c r="N1175" s="129"/>
      <c r="O1175" s="194"/>
      <c r="P1175" s="129"/>
      <c r="Q1175" s="129"/>
      <c r="R1175" s="200"/>
    </row>
    <row r="1176" spans="1:18" s="185" customFormat="1" ht="48">
      <c r="A1176" s="191">
        <v>4370</v>
      </c>
      <c r="B1176" s="423" t="s">
        <v>462</v>
      </c>
      <c r="C1176" s="128">
        <v>2600</v>
      </c>
      <c r="D1176" s="104">
        <f t="shared" si="146"/>
        <v>2600</v>
      </c>
      <c r="E1176" s="129">
        <f t="shared" si="143"/>
        <v>0</v>
      </c>
      <c r="F1176" s="256">
        <f t="shared" si="145"/>
        <v>0</v>
      </c>
      <c r="G1176" s="128">
        <v>200</v>
      </c>
      <c r="H1176" s="129"/>
      <c r="I1176" s="162">
        <f>H1176/G1176*100</f>
        <v>0</v>
      </c>
      <c r="J1176" s="128">
        <v>2400</v>
      </c>
      <c r="K1176" s="193"/>
      <c r="L1176" s="343">
        <f t="shared" si="147"/>
        <v>0</v>
      </c>
      <c r="M1176" s="129"/>
      <c r="N1176" s="129"/>
      <c r="O1176" s="194"/>
      <c r="P1176" s="129"/>
      <c r="Q1176" s="129"/>
      <c r="R1176" s="200"/>
    </row>
    <row r="1177" spans="1:18" s="185" customFormat="1" ht="24">
      <c r="A1177" s="191">
        <v>4410</v>
      </c>
      <c r="B1177" s="423" t="s">
        <v>338</v>
      </c>
      <c r="C1177" s="128">
        <v>1000</v>
      </c>
      <c r="D1177" s="104">
        <f t="shared" si="146"/>
        <v>1000</v>
      </c>
      <c r="E1177" s="129">
        <f t="shared" si="143"/>
        <v>167</v>
      </c>
      <c r="F1177" s="256">
        <f t="shared" si="145"/>
        <v>16.7</v>
      </c>
      <c r="G1177" s="128"/>
      <c r="H1177" s="129"/>
      <c r="I1177" s="162"/>
      <c r="J1177" s="128">
        <v>1000</v>
      </c>
      <c r="K1177" s="193">
        <v>167</v>
      </c>
      <c r="L1177" s="343">
        <f t="shared" si="147"/>
        <v>16.7</v>
      </c>
      <c r="M1177" s="129"/>
      <c r="N1177" s="129"/>
      <c r="O1177" s="194"/>
      <c r="P1177" s="129"/>
      <c r="Q1177" s="129"/>
      <c r="R1177" s="200"/>
    </row>
    <row r="1178" spans="1:18" s="185" customFormat="1" ht="13.5" customHeight="1">
      <c r="A1178" s="191">
        <v>4480</v>
      </c>
      <c r="B1178" s="423" t="s">
        <v>370</v>
      </c>
      <c r="C1178" s="128">
        <v>2000</v>
      </c>
      <c r="D1178" s="104">
        <f t="shared" si="146"/>
        <v>2000</v>
      </c>
      <c r="E1178" s="129">
        <f t="shared" si="143"/>
        <v>518</v>
      </c>
      <c r="F1178" s="256">
        <f t="shared" si="145"/>
        <v>25.900000000000002</v>
      </c>
      <c r="G1178" s="128"/>
      <c r="H1178" s="129"/>
      <c r="I1178" s="162"/>
      <c r="J1178" s="128">
        <v>2000</v>
      </c>
      <c r="K1178" s="193">
        <v>518</v>
      </c>
      <c r="L1178" s="343">
        <f t="shared" si="147"/>
        <v>25.900000000000002</v>
      </c>
      <c r="M1178" s="129"/>
      <c r="N1178" s="129"/>
      <c r="O1178" s="194"/>
      <c r="P1178" s="129"/>
      <c r="Q1178" s="129"/>
      <c r="R1178" s="200"/>
    </row>
    <row r="1179" spans="1:18" s="185" customFormat="1" ht="36">
      <c r="A1179" s="191">
        <v>4700</v>
      </c>
      <c r="B1179" s="423" t="s">
        <v>466</v>
      </c>
      <c r="C1179" s="128">
        <v>5000</v>
      </c>
      <c r="D1179" s="104">
        <f t="shared" si="146"/>
        <v>5000</v>
      </c>
      <c r="E1179" s="129">
        <f t="shared" si="143"/>
        <v>0</v>
      </c>
      <c r="F1179" s="256">
        <f t="shared" si="145"/>
        <v>0</v>
      </c>
      <c r="G1179" s="128"/>
      <c r="H1179" s="129"/>
      <c r="I1179" s="162"/>
      <c r="J1179" s="128">
        <v>5000</v>
      </c>
      <c r="K1179" s="193"/>
      <c r="L1179" s="343">
        <f t="shared" si="147"/>
        <v>0</v>
      </c>
      <c r="M1179" s="129"/>
      <c r="N1179" s="129"/>
      <c r="O1179" s="194"/>
      <c r="P1179" s="129"/>
      <c r="Q1179" s="129"/>
      <c r="R1179" s="200"/>
    </row>
    <row r="1180" spans="1:18" s="185" customFormat="1" ht="60">
      <c r="A1180" s="267">
        <v>4740</v>
      </c>
      <c r="B1180" s="291" t="s">
        <v>380</v>
      </c>
      <c r="C1180" s="128">
        <v>10000</v>
      </c>
      <c r="D1180" s="104">
        <f t="shared" si="146"/>
        <v>10000</v>
      </c>
      <c r="E1180" s="129">
        <f>SUM(H1180+K1180+N1180+Q1180)</f>
        <v>0</v>
      </c>
      <c r="F1180" s="256">
        <f>E1180/D1180*100</f>
        <v>0</v>
      </c>
      <c r="G1180" s="128"/>
      <c r="H1180" s="129"/>
      <c r="I1180" s="162"/>
      <c r="J1180" s="128">
        <v>10000</v>
      </c>
      <c r="K1180" s="193"/>
      <c r="L1180" s="343">
        <f t="shared" si="147"/>
        <v>0</v>
      </c>
      <c r="M1180" s="129"/>
      <c r="N1180" s="129"/>
      <c r="O1180" s="194"/>
      <c r="P1180" s="129"/>
      <c r="Q1180" s="129"/>
      <c r="R1180" s="200"/>
    </row>
    <row r="1181" spans="1:18" s="185" customFormat="1" ht="36">
      <c r="A1181" s="316">
        <v>4750</v>
      </c>
      <c r="B1181" s="317" t="s">
        <v>467</v>
      </c>
      <c r="C1181" s="229">
        <v>20200</v>
      </c>
      <c r="D1181" s="104">
        <f t="shared" si="146"/>
        <v>20200</v>
      </c>
      <c r="E1181" s="129">
        <f t="shared" si="143"/>
        <v>0</v>
      </c>
      <c r="F1181" s="256">
        <f t="shared" si="145"/>
        <v>0</v>
      </c>
      <c r="G1181" s="229">
        <v>200</v>
      </c>
      <c r="H1181" s="236"/>
      <c r="I1181" s="162">
        <f>H1181/G1181*100</f>
        <v>0</v>
      </c>
      <c r="J1181" s="229">
        <v>20000</v>
      </c>
      <c r="K1181" s="233"/>
      <c r="L1181" s="343">
        <f t="shared" si="147"/>
        <v>0</v>
      </c>
      <c r="M1181" s="236"/>
      <c r="N1181" s="236"/>
      <c r="O1181" s="237"/>
      <c r="P1181" s="236"/>
      <c r="Q1181" s="236"/>
      <c r="R1181" s="238"/>
    </row>
    <row r="1182" spans="1:18" s="221" customFormat="1" ht="96">
      <c r="A1182" s="239">
        <v>85213</v>
      </c>
      <c r="B1182" s="472" t="s">
        <v>772</v>
      </c>
      <c r="C1182" s="136">
        <f>SUM(C1183)</f>
        <v>186000</v>
      </c>
      <c r="D1182" s="137">
        <f t="shared" si="146"/>
        <v>186000</v>
      </c>
      <c r="E1182" s="137">
        <f>H1182+K1182+Q1182+N1182</f>
        <v>43810</v>
      </c>
      <c r="F1182" s="478">
        <f t="shared" si="145"/>
        <v>23.553763440860216</v>
      </c>
      <c r="G1182" s="136"/>
      <c r="H1182" s="137"/>
      <c r="I1182" s="297"/>
      <c r="J1182" s="140">
        <f>SUM(J1183+J1184)</f>
        <v>186000</v>
      </c>
      <c r="K1182" s="140">
        <f>SUM(K1183+K1184)</f>
        <v>43810</v>
      </c>
      <c r="L1182" s="127">
        <f t="shared" si="147"/>
        <v>23.553763440860216</v>
      </c>
      <c r="M1182" s="137"/>
      <c r="N1182" s="137"/>
      <c r="O1182" s="265"/>
      <c r="P1182" s="137"/>
      <c r="Q1182" s="137"/>
      <c r="R1182" s="266"/>
    </row>
    <row r="1183" spans="1:18" s="185" customFormat="1" ht="24">
      <c r="A1183" s="172">
        <v>4130</v>
      </c>
      <c r="B1183" s="443" t="s">
        <v>683</v>
      </c>
      <c r="C1183" s="132">
        <v>186000</v>
      </c>
      <c r="D1183" s="149">
        <f t="shared" si="146"/>
        <v>186000</v>
      </c>
      <c r="E1183" s="149">
        <f t="shared" si="146"/>
        <v>43810</v>
      </c>
      <c r="F1183" s="479">
        <f t="shared" si="145"/>
        <v>23.553763440860216</v>
      </c>
      <c r="G1183" s="132"/>
      <c r="H1183" s="150"/>
      <c r="I1183" s="158"/>
      <c r="J1183" s="150">
        <v>186000</v>
      </c>
      <c r="K1183" s="150">
        <v>43810</v>
      </c>
      <c r="L1183" s="113">
        <f t="shared" si="147"/>
        <v>23.553763440860216</v>
      </c>
      <c r="M1183" s="150"/>
      <c r="N1183" s="150"/>
      <c r="O1183" s="225"/>
      <c r="P1183" s="150"/>
      <c r="Q1183" s="150"/>
      <c r="R1183" s="226"/>
    </row>
    <row r="1184" spans="1:18" s="185" customFormat="1" ht="12.75" hidden="1">
      <c r="A1184" s="227">
        <v>4580</v>
      </c>
      <c r="B1184" s="445" t="s">
        <v>394</v>
      </c>
      <c r="C1184" s="229"/>
      <c r="D1184" s="230">
        <f t="shared" si="146"/>
        <v>0</v>
      </c>
      <c r="E1184" s="230">
        <f t="shared" si="146"/>
        <v>0</v>
      </c>
      <c r="F1184" s="475"/>
      <c r="G1184" s="229"/>
      <c r="H1184" s="236"/>
      <c r="I1184" s="447"/>
      <c r="J1184" s="365"/>
      <c r="K1184" s="236"/>
      <c r="L1184" s="170" t="e">
        <f t="shared" si="147"/>
        <v>#DIV/0!</v>
      </c>
      <c r="M1184" s="236"/>
      <c r="N1184" s="236"/>
      <c r="O1184" s="237"/>
      <c r="P1184" s="236"/>
      <c r="Q1184" s="236"/>
      <c r="R1184" s="238"/>
    </row>
    <row r="1185" spans="1:18" ht="48">
      <c r="A1185" s="186">
        <v>85214</v>
      </c>
      <c r="B1185" s="422" t="s">
        <v>773</v>
      </c>
      <c r="C1185" s="188">
        <f>SUM(C1186:C1187)</f>
        <v>6271000</v>
      </c>
      <c r="D1185" s="137">
        <f t="shared" si="146"/>
        <v>6271000</v>
      </c>
      <c r="E1185" s="137">
        <f t="shared" si="146"/>
        <v>1392003</v>
      </c>
      <c r="F1185" s="478">
        <f t="shared" si="145"/>
        <v>22.197464519215437</v>
      </c>
      <c r="G1185" s="188">
        <f>SUM(G1186:G1187)</f>
        <v>4602000</v>
      </c>
      <c r="H1185" s="119">
        <f>SUM(H1186:H1187)</f>
        <v>980398</v>
      </c>
      <c r="I1185" s="297">
        <f>H1185/G1185*100</f>
        <v>21.303737505432423</v>
      </c>
      <c r="J1185" s="124">
        <f>SUM(J1186:J1187)</f>
        <v>1669000</v>
      </c>
      <c r="K1185" s="119">
        <f>SUM(K1186:K1187)</f>
        <v>411605</v>
      </c>
      <c r="L1185" s="214">
        <f t="shared" si="147"/>
        <v>24.661773517076092</v>
      </c>
      <c r="M1185" s="119"/>
      <c r="N1185" s="119"/>
      <c r="O1185" s="190"/>
      <c r="P1185" s="119"/>
      <c r="Q1185" s="119"/>
      <c r="R1185" s="283"/>
    </row>
    <row r="1186" spans="1:18" ht="12.75">
      <c r="A1186" s="191">
        <v>3110</v>
      </c>
      <c r="B1186" s="423" t="s">
        <v>682</v>
      </c>
      <c r="C1186" s="128">
        <v>6271000</v>
      </c>
      <c r="D1186" s="104">
        <f t="shared" si="146"/>
        <v>6271000</v>
      </c>
      <c r="E1186" s="104">
        <f t="shared" si="146"/>
        <v>1392003</v>
      </c>
      <c r="F1186" s="444">
        <f t="shared" si="145"/>
        <v>22.197464519215437</v>
      </c>
      <c r="G1186" s="128">
        <f>4600000+2000</f>
        <v>4602000</v>
      </c>
      <c r="H1186" s="129">
        <v>980398</v>
      </c>
      <c r="I1186" s="162">
        <f>H1186/G1186*100</f>
        <v>21.303737505432423</v>
      </c>
      <c r="J1186" s="193">
        <v>1669000</v>
      </c>
      <c r="K1186" s="129">
        <v>411605</v>
      </c>
      <c r="L1186" s="256">
        <f t="shared" si="147"/>
        <v>24.661773517076092</v>
      </c>
      <c r="M1186" s="129"/>
      <c r="N1186" s="129"/>
      <c r="O1186" s="194"/>
      <c r="P1186" s="129"/>
      <c r="Q1186" s="129"/>
      <c r="R1186" s="200"/>
    </row>
    <row r="1187" spans="1:18" ht="24" hidden="1">
      <c r="A1187" s="191">
        <v>4110</v>
      </c>
      <c r="B1187" s="423" t="s">
        <v>352</v>
      </c>
      <c r="C1187" s="128"/>
      <c r="D1187" s="104">
        <f t="shared" si="146"/>
        <v>0</v>
      </c>
      <c r="E1187" s="129">
        <f>SUM(H1187+K1187+N1187+Q1187)</f>
        <v>0</v>
      </c>
      <c r="F1187" s="444" t="e">
        <f t="shared" si="145"/>
        <v>#DIV/0!</v>
      </c>
      <c r="G1187" s="128"/>
      <c r="H1187" s="129"/>
      <c r="I1187" s="162"/>
      <c r="J1187" s="193"/>
      <c r="K1187" s="129"/>
      <c r="L1187" s="108" t="e">
        <f t="shared" si="147"/>
        <v>#DIV/0!</v>
      </c>
      <c r="M1187" s="129"/>
      <c r="N1187" s="129"/>
      <c r="O1187" s="108"/>
      <c r="P1187" s="129"/>
      <c r="Q1187" s="129"/>
      <c r="R1187" s="200"/>
    </row>
    <row r="1188" spans="1:18" ht="16.5" customHeight="1">
      <c r="A1188" s="186">
        <v>85215</v>
      </c>
      <c r="B1188" s="422" t="s">
        <v>774</v>
      </c>
      <c r="C1188" s="188">
        <f>SUM(C1190)</f>
        <v>4037900</v>
      </c>
      <c r="D1188" s="137">
        <f t="shared" si="146"/>
        <v>4037900</v>
      </c>
      <c r="E1188" s="119">
        <f>H1188+K1188+Q1188+N1188</f>
        <v>850358</v>
      </c>
      <c r="F1188" s="478">
        <f>E1188/D1188*100</f>
        <v>21.059412070630774</v>
      </c>
      <c r="G1188" s="282">
        <f>SUM(G1189:G1190)</f>
        <v>4037900</v>
      </c>
      <c r="H1188" s="119">
        <f>SUM(H1189:H1190)</f>
        <v>850358</v>
      </c>
      <c r="I1188" s="297">
        <f>H1188/G1188*100</f>
        <v>21.059412070630774</v>
      </c>
      <c r="J1188" s="124"/>
      <c r="K1188" s="119"/>
      <c r="L1188" s="125"/>
      <c r="M1188" s="119"/>
      <c r="N1188" s="119"/>
      <c r="O1188" s="190"/>
      <c r="P1188" s="119"/>
      <c r="Q1188" s="119"/>
      <c r="R1188" s="283"/>
    </row>
    <row r="1189" spans="1:18" s="269" customFormat="1" ht="78" customHeight="1" hidden="1">
      <c r="A1189" s="314">
        <v>2910</v>
      </c>
      <c r="B1189" s="480" t="s">
        <v>775</v>
      </c>
      <c r="C1189" s="148"/>
      <c r="D1189" s="149">
        <f t="shared" si="146"/>
        <v>0</v>
      </c>
      <c r="E1189" s="150">
        <f>SUM(H1189+K1189+N1189+Q1189)</f>
        <v>0</v>
      </c>
      <c r="F1189" s="479" t="e">
        <f>E1189/D1189*100</f>
        <v>#DIV/0!</v>
      </c>
      <c r="G1189" s="132"/>
      <c r="H1189" s="149"/>
      <c r="I1189" s="158" t="e">
        <f>H1189/G1189*100</f>
        <v>#DIV/0!</v>
      </c>
      <c r="J1189" s="153"/>
      <c r="K1189" s="149"/>
      <c r="L1189" s="154"/>
      <c r="M1189" s="149"/>
      <c r="N1189" s="149"/>
      <c r="O1189" s="225"/>
      <c r="P1189" s="149"/>
      <c r="Q1189" s="149"/>
      <c r="R1189" s="226"/>
    </row>
    <row r="1190" spans="1:18" s="185" customFormat="1" ht="15.75" customHeight="1">
      <c r="A1190" s="191">
        <v>3110</v>
      </c>
      <c r="B1190" s="423" t="s">
        <v>682</v>
      </c>
      <c r="C1190" s="229">
        <v>4037900</v>
      </c>
      <c r="D1190" s="230">
        <f t="shared" si="146"/>
        <v>4037900</v>
      </c>
      <c r="E1190" s="236">
        <f>SUM(H1190+K1190+N1190+Q1190)</f>
        <v>850358</v>
      </c>
      <c r="F1190" s="475">
        <f aca="true" t="shared" si="148" ref="F1190:F1253">E1190/D1190*100</f>
        <v>21.059412070630774</v>
      </c>
      <c r="G1190" s="229">
        <v>4037900</v>
      </c>
      <c r="H1190" s="236">
        <v>850358</v>
      </c>
      <c r="I1190" s="447">
        <f>H1190/G1190*100</f>
        <v>21.059412070630774</v>
      </c>
      <c r="J1190" s="233"/>
      <c r="K1190" s="236"/>
      <c r="L1190" s="319"/>
      <c r="M1190" s="236"/>
      <c r="N1190" s="236"/>
      <c r="O1190" s="237"/>
      <c r="P1190" s="236"/>
      <c r="Q1190" s="236"/>
      <c r="R1190" s="238"/>
    </row>
    <row r="1191" spans="1:18" s="185" customFormat="1" ht="35.25" customHeight="1" hidden="1">
      <c r="A1191" s="186">
        <v>85216</v>
      </c>
      <c r="B1191" s="422" t="s">
        <v>776</v>
      </c>
      <c r="C1191" s="188">
        <f>SUM(C1192)</f>
        <v>0</v>
      </c>
      <c r="D1191" s="137">
        <f aca="true" t="shared" si="149" ref="D1191:D1255">G1191+J1191+P1191+M1191</f>
        <v>0</v>
      </c>
      <c r="E1191" s="119">
        <f>H1191+K1191+Q1191+N1191</f>
        <v>0</v>
      </c>
      <c r="F1191" s="478" t="e">
        <f t="shared" si="148"/>
        <v>#DIV/0!</v>
      </c>
      <c r="G1191" s="188"/>
      <c r="H1191" s="119"/>
      <c r="I1191" s="297"/>
      <c r="J1191" s="124">
        <f>J1192</f>
        <v>0</v>
      </c>
      <c r="K1191" s="124">
        <f>K1192</f>
        <v>0</v>
      </c>
      <c r="L1191" s="243" t="e">
        <f>K1191/J1191*100</f>
        <v>#DIV/0!</v>
      </c>
      <c r="M1191" s="119"/>
      <c r="N1191" s="119"/>
      <c r="O1191" s="190"/>
      <c r="P1191" s="119">
        <f>P1192</f>
        <v>0</v>
      </c>
      <c r="Q1191" s="119">
        <f>Q1192</f>
        <v>0</v>
      </c>
      <c r="R1191" s="127" t="e">
        <f>Q1191/P1191*100</f>
        <v>#DIV/0!</v>
      </c>
    </row>
    <row r="1192" spans="1:18" s="185" customFormat="1" ht="15.75" customHeight="1" hidden="1">
      <c r="A1192" s="481">
        <v>3110</v>
      </c>
      <c r="B1192" s="482" t="s">
        <v>682</v>
      </c>
      <c r="C1192" s="128"/>
      <c r="D1192" s="375">
        <f t="shared" si="149"/>
        <v>0</v>
      </c>
      <c r="E1192" s="129">
        <f>SUM(H1192+K1192+N1192+Q1192)</f>
        <v>0</v>
      </c>
      <c r="F1192" s="478" t="e">
        <f t="shared" si="148"/>
        <v>#DIV/0!</v>
      </c>
      <c r="G1192" s="344"/>
      <c r="H1192" s="345"/>
      <c r="I1192" s="297"/>
      <c r="J1192" s="346"/>
      <c r="K1192" s="345"/>
      <c r="L1192" s="127" t="e">
        <f>K1192/J1192*100</f>
        <v>#DIV/0!</v>
      </c>
      <c r="M1192" s="345"/>
      <c r="N1192" s="345"/>
      <c r="O1192" s="190"/>
      <c r="P1192" s="345"/>
      <c r="Q1192" s="345"/>
      <c r="R1192" s="127" t="e">
        <f>Q1192/P1192*100</f>
        <v>#DIV/0!</v>
      </c>
    </row>
    <row r="1193" spans="1:18" s="185" customFormat="1" ht="24">
      <c r="A1193" s="186">
        <v>85218</v>
      </c>
      <c r="B1193" s="422" t="s">
        <v>777</v>
      </c>
      <c r="C1193" s="188">
        <f>SUM(C1194:C1209)</f>
        <v>611000</v>
      </c>
      <c r="D1193" s="137">
        <f t="shared" si="149"/>
        <v>611000</v>
      </c>
      <c r="E1193" s="119">
        <f>H1193+K1193+Q1193+N1193</f>
        <v>152034</v>
      </c>
      <c r="F1193" s="478">
        <f t="shared" si="148"/>
        <v>24.882815057283143</v>
      </c>
      <c r="G1193" s="188"/>
      <c r="H1193" s="119"/>
      <c r="I1193" s="283"/>
      <c r="J1193" s="124"/>
      <c r="K1193" s="119"/>
      <c r="L1193" s="125"/>
      <c r="M1193" s="119">
        <f>SUM(M1194:M1209)</f>
        <v>611000</v>
      </c>
      <c r="N1193" s="119">
        <f>SUM(N1194:N1209)</f>
        <v>152034</v>
      </c>
      <c r="O1193" s="214">
        <f aca="true" t="shared" si="150" ref="O1193:O1209">N1193/M1193*100</f>
        <v>24.882815057283143</v>
      </c>
      <c r="P1193" s="119"/>
      <c r="Q1193" s="119"/>
      <c r="R1193" s="127"/>
    </row>
    <row r="1194" spans="1:18" ht="24">
      <c r="A1194" s="191">
        <v>4010</v>
      </c>
      <c r="B1194" s="423" t="s">
        <v>626</v>
      </c>
      <c r="C1194" s="128">
        <v>419500</v>
      </c>
      <c r="D1194" s="104">
        <f t="shared" si="149"/>
        <v>419500</v>
      </c>
      <c r="E1194" s="129">
        <f aca="true" t="shared" si="151" ref="E1194:E1209">SUM(H1194+K1194+N1194+Q1194)</f>
        <v>81196</v>
      </c>
      <c r="F1194" s="444">
        <f t="shared" si="148"/>
        <v>19.3554231227652</v>
      </c>
      <c r="G1194" s="128"/>
      <c r="H1194" s="129"/>
      <c r="I1194" s="200"/>
      <c r="J1194" s="193"/>
      <c r="K1194" s="129"/>
      <c r="L1194" s="110"/>
      <c r="M1194" s="128">
        <v>419500</v>
      </c>
      <c r="N1194" s="129">
        <v>81196</v>
      </c>
      <c r="O1194" s="256">
        <f t="shared" si="150"/>
        <v>19.3554231227652</v>
      </c>
      <c r="P1194" s="193"/>
      <c r="Q1194" s="129"/>
      <c r="R1194" s="108"/>
    </row>
    <row r="1195" spans="1:18" ht="24">
      <c r="A1195" s="191">
        <v>4040</v>
      </c>
      <c r="B1195" s="423" t="s">
        <v>454</v>
      </c>
      <c r="C1195" s="128">
        <v>35100</v>
      </c>
      <c r="D1195" s="104">
        <f t="shared" si="149"/>
        <v>35100</v>
      </c>
      <c r="E1195" s="104">
        <f>H1195+K1195+Q1195+N1195</f>
        <v>35100</v>
      </c>
      <c r="F1195" s="444">
        <f t="shared" si="148"/>
        <v>100</v>
      </c>
      <c r="G1195" s="128"/>
      <c r="H1195" s="129"/>
      <c r="I1195" s="200"/>
      <c r="J1195" s="193"/>
      <c r="K1195" s="129"/>
      <c r="L1195" s="110"/>
      <c r="M1195" s="128">
        <v>35100</v>
      </c>
      <c r="N1195" s="129">
        <v>35100</v>
      </c>
      <c r="O1195" s="256">
        <f t="shared" si="150"/>
        <v>100</v>
      </c>
      <c r="P1195" s="193"/>
      <c r="Q1195" s="129"/>
      <c r="R1195" s="108"/>
    </row>
    <row r="1196" spans="1:18" s="185" customFormat="1" ht="24">
      <c r="A1196" s="191">
        <v>4110</v>
      </c>
      <c r="B1196" s="423" t="s">
        <v>352</v>
      </c>
      <c r="C1196" s="128">
        <v>72830</v>
      </c>
      <c r="D1196" s="104">
        <f t="shared" si="149"/>
        <v>72830</v>
      </c>
      <c r="E1196" s="129">
        <f t="shared" si="151"/>
        <v>14097</v>
      </c>
      <c r="F1196" s="444">
        <f t="shared" si="148"/>
        <v>19.35603460112591</v>
      </c>
      <c r="G1196" s="128"/>
      <c r="H1196" s="129"/>
      <c r="I1196" s="200"/>
      <c r="J1196" s="193"/>
      <c r="K1196" s="129"/>
      <c r="L1196" s="110"/>
      <c r="M1196" s="128">
        <v>72830</v>
      </c>
      <c r="N1196" s="129">
        <v>14097</v>
      </c>
      <c r="O1196" s="256">
        <f t="shared" si="150"/>
        <v>19.35603460112591</v>
      </c>
      <c r="P1196" s="193"/>
      <c r="Q1196" s="129"/>
      <c r="R1196" s="108"/>
    </row>
    <row r="1197" spans="1:18" s="185" customFormat="1" ht="15" customHeight="1">
      <c r="A1197" s="191">
        <v>4120</v>
      </c>
      <c r="B1197" s="423" t="s">
        <v>504</v>
      </c>
      <c r="C1197" s="128">
        <v>11200</v>
      </c>
      <c r="D1197" s="104">
        <f t="shared" si="149"/>
        <v>11200</v>
      </c>
      <c r="E1197" s="129">
        <f t="shared" si="151"/>
        <v>2168</v>
      </c>
      <c r="F1197" s="444">
        <f t="shared" si="148"/>
        <v>19.357142857142858</v>
      </c>
      <c r="G1197" s="128"/>
      <c r="H1197" s="129"/>
      <c r="I1197" s="200"/>
      <c r="J1197" s="193"/>
      <c r="K1197" s="129"/>
      <c r="L1197" s="110"/>
      <c r="M1197" s="128">
        <v>11200</v>
      </c>
      <c r="N1197" s="129">
        <v>2168</v>
      </c>
      <c r="O1197" s="256">
        <f t="shared" si="150"/>
        <v>19.357142857142858</v>
      </c>
      <c r="P1197" s="193"/>
      <c r="Q1197" s="129"/>
      <c r="R1197" s="108"/>
    </row>
    <row r="1198" spans="1:18" ht="24">
      <c r="A1198" s="191">
        <v>4210</v>
      </c>
      <c r="B1198" s="423" t="s">
        <v>356</v>
      </c>
      <c r="C1198" s="128">
        <v>8000</v>
      </c>
      <c r="D1198" s="104">
        <f t="shared" si="149"/>
        <v>8000</v>
      </c>
      <c r="E1198" s="129">
        <f t="shared" si="151"/>
        <v>1548</v>
      </c>
      <c r="F1198" s="444">
        <f t="shared" si="148"/>
        <v>19.35</v>
      </c>
      <c r="G1198" s="128"/>
      <c r="H1198" s="129"/>
      <c r="I1198" s="200"/>
      <c r="J1198" s="193"/>
      <c r="K1198" s="129"/>
      <c r="L1198" s="110"/>
      <c r="M1198" s="128">
        <v>8000</v>
      </c>
      <c r="N1198" s="129">
        <v>1548</v>
      </c>
      <c r="O1198" s="256">
        <f t="shared" si="150"/>
        <v>19.35</v>
      </c>
      <c r="P1198" s="193"/>
      <c r="Q1198" s="129"/>
      <c r="R1198" s="108"/>
    </row>
    <row r="1199" spans="1:18" ht="15" customHeight="1">
      <c r="A1199" s="191">
        <v>4260</v>
      </c>
      <c r="B1199" s="423" t="s">
        <v>360</v>
      </c>
      <c r="C1199" s="128">
        <v>21400</v>
      </c>
      <c r="D1199" s="104">
        <f t="shared" si="149"/>
        <v>21400</v>
      </c>
      <c r="E1199" s="129">
        <f t="shared" si="151"/>
        <v>4142</v>
      </c>
      <c r="F1199" s="444">
        <f t="shared" si="148"/>
        <v>19.355140186915886</v>
      </c>
      <c r="G1199" s="128"/>
      <c r="H1199" s="129"/>
      <c r="I1199" s="200"/>
      <c r="J1199" s="193"/>
      <c r="K1199" s="129"/>
      <c r="L1199" s="110"/>
      <c r="M1199" s="128">
        <v>21400</v>
      </c>
      <c r="N1199" s="129">
        <v>4142</v>
      </c>
      <c r="O1199" s="256">
        <f t="shared" si="150"/>
        <v>19.355140186915886</v>
      </c>
      <c r="P1199" s="193"/>
      <c r="Q1199" s="129"/>
      <c r="R1199" s="108"/>
    </row>
    <row r="1200" spans="1:18" ht="15" customHeight="1">
      <c r="A1200" s="191">
        <v>4280</v>
      </c>
      <c r="B1200" s="423" t="s">
        <v>458</v>
      </c>
      <c r="C1200" s="128">
        <v>1100</v>
      </c>
      <c r="D1200" s="104">
        <f>G1200+J1200+P1200+M1200</f>
        <v>1100</v>
      </c>
      <c r="E1200" s="129">
        <f>SUM(H1200+K1200+N1200+Q1200)</f>
        <v>0</v>
      </c>
      <c r="F1200" s="444">
        <f t="shared" si="148"/>
        <v>0</v>
      </c>
      <c r="G1200" s="128"/>
      <c r="H1200" s="129"/>
      <c r="I1200" s="200"/>
      <c r="J1200" s="193"/>
      <c r="K1200" s="129"/>
      <c r="L1200" s="110"/>
      <c r="M1200" s="128">
        <v>1100</v>
      </c>
      <c r="N1200" s="129"/>
      <c r="O1200" s="256">
        <f t="shared" si="150"/>
        <v>0</v>
      </c>
      <c r="P1200" s="193"/>
      <c r="Q1200" s="129"/>
      <c r="R1200" s="108"/>
    </row>
    <row r="1201" spans="1:18" ht="15" customHeight="1">
      <c r="A1201" s="191">
        <v>4300</v>
      </c>
      <c r="B1201" s="423" t="s">
        <v>459</v>
      </c>
      <c r="C1201" s="128">
        <v>3800</v>
      </c>
      <c r="D1201" s="104">
        <f t="shared" si="149"/>
        <v>3800</v>
      </c>
      <c r="E1201" s="129">
        <f t="shared" si="151"/>
        <v>736</v>
      </c>
      <c r="F1201" s="444">
        <f t="shared" si="148"/>
        <v>19.36842105263158</v>
      </c>
      <c r="G1201" s="128"/>
      <c r="H1201" s="129"/>
      <c r="I1201" s="200"/>
      <c r="J1201" s="193"/>
      <c r="K1201" s="129"/>
      <c r="L1201" s="110"/>
      <c r="M1201" s="128">
        <v>3800</v>
      </c>
      <c r="N1201" s="129">
        <v>736</v>
      </c>
      <c r="O1201" s="256">
        <f t="shared" si="150"/>
        <v>19.36842105263158</v>
      </c>
      <c r="P1201" s="193"/>
      <c r="Q1201" s="129"/>
      <c r="R1201" s="108"/>
    </row>
    <row r="1202" spans="1:18" ht="24">
      <c r="A1202" s="191">
        <v>4350</v>
      </c>
      <c r="B1202" s="423" t="s">
        <v>460</v>
      </c>
      <c r="C1202" s="128">
        <v>1050</v>
      </c>
      <c r="D1202" s="104">
        <f>G1202+J1202+P1202+M1202</f>
        <v>1050</v>
      </c>
      <c r="E1202" s="129">
        <f t="shared" si="151"/>
        <v>203</v>
      </c>
      <c r="F1202" s="444">
        <f t="shared" si="148"/>
        <v>19.333333333333332</v>
      </c>
      <c r="G1202" s="128"/>
      <c r="H1202" s="129"/>
      <c r="I1202" s="200"/>
      <c r="J1202" s="193"/>
      <c r="K1202" s="129"/>
      <c r="L1202" s="110"/>
      <c r="M1202" s="128">
        <v>1050</v>
      </c>
      <c r="N1202" s="129">
        <v>203</v>
      </c>
      <c r="O1202" s="256">
        <f t="shared" si="150"/>
        <v>19.333333333333332</v>
      </c>
      <c r="P1202" s="193"/>
      <c r="Q1202" s="129"/>
      <c r="R1202" s="108"/>
    </row>
    <row r="1203" spans="1:18" ht="48">
      <c r="A1203" s="267">
        <v>4360</v>
      </c>
      <c r="B1203" s="291" t="s">
        <v>635</v>
      </c>
      <c r="C1203" s="128">
        <v>850</v>
      </c>
      <c r="D1203" s="104">
        <f>G1203+J1203+P1203+M1203</f>
        <v>850</v>
      </c>
      <c r="E1203" s="129">
        <f t="shared" si="151"/>
        <v>165</v>
      </c>
      <c r="F1203" s="444">
        <f>E1203/D1203*100</f>
        <v>19.411764705882355</v>
      </c>
      <c r="G1203" s="128"/>
      <c r="H1203" s="129"/>
      <c r="I1203" s="200"/>
      <c r="J1203" s="193"/>
      <c r="K1203" s="129"/>
      <c r="L1203" s="110"/>
      <c r="M1203" s="128">
        <v>850</v>
      </c>
      <c r="N1203" s="129">
        <v>165</v>
      </c>
      <c r="O1203" s="256">
        <f t="shared" si="150"/>
        <v>19.411764705882355</v>
      </c>
      <c r="P1203" s="193"/>
      <c r="Q1203" s="129"/>
      <c r="R1203" s="108"/>
    </row>
    <row r="1204" spans="1:18" ht="48">
      <c r="A1204" s="267">
        <v>4370</v>
      </c>
      <c r="B1204" s="291" t="s">
        <v>577</v>
      </c>
      <c r="C1204" s="128">
        <v>9100</v>
      </c>
      <c r="D1204" s="104">
        <f>G1204+J1204+P1204+M1204</f>
        <v>9100</v>
      </c>
      <c r="E1204" s="129">
        <f t="shared" si="151"/>
        <v>1761</v>
      </c>
      <c r="F1204" s="444">
        <f>E1204/D1204*100</f>
        <v>19.35164835164835</v>
      </c>
      <c r="G1204" s="128"/>
      <c r="H1204" s="129"/>
      <c r="I1204" s="200"/>
      <c r="J1204" s="193"/>
      <c r="K1204" s="129"/>
      <c r="L1204" s="110"/>
      <c r="M1204" s="128">
        <v>9100</v>
      </c>
      <c r="N1204" s="129">
        <v>1761</v>
      </c>
      <c r="O1204" s="256">
        <f t="shared" si="150"/>
        <v>19.35164835164835</v>
      </c>
      <c r="P1204" s="193"/>
      <c r="Q1204" s="129"/>
      <c r="R1204" s="108"/>
    </row>
    <row r="1205" spans="1:18" ht="15" customHeight="1">
      <c r="A1205" s="191">
        <v>4410</v>
      </c>
      <c r="B1205" s="423" t="s">
        <v>338</v>
      </c>
      <c r="C1205" s="128">
        <v>1200</v>
      </c>
      <c r="D1205" s="104">
        <f t="shared" si="149"/>
        <v>1200</v>
      </c>
      <c r="E1205" s="129">
        <f t="shared" si="151"/>
        <v>232</v>
      </c>
      <c r="F1205" s="444">
        <f>E1205/D1205*100</f>
        <v>19.333333333333332</v>
      </c>
      <c r="G1205" s="128"/>
      <c r="H1205" s="129"/>
      <c r="I1205" s="200"/>
      <c r="J1205" s="193"/>
      <c r="K1205" s="129"/>
      <c r="L1205" s="110"/>
      <c r="M1205" s="128">
        <v>1200</v>
      </c>
      <c r="N1205" s="129">
        <v>232</v>
      </c>
      <c r="O1205" s="256">
        <f t="shared" si="150"/>
        <v>19.333333333333332</v>
      </c>
      <c r="P1205" s="193"/>
      <c r="Q1205" s="129"/>
      <c r="R1205" s="108"/>
    </row>
    <row r="1206" spans="1:18" ht="15" customHeight="1">
      <c r="A1206" s="191">
        <v>4440</v>
      </c>
      <c r="B1206" s="423" t="s">
        <v>368</v>
      </c>
      <c r="C1206" s="128">
        <v>12100</v>
      </c>
      <c r="D1206" s="104">
        <f t="shared" si="149"/>
        <v>12100</v>
      </c>
      <c r="E1206" s="129">
        <f t="shared" si="151"/>
        <v>0</v>
      </c>
      <c r="F1206" s="444">
        <f t="shared" si="148"/>
        <v>0</v>
      </c>
      <c r="G1206" s="128"/>
      <c r="H1206" s="129"/>
      <c r="I1206" s="200"/>
      <c r="J1206" s="193"/>
      <c r="K1206" s="193"/>
      <c r="L1206" s="110"/>
      <c r="M1206" s="128">
        <v>12100</v>
      </c>
      <c r="N1206" s="129"/>
      <c r="O1206" s="256">
        <f t="shared" si="150"/>
        <v>0</v>
      </c>
      <c r="P1206" s="193"/>
      <c r="Q1206" s="129"/>
      <c r="R1206" s="108"/>
    </row>
    <row r="1207" spans="1:18" ht="60">
      <c r="A1207" s="267">
        <v>4740</v>
      </c>
      <c r="B1207" s="291" t="s">
        <v>380</v>
      </c>
      <c r="C1207" s="128">
        <v>2600</v>
      </c>
      <c r="D1207" s="104">
        <f t="shared" si="149"/>
        <v>2600</v>
      </c>
      <c r="E1207" s="129">
        <f t="shared" si="151"/>
        <v>0</v>
      </c>
      <c r="F1207" s="444">
        <f>E1207/D1207*100</f>
        <v>0</v>
      </c>
      <c r="G1207" s="128"/>
      <c r="H1207" s="129"/>
      <c r="I1207" s="200"/>
      <c r="J1207" s="193"/>
      <c r="K1207" s="193"/>
      <c r="L1207" s="110"/>
      <c r="M1207" s="128">
        <v>2600</v>
      </c>
      <c r="N1207" s="129"/>
      <c r="O1207" s="256">
        <f t="shared" si="150"/>
        <v>0</v>
      </c>
      <c r="P1207" s="193"/>
      <c r="Q1207" s="129"/>
      <c r="R1207" s="108"/>
    </row>
    <row r="1208" spans="1:18" ht="36">
      <c r="A1208" s="267">
        <v>4750</v>
      </c>
      <c r="B1208" s="291" t="s">
        <v>467</v>
      </c>
      <c r="C1208" s="128">
        <v>600</v>
      </c>
      <c r="D1208" s="104">
        <f t="shared" si="149"/>
        <v>600</v>
      </c>
      <c r="E1208" s="129">
        <f t="shared" si="151"/>
        <v>116</v>
      </c>
      <c r="F1208" s="444">
        <f>E1208/D1208*100</f>
        <v>19.333333333333332</v>
      </c>
      <c r="G1208" s="128"/>
      <c r="H1208" s="129"/>
      <c r="I1208" s="200"/>
      <c r="J1208" s="193"/>
      <c r="K1208" s="193"/>
      <c r="L1208" s="110"/>
      <c r="M1208" s="128">
        <v>600</v>
      </c>
      <c r="N1208" s="129">
        <v>116</v>
      </c>
      <c r="O1208" s="256">
        <f t="shared" si="150"/>
        <v>19.333333333333332</v>
      </c>
      <c r="P1208" s="193"/>
      <c r="Q1208" s="129"/>
      <c r="R1208" s="108"/>
    </row>
    <row r="1209" spans="1:18" ht="38.25" customHeight="1">
      <c r="A1209" s="227">
        <v>6060</v>
      </c>
      <c r="B1209" s="445" t="s">
        <v>515</v>
      </c>
      <c r="C1209" s="229">
        <v>10570</v>
      </c>
      <c r="D1209" s="230">
        <f t="shared" si="149"/>
        <v>10570</v>
      </c>
      <c r="E1209" s="236">
        <f t="shared" si="151"/>
        <v>10570</v>
      </c>
      <c r="F1209" s="475">
        <f t="shared" si="148"/>
        <v>100</v>
      </c>
      <c r="G1209" s="229"/>
      <c r="H1209" s="236"/>
      <c r="I1209" s="238"/>
      <c r="J1209" s="233"/>
      <c r="K1209" s="233"/>
      <c r="L1209" s="319"/>
      <c r="M1209" s="229">
        <v>10570</v>
      </c>
      <c r="N1209" s="236">
        <v>10570</v>
      </c>
      <c r="O1209" s="256">
        <f t="shared" si="150"/>
        <v>100</v>
      </c>
      <c r="P1209" s="233"/>
      <c r="Q1209" s="236"/>
      <c r="R1209" s="170"/>
    </row>
    <row r="1210" spans="1:18" ht="24.75" customHeight="1">
      <c r="A1210" s="186">
        <v>85219</v>
      </c>
      <c r="B1210" s="422" t="s">
        <v>778</v>
      </c>
      <c r="C1210" s="188">
        <f>SUM(C1211:C1241)</f>
        <v>5978000</v>
      </c>
      <c r="D1210" s="137">
        <f t="shared" si="149"/>
        <v>5978000</v>
      </c>
      <c r="E1210" s="137">
        <f>H1210+K1210+Q1210+N1210</f>
        <v>1662726</v>
      </c>
      <c r="F1210" s="478">
        <f t="shared" si="148"/>
        <v>27.814084978253597</v>
      </c>
      <c r="G1210" s="136">
        <f>SUM(G1211:G1241)</f>
        <v>5978000</v>
      </c>
      <c r="H1210" s="119">
        <f>SUM(H1211:H1241)</f>
        <v>1662726</v>
      </c>
      <c r="I1210" s="297">
        <f aca="true" t="shared" si="152" ref="I1210:I1241">H1210/G1210*100</f>
        <v>27.814084978253597</v>
      </c>
      <c r="J1210" s="124"/>
      <c r="K1210" s="124"/>
      <c r="L1210" s="127"/>
      <c r="M1210" s="119"/>
      <c r="N1210" s="119"/>
      <c r="O1210" s="127"/>
      <c r="P1210" s="119"/>
      <c r="Q1210" s="119"/>
      <c r="R1210" s="283"/>
    </row>
    <row r="1211" spans="1:18" ht="36">
      <c r="A1211" s="172">
        <v>3020</v>
      </c>
      <c r="B1211" s="443" t="s">
        <v>677</v>
      </c>
      <c r="C1211" s="132">
        <v>14000</v>
      </c>
      <c r="D1211" s="149">
        <f t="shared" si="149"/>
        <v>14000</v>
      </c>
      <c r="E1211" s="150">
        <f>SUM(H1211+K1211+N1211+Q1211)</f>
        <v>0</v>
      </c>
      <c r="F1211" s="479">
        <f t="shared" si="148"/>
        <v>0</v>
      </c>
      <c r="G1211" s="132">
        <v>14000</v>
      </c>
      <c r="H1211" s="150"/>
      <c r="I1211" s="130">
        <f t="shared" si="152"/>
        <v>0</v>
      </c>
      <c r="J1211" s="223"/>
      <c r="K1211" s="150"/>
      <c r="L1211" s="113"/>
      <c r="M1211" s="150"/>
      <c r="N1211" s="150"/>
      <c r="O1211" s="113"/>
      <c r="P1211" s="150"/>
      <c r="Q1211" s="150"/>
      <c r="R1211" s="226"/>
    </row>
    <row r="1212" spans="1:18" ht="24">
      <c r="A1212" s="191">
        <v>4010</v>
      </c>
      <c r="B1212" s="423" t="s">
        <v>626</v>
      </c>
      <c r="C1212" s="128">
        <v>3554400</v>
      </c>
      <c r="D1212" s="104">
        <f t="shared" si="149"/>
        <v>3554400</v>
      </c>
      <c r="E1212" s="129">
        <f>SUM(H1212+K1212+N1212+Q1212)</f>
        <v>844422</v>
      </c>
      <c r="F1212" s="444">
        <f t="shared" si="148"/>
        <v>23.75708980418636</v>
      </c>
      <c r="G1212" s="128">
        <v>3554400</v>
      </c>
      <c r="H1212" s="129">
        <v>844422</v>
      </c>
      <c r="I1212" s="105">
        <f t="shared" si="152"/>
        <v>23.75708980418636</v>
      </c>
      <c r="J1212" s="193"/>
      <c r="K1212" s="129"/>
      <c r="L1212" s="108"/>
      <c r="M1212" s="129"/>
      <c r="N1212" s="129"/>
      <c r="O1212" s="108"/>
      <c r="P1212" s="129"/>
      <c r="Q1212" s="129"/>
      <c r="R1212" s="200"/>
    </row>
    <row r="1213" spans="1:18" ht="24">
      <c r="A1213" s="191">
        <v>4040</v>
      </c>
      <c r="B1213" s="423" t="s">
        <v>454</v>
      </c>
      <c r="C1213" s="128">
        <v>257960</v>
      </c>
      <c r="D1213" s="104">
        <f t="shared" si="149"/>
        <v>257960</v>
      </c>
      <c r="E1213" s="129">
        <f>SUM(H1213+K1213+N1213+Q1213)</f>
        <v>229655</v>
      </c>
      <c r="F1213" s="444">
        <f t="shared" si="148"/>
        <v>89.02736858427663</v>
      </c>
      <c r="G1213" s="128">
        <v>257960</v>
      </c>
      <c r="H1213" s="129">
        <v>229655</v>
      </c>
      <c r="I1213" s="105">
        <f t="shared" si="152"/>
        <v>89.02736858427663</v>
      </c>
      <c r="J1213" s="193"/>
      <c r="K1213" s="129"/>
      <c r="L1213" s="108"/>
      <c r="M1213" s="129"/>
      <c r="N1213" s="129"/>
      <c r="O1213" s="108"/>
      <c r="P1213" s="129"/>
      <c r="Q1213" s="129"/>
      <c r="R1213" s="200"/>
    </row>
    <row r="1214" spans="1:18" ht="24">
      <c r="A1214" s="191">
        <v>4110</v>
      </c>
      <c r="B1214" s="423" t="s">
        <v>352</v>
      </c>
      <c r="C1214" s="128">
        <v>602160</v>
      </c>
      <c r="D1214" s="104">
        <f t="shared" si="149"/>
        <v>602160</v>
      </c>
      <c r="E1214" s="129">
        <f aca="true" t="shared" si="153" ref="E1214:E1231">SUM(H1214+K1214+N1214+Q1214)</f>
        <v>168747</v>
      </c>
      <c r="F1214" s="444">
        <f t="shared" si="148"/>
        <v>28.023614986050223</v>
      </c>
      <c r="G1214" s="128">
        <v>602160</v>
      </c>
      <c r="H1214" s="129">
        <v>168747</v>
      </c>
      <c r="I1214" s="105">
        <f t="shared" si="152"/>
        <v>28.023614986050223</v>
      </c>
      <c r="J1214" s="193"/>
      <c r="K1214" s="129"/>
      <c r="L1214" s="108"/>
      <c r="M1214" s="129"/>
      <c r="N1214" s="129"/>
      <c r="O1214" s="108"/>
      <c r="P1214" s="129"/>
      <c r="Q1214" s="129"/>
      <c r="R1214" s="200"/>
    </row>
    <row r="1215" spans="1:18" ht="12.75">
      <c r="A1215" s="191">
        <v>4120</v>
      </c>
      <c r="B1215" s="423" t="s">
        <v>504</v>
      </c>
      <c r="C1215" s="128">
        <v>89750</v>
      </c>
      <c r="D1215" s="104">
        <f t="shared" si="149"/>
        <v>89750</v>
      </c>
      <c r="E1215" s="129">
        <f t="shared" si="153"/>
        <v>26080</v>
      </c>
      <c r="F1215" s="444">
        <f t="shared" si="148"/>
        <v>29.05849582172702</v>
      </c>
      <c r="G1215" s="128">
        <v>89750</v>
      </c>
      <c r="H1215" s="129">
        <v>26080</v>
      </c>
      <c r="I1215" s="105">
        <f t="shared" si="152"/>
        <v>29.05849582172702</v>
      </c>
      <c r="J1215" s="193"/>
      <c r="K1215" s="129"/>
      <c r="L1215" s="108"/>
      <c r="M1215" s="129"/>
      <c r="N1215" s="129"/>
      <c r="O1215" s="108"/>
      <c r="P1215" s="129"/>
      <c r="Q1215" s="129"/>
      <c r="R1215" s="200"/>
    </row>
    <row r="1216" spans="1:18" ht="12.75">
      <c r="A1216" s="191">
        <v>4140</v>
      </c>
      <c r="B1216" s="423" t="s">
        <v>457</v>
      </c>
      <c r="C1216" s="128">
        <v>51000</v>
      </c>
      <c r="D1216" s="104">
        <f>G1216+J1216+P1216+M1216</f>
        <v>51000</v>
      </c>
      <c r="E1216" s="129">
        <f>SUM(H1216+K1216+N1216+Q1216)</f>
        <v>20934</v>
      </c>
      <c r="F1216" s="444">
        <f>E1216/D1216*100</f>
        <v>41.04705882352941</v>
      </c>
      <c r="G1216" s="128">
        <v>51000</v>
      </c>
      <c r="H1216" s="129">
        <v>20934</v>
      </c>
      <c r="I1216" s="105">
        <f t="shared" si="152"/>
        <v>41.04705882352941</v>
      </c>
      <c r="J1216" s="193"/>
      <c r="K1216" s="129"/>
      <c r="L1216" s="108"/>
      <c r="M1216" s="129"/>
      <c r="N1216" s="129"/>
      <c r="O1216" s="108"/>
      <c r="P1216" s="129"/>
      <c r="Q1216" s="129"/>
      <c r="R1216" s="200"/>
    </row>
    <row r="1217" spans="1:18" ht="24">
      <c r="A1217" s="191">
        <v>4170</v>
      </c>
      <c r="B1217" s="423" t="s">
        <v>392</v>
      </c>
      <c r="C1217" s="128">
        <v>3000</v>
      </c>
      <c r="D1217" s="104">
        <f t="shared" si="149"/>
        <v>3000</v>
      </c>
      <c r="E1217" s="129">
        <f t="shared" si="153"/>
        <v>0</v>
      </c>
      <c r="F1217" s="444">
        <f t="shared" si="148"/>
        <v>0</v>
      </c>
      <c r="G1217" s="128">
        <v>3000</v>
      </c>
      <c r="H1217" s="129"/>
      <c r="I1217" s="105">
        <f t="shared" si="152"/>
        <v>0</v>
      </c>
      <c r="J1217" s="193"/>
      <c r="K1217" s="129"/>
      <c r="L1217" s="108"/>
      <c r="M1217" s="129"/>
      <c r="N1217" s="129"/>
      <c r="O1217" s="108"/>
      <c r="P1217" s="129"/>
      <c r="Q1217" s="129"/>
      <c r="R1217" s="200"/>
    </row>
    <row r="1218" spans="1:18" ht="24">
      <c r="A1218" s="191">
        <v>4210</v>
      </c>
      <c r="B1218" s="423" t="s">
        <v>356</v>
      </c>
      <c r="C1218" s="128">
        <v>154350</v>
      </c>
      <c r="D1218" s="104">
        <f t="shared" si="149"/>
        <v>154350</v>
      </c>
      <c r="E1218" s="129">
        <f t="shared" si="153"/>
        <v>30189</v>
      </c>
      <c r="F1218" s="444">
        <f t="shared" si="148"/>
        <v>19.558794946550048</v>
      </c>
      <c r="G1218" s="128">
        <v>154350</v>
      </c>
      <c r="H1218" s="129">
        <v>30189</v>
      </c>
      <c r="I1218" s="162">
        <f t="shared" si="152"/>
        <v>19.558794946550048</v>
      </c>
      <c r="J1218" s="193"/>
      <c r="K1218" s="129"/>
      <c r="L1218" s="108"/>
      <c r="M1218" s="129"/>
      <c r="N1218" s="129"/>
      <c r="O1218" s="108"/>
      <c r="P1218" s="129"/>
      <c r="Q1218" s="129"/>
      <c r="R1218" s="200"/>
    </row>
    <row r="1219" spans="1:18" ht="12.75">
      <c r="A1219" s="191">
        <v>4260</v>
      </c>
      <c r="B1219" s="423" t="s">
        <v>360</v>
      </c>
      <c r="C1219" s="128">
        <v>95000</v>
      </c>
      <c r="D1219" s="104">
        <f t="shared" si="149"/>
        <v>95000</v>
      </c>
      <c r="E1219" s="129">
        <f t="shared" si="153"/>
        <v>25755</v>
      </c>
      <c r="F1219" s="444">
        <f t="shared" si="148"/>
        <v>27.110526315789475</v>
      </c>
      <c r="G1219" s="128">
        <v>95000</v>
      </c>
      <c r="H1219" s="129">
        <v>25755</v>
      </c>
      <c r="I1219" s="162">
        <f t="shared" si="152"/>
        <v>27.110526315789475</v>
      </c>
      <c r="J1219" s="193"/>
      <c r="K1219" s="129"/>
      <c r="L1219" s="108"/>
      <c r="M1219" s="129"/>
      <c r="N1219" s="129"/>
      <c r="O1219" s="108"/>
      <c r="P1219" s="129"/>
      <c r="Q1219" s="129"/>
      <c r="R1219" s="200"/>
    </row>
    <row r="1220" spans="1:18" ht="15" customHeight="1">
      <c r="A1220" s="191">
        <v>4270</v>
      </c>
      <c r="B1220" s="423" t="s">
        <v>362</v>
      </c>
      <c r="C1220" s="128">
        <v>70000</v>
      </c>
      <c r="D1220" s="104">
        <f t="shared" si="149"/>
        <v>70000</v>
      </c>
      <c r="E1220" s="129">
        <f t="shared" si="153"/>
        <v>3417</v>
      </c>
      <c r="F1220" s="444">
        <f t="shared" si="148"/>
        <v>4.881428571428572</v>
      </c>
      <c r="G1220" s="128">
        <v>70000</v>
      </c>
      <c r="H1220" s="129">
        <v>3417</v>
      </c>
      <c r="I1220" s="162">
        <f t="shared" si="152"/>
        <v>4.881428571428572</v>
      </c>
      <c r="J1220" s="193"/>
      <c r="K1220" s="129"/>
      <c r="L1220" s="108"/>
      <c r="M1220" s="129"/>
      <c r="N1220" s="129"/>
      <c r="O1220" s="108"/>
      <c r="P1220" s="129"/>
      <c r="Q1220" s="129"/>
      <c r="R1220" s="200"/>
    </row>
    <row r="1221" spans="1:18" ht="15" customHeight="1">
      <c r="A1221" s="191">
        <v>4280</v>
      </c>
      <c r="B1221" s="423" t="s">
        <v>458</v>
      </c>
      <c r="C1221" s="128">
        <v>5000</v>
      </c>
      <c r="D1221" s="104">
        <f t="shared" si="149"/>
        <v>5000</v>
      </c>
      <c r="E1221" s="129">
        <f t="shared" si="153"/>
        <v>403</v>
      </c>
      <c r="F1221" s="444">
        <f t="shared" si="148"/>
        <v>8.06</v>
      </c>
      <c r="G1221" s="128">
        <v>5000</v>
      </c>
      <c r="H1221" s="129">
        <v>403</v>
      </c>
      <c r="I1221" s="162">
        <f t="shared" si="152"/>
        <v>8.06</v>
      </c>
      <c r="J1221" s="193"/>
      <c r="K1221" s="129"/>
      <c r="L1221" s="108"/>
      <c r="M1221" s="129"/>
      <c r="N1221" s="129"/>
      <c r="O1221" s="108"/>
      <c r="P1221" s="129"/>
      <c r="Q1221" s="129"/>
      <c r="R1221" s="200"/>
    </row>
    <row r="1222" spans="1:18" ht="15" customHeight="1">
      <c r="A1222" s="191">
        <v>4300</v>
      </c>
      <c r="B1222" s="423" t="s">
        <v>459</v>
      </c>
      <c r="C1222" s="128">
        <v>195000</v>
      </c>
      <c r="D1222" s="104">
        <f t="shared" si="149"/>
        <v>195000</v>
      </c>
      <c r="E1222" s="129">
        <f t="shared" si="153"/>
        <v>70753</v>
      </c>
      <c r="F1222" s="444">
        <f t="shared" si="148"/>
        <v>36.283589743589744</v>
      </c>
      <c r="G1222" s="128">
        <v>195000</v>
      </c>
      <c r="H1222" s="129">
        <v>70753</v>
      </c>
      <c r="I1222" s="162">
        <f t="shared" si="152"/>
        <v>36.283589743589744</v>
      </c>
      <c r="J1222" s="193"/>
      <c r="K1222" s="129"/>
      <c r="L1222" s="108"/>
      <c r="M1222" s="129"/>
      <c r="N1222" s="129"/>
      <c r="O1222" s="108"/>
      <c r="P1222" s="129"/>
      <c r="Q1222" s="129"/>
      <c r="R1222" s="200"/>
    </row>
    <row r="1223" spans="1:18" ht="24">
      <c r="A1223" s="191">
        <v>4350</v>
      </c>
      <c r="B1223" s="423" t="s">
        <v>460</v>
      </c>
      <c r="C1223" s="128">
        <v>5000</v>
      </c>
      <c r="D1223" s="104">
        <f t="shared" si="149"/>
        <v>5000</v>
      </c>
      <c r="E1223" s="129">
        <f t="shared" si="153"/>
        <v>1058</v>
      </c>
      <c r="F1223" s="444">
        <f t="shared" si="148"/>
        <v>21.16</v>
      </c>
      <c r="G1223" s="128">
        <v>5000</v>
      </c>
      <c r="H1223" s="129">
        <v>1058</v>
      </c>
      <c r="I1223" s="162">
        <f t="shared" si="152"/>
        <v>21.16</v>
      </c>
      <c r="J1223" s="193"/>
      <c r="K1223" s="129"/>
      <c r="L1223" s="108"/>
      <c r="M1223" s="129"/>
      <c r="N1223" s="129"/>
      <c r="O1223" s="108"/>
      <c r="P1223" s="129"/>
      <c r="Q1223" s="129"/>
      <c r="R1223" s="200"/>
    </row>
    <row r="1224" spans="1:18" ht="48">
      <c r="A1224" s="267">
        <v>4360</v>
      </c>
      <c r="B1224" s="291" t="s">
        <v>635</v>
      </c>
      <c r="C1224" s="128">
        <v>11000</v>
      </c>
      <c r="D1224" s="104">
        <f t="shared" si="149"/>
        <v>11000</v>
      </c>
      <c r="E1224" s="129">
        <f>SUM(H1224+K1224+N1224+Q1224)</f>
        <v>2121</v>
      </c>
      <c r="F1224" s="444">
        <f>E1224/D1224*100</f>
        <v>19.28181818181818</v>
      </c>
      <c r="G1224" s="128">
        <v>11000</v>
      </c>
      <c r="H1224" s="129">
        <v>2121</v>
      </c>
      <c r="I1224" s="162">
        <f t="shared" si="152"/>
        <v>19.28181818181818</v>
      </c>
      <c r="J1224" s="193"/>
      <c r="K1224" s="129"/>
      <c r="L1224" s="108"/>
      <c r="M1224" s="129"/>
      <c r="N1224" s="129"/>
      <c r="O1224" s="108"/>
      <c r="P1224" s="129"/>
      <c r="Q1224" s="129"/>
      <c r="R1224" s="200"/>
    </row>
    <row r="1225" spans="1:18" ht="48">
      <c r="A1225" s="267">
        <v>4370</v>
      </c>
      <c r="B1225" s="291" t="s">
        <v>577</v>
      </c>
      <c r="C1225" s="128">
        <v>64000</v>
      </c>
      <c r="D1225" s="104">
        <f t="shared" si="149"/>
        <v>64000</v>
      </c>
      <c r="E1225" s="129">
        <f>SUM(H1225+K1225+N1225+Q1225)</f>
        <v>14377</v>
      </c>
      <c r="F1225" s="444">
        <f>E1225/D1225*100</f>
        <v>22.4640625</v>
      </c>
      <c r="G1225" s="128">
        <v>64000</v>
      </c>
      <c r="H1225" s="129">
        <v>14377</v>
      </c>
      <c r="I1225" s="162">
        <f t="shared" si="152"/>
        <v>22.4640625</v>
      </c>
      <c r="J1225" s="193"/>
      <c r="K1225" s="129"/>
      <c r="L1225" s="108"/>
      <c r="M1225" s="129"/>
      <c r="N1225" s="129"/>
      <c r="O1225" s="108"/>
      <c r="P1225" s="129"/>
      <c r="Q1225" s="129"/>
      <c r="R1225" s="200"/>
    </row>
    <row r="1226" spans="1:18" ht="36">
      <c r="A1226" s="267">
        <v>4390</v>
      </c>
      <c r="B1226" s="291" t="s">
        <v>393</v>
      </c>
      <c r="C1226" s="128">
        <v>41000</v>
      </c>
      <c r="D1226" s="104">
        <f>G1226+J1226+P1226+M1226</f>
        <v>41000</v>
      </c>
      <c r="E1226" s="129">
        <f>SUM(H1226+K1226+N1226+Q1226)</f>
        <v>4880</v>
      </c>
      <c r="F1226" s="444">
        <f>E1226/D1226*100</f>
        <v>11.902439024390244</v>
      </c>
      <c r="G1226" s="128">
        <v>41000</v>
      </c>
      <c r="H1226" s="129">
        <v>4880</v>
      </c>
      <c r="I1226" s="162">
        <f t="shared" si="152"/>
        <v>11.902439024390244</v>
      </c>
      <c r="J1226" s="193"/>
      <c r="K1226" s="129"/>
      <c r="L1226" s="108"/>
      <c r="M1226" s="129"/>
      <c r="N1226" s="129"/>
      <c r="O1226" s="108"/>
      <c r="P1226" s="129"/>
      <c r="Q1226" s="129"/>
      <c r="R1226" s="200"/>
    </row>
    <row r="1227" spans="1:18" ht="24">
      <c r="A1227" s="267">
        <v>4400</v>
      </c>
      <c r="B1227" s="291" t="s">
        <v>463</v>
      </c>
      <c r="C1227" s="128">
        <v>7250</v>
      </c>
      <c r="D1227" s="104">
        <f t="shared" si="149"/>
        <v>7250</v>
      </c>
      <c r="E1227" s="129">
        <f>SUM(H1227+K1227+N1227+Q1227)</f>
        <v>1150</v>
      </c>
      <c r="F1227" s="444">
        <f>E1227/D1227*100</f>
        <v>15.862068965517242</v>
      </c>
      <c r="G1227" s="128">
        <v>7250</v>
      </c>
      <c r="H1227" s="129">
        <v>1150</v>
      </c>
      <c r="I1227" s="162">
        <f t="shared" si="152"/>
        <v>15.862068965517242</v>
      </c>
      <c r="J1227" s="193"/>
      <c r="K1227" s="129"/>
      <c r="L1227" s="108"/>
      <c r="M1227" s="129"/>
      <c r="N1227" s="129"/>
      <c r="O1227" s="108"/>
      <c r="P1227" s="129"/>
      <c r="Q1227" s="129"/>
      <c r="R1227" s="200"/>
    </row>
    <row r="1228" spans="1:18" ht="15" customHeight="1">
      <c r="A1228" s="191">
        <v>4410</v>
      </c>
      <c r="B1228" s="423" t="s">
        <v>338</v>
      </c>
      <c r="C1228" s="128">
        <v>39500</v>
      </c>
      <c r="D1228" s="104">
        <f t="shared" si="149"/>
        <v>39500</v>
      </c>
      <c r="E1228" s="129">
        <f t="shared" si="153"/>
        <v>7212</v>
      </c>
      <c r="F1228" s="444">
        <f t="shared" si="148"/>
        <v>18.258227848101267</v>
      </c>
      <c r="G1228" s="128">
        <v>39500</v>
      </c>
      <c r="H1228" s="129">
        <v>7212</v>
      </c>
      <c r="I1228" s="162">
        <f t="shared" si="152"/>
        <v>18.258227848101267</v>
      </c>
      <c r="J1228" s="193"/>
      <c r="K1228" s="129"/>
      <c r="L1228" s="108"/>
      <c r="M1228" s="129"/>
      <c r="N1228" s="129"/>
      <c r="O1228" s="108"/>
      <c r="P1228" s="129"/>
      <c r="Q1228" s="129"/>
      <c r="R1228" s="200"/>
    </row>
    <row r="1229" spans="1:18" ht="24" hidden="1">
      <c r="A1229" s="191">
        <v>4420</v>
      </c>
      <c r="B1229" s="423" t="s">
        <v>477</v>
      </c>
      <c r="C1229" s="128"/>
      <c r="D1229" s="104">
        <f t="shared" si="149"/>
        <v>0</v>
      </c>
      <c r="E1229" s="129">
        <f t="shared" si="153"/>
        <v>0</v>
      </c>
      <c r="F1229" s="444" t="e">
        <f t="shared" si="148"/>
        <v>#DIV/0!</v>
      </c>
      <c r="G1229" s="128"/>
      <c r="H1229" s="129"/>
      <c r="I1229" s="162" t="e">
        <f t="shared" si="152"/>
        <v>#DIV/0!</v>
      </c>
      <c r="J1229" s="193"/>
      <c r="K1229" s="129"/>
      <c r="L1229" s="108"/>
      <c r="M1229" s="129"/>
      <c r="N1229" s="129"/>
      <c r="O1229" s="108"/>
      <c r="P1229" s="129"/>
      <c r="Q1229" s="129"/>
      <c r="R1229" s="200"/>
    </row>
    <row r="1230" spans="1:18" ht="15" customHeight="1">
      <c r="A1230" s="191">
        <v>4430</v>
      </c>
      <c r="B1230" s="423" t="s">
        <v>366</v>
      </c>
      <c r="C1230" s="128">
        <v>14200</v>
      </c>
      <c r="D1230" s="104">
        <f t="shared" si="149"/>
        <v>14200</v>
      </c>
      <c r="E1230" s="129">
        <f t="shared" si="153"/>
        <v>8780</v>
      </c>
      <c r="F1230" s="444">
        <f t="shared" si="148"/>
        <v>61.83098591549295</v>
      </c>
      <c r="G1230" s="128">
        <v>14200</v>
      </c>
      <c r="H1230" s="129">
        <v>8780</v>
      </c>
      <c r="I1230" s="162">
        <f t="shared" si="152"/>
        <v>61.83098591549295</v>
      </c>
      <c r="J1230" s="193"/>
      <c r="K1230" s="129"/>
      <c r="L1230" s="108"/>
      <c r="M1230" s="129"/>
      <c r="N1230" s="129"/>
      <c r="O1230" s="108"/>
      <c r="P1230" s="129"/>
      <c r="Q1230" s="129"/>
      <c r="R1230" s="200"/>
    </row>
    <row r="1231" spans="1:18" ht="15" customHeight="1">
      <c r="A1231" s="191">
        <v>4440</v>
      </c>
      <c r="B1231" s="423" t="s">
        <v>368</v>
      </c>
      <c r="C1231" s="128">
        <v>92000</v>
      </c>
      <c r="D1231" s="104">
        <f t="shared" si="149"/>
        <v>92000</v>
      </c>
      <c r="E1231" s="129">
        <f t="shared" si="153"/>
        <v>594</v>
      </c>
      <c r="F1231" s="444">
        <f t="shared" si="148"/>
        <v>0.6456521739130434</v>
      </c>
      <c r="G1231" s="128">
        <v>92000</v>
      </c>
      <c r="H1231" s="129">
        <v>594</v>
      </c>
      <c r="I1231" s="105">
        <f t="shared" si="152"/>
        <v>0.6456521739130434</v>
      </c>
      <c r="J1231" s="193"/>
      <c r="K1231" s="129"/>
      <c r="L1231" s="108"/>
      <c r="M1231" s="129"/>
      <c r="N1231" s="129"/>
      <c r="O1231" s="108"/>
      <c r="P1231" s="129"/>
      <c r="Q1231" s="129"/>
      <c r="R1231" s="200"/>
    </row>
    <row r="1232" spans="1:18" ht="17.25" customHeight="1">
      <c r="A1232" s="191">
        <v>4480</v>
      </c>
      <c r="B1232" s="423" t="s">
        <v>370</v>
      </c>
      <c r="C1232" s="128">
        <v>16630</v>
      </c>
      <c r="D1232" s="104">
        <f t="shared" si="149"/>
        <v>16630</v>
      </c>
      <c r="E1232" s="104">
        <f>H1232+K1232+Q1232+N1232</f>
        <v>4071</v>
      </c>
      <c r="F1232" s="444">
        <f t="shared" si="148"/>
        <v>24.4798556825015</v>
      </c>
      <c r="G1232" s="128">
        <v>16630</v>
      </c>
      <c r="H1232" s="129">
        <v>4071</v>
      </c>
      <c r="I1232" s="162">
        <f t="shared" si="152"/>
        <v>24.4798556825015</v>
      </c>
      <c r="J1232" s="193"/>
      <c r="K1232" s="129"/>
      <c r="L1232" s="108"/>
      <c r="M1232" s="129"/>
      <c r="N1232" s="129"/>
      <c r="O1232" s="108"/>
      <c r="P1232" s="129"/>
      <c r="Q1232" s="129"/>
      <c r="R1232" s="200"/>
    </row>
    <row r="1233" spans="1:18" ht="24">
      <c r="A1233" s="191">
        <v>4530</v>
      </c>
      <c r="B1233" s="423" t="s">
        <v>494</v>
      </c>
      <c r="C1233" s="128">
        <v>300</v>
      </c>
      <c r="D1233" s="104">
        <f t="shared" si="149"/>
        <v>300</v>
      </c>
      <c r="E1233" s="104">
        <f>H1233+K1233+Q1233+N1233</f>
        <v>40</v>
      </c>
      <c r="F1233" s="444">
        <f t="shared" si="148"/>
        <v>13.333333333333334</v>
      </c>
      <c r="G1233" s="128">
        <v>300</v>
      </c>
      <c r="H1233" s="129">
        <v>40</v>
      </c>
      <c r="I1233" s="162">
        <f t="shared" si="152"/>
        <v>13.333333333333334</v>
      </c>
      <c r="J1233" s="193"/>
      <c r="K1233" s="129"/>
      <c r="L1233" s="108"/>
      <c r="M1233" s="129"/>
      <c r="N1233" s="129"/>
      <c r="O1233" s="108"/>
      <c r="P1233" s="129"/>
      <c r="Q1233" s="129"/>
      <c r="R1233" s="200"/>
    </row>
    <row r="1234" spans="1:18" ht="12.75" hidden="1">
      <c r="A1234" s="191">
        <v>4580</v>
      </c>
      <c r="B1234" s="423" t="s">
        <v>394</v>
      </c>
      <c r="C1234" s="128"/>
      <c r="D1234" s="104">
        <f>G1234+J1234+P1234+M1234</f>
        <v>0</v>
      </c>
      <c r="E1234" s="104">
        <f>H1234+K1234+Q1234+N1234</f>
        <v>0</v>
      </c>
      <c r="F1234" s="444" t="e">
        <f>E1234/D1234*100</f>
        <v>#DIV/0!</v>
      </c>
      <c r="G1234" s="128"/>
      <c r="H1234" s="129"/>
      <c r="I1234" s="162" t="e">
        <f t="shared" si="152"/>
        <v>#DIV/0!</v>
      </c>
      <c r="J1234" s="193"/>
      <c r="K1234" s="129"/>
      <c r="L1234" s="108"/>
      <c r="M1234" s="129"/>
      <c r="N1234" s="129"/>
      <c r="O1234" s="108"/>
      <c r="P1234" s="129"/>
      <c r="Q1234" s="129"/>
      <c r="R1234" s="200"/>
    </row>
    <row r="1235" spans="1:18" ht="36">
      <c r="A1235" s="191">
        <v>4610</v>
      </c>
      <c r="B1235" s="423" t="s">
        <v>779</v>
      </c>
      <c r="C1235" s="128">
        <v>4400</v>
      </c>
      <c r="D1235" s="104">
        <f t="shared" si="149"/>
        <v>4400</v>
      </c>
      <c r="E1235" s="129">
        <f aca="true" t="shared" si="154" ref="E1235:E1241">SUM(H1235+K1235+N1235+Q1235)</f>
        <v>232</v>
      </c>
      <c r="F1235" s="444">
        <f t="shared" si="148"/>
        <v>5.2727272727272725</v>
      </c>
      <c r="G1235" s="128">
        <v>4400</v>
      </c>
      <c r="H1235" s="129">
        <v>232</v>
      </c>
      <c r="I1235" s="162">
        <f t="shared" si="152"/>
        <v>5.2727272727272725</v>
      </c>
      <c r="J1235" s="193"/>
      <c r="K1235" s="129"/>
      <c r="L1235" s="108"/>
      <c r="M1235" s="129"/>
      <c r="N1235" s="129"/>
      <c r="O1235" s="108"/>
      <c r="P1235" s="129"/>
      <c r="Q1235" s="129"/>
      <c r="R1235" s="200"/>
    </row>
    <row r="1236" spans="1:18" ht="36">
      <c r="A1236" s="267">
        <v>4700</v>
      </c>
      <c r="B1236" s="291" t="s">
        <v>466</v>
      </c>
      <c r="C1236" s="128">
        <v>20400</v>
      </c>
      <c r="D1236" s="104">
        <f t="shared" si="149"/>
        <v>20400</v>
      </c>
      <c r="E1236" s="129">
        <f t="shared" si="154"/>
        <v>3975</v>
      </c>
      <c r="F1236" s="444">
        <f t="shared" si="148"/>
        <v>19.485294117647058</v>
      </c>
      <c r="G1236" s="128">
        <v>20400</v>
      </c>
      <c r="H1236" s="129">
        <v>3975</v>
      </c>
      <c r="I1236" s="162">
        <f t="shared" si="152"/>
        <v>19.485294117647058</v>
      </c>
      <c r="J1236" s="193"/>
      <c r="K1236" s="129"/>
      <c r="L1236" s="108"/>
      <c r="M1236" s="129"/>
      <c r="N1236" s="129"/>
      <c r="O1236" s="108"/>
      <c r="P1236" s="129"/>
      <c r="Q1236" s="129"/>
      <c r="R1236" s="200"/>
    </row>
    <row r="1237" spans="1:18" ht="60">
      <c r="A1237" s="267">
        <v>4740</v>
      </c>
      <c r="B1237" s="291" t="s">
        <v>380</v>
      </c>
      <c r="C1237" s="128">
        <v>22700</v>
      </c>
      <c r="D1237" s="104">
        <f t="shared" si="149"/>
        <v>22700</v>
      </c>
      <c r="E1237" s="129">
        <f t="shared" si="154"/>
        <v>317</v>
      </c>
      <c r="F1237" s="444">
        <f t="shared" si="148"/>
        <v>1.39647577092511</v>
      </c>
      <c r="G1237" s="128">
        <v>22700</v>
      </c>
      <c r="H1237" s="129">
        <v>317</v>
      </c>
      <c r="I1237" s="162">
        <f t="shared" si="152"/>
        <v>1.39647577092511</v>
      </c>
      <c r="J1237" s="193"/>
      <c r="K1237" s="129"/>
      <c r="L1237" s="108"/>
      <c r="M1237" s="129"/>
      <c r="N1237" s="129"/>
      <c r="O1237" s="108"/>
      <c r="P1237" s="129"/>
      <c r="Q1237" s="129"/>
      <c r="R1237" s="200"/>
    </row>
    <row r="1238" spans="1:18" ht="36">
      <c r="A1238" s="267">
        <v>4750</v>
      </c>
      <c r="B1238" s="291" t="s">
        <v>467</v>
      </c>
      <c r="C1238" s="128">
        <v>40000</v>
      </c>
      <c r="D1238" s="104">
        <f>G1238+J1238+P1238+M1238</f>
        <v>40000</v>
      </c>
      <c r="E1238" s="129">
        <f t="shared" si="154"/>
        <v>15808</v>
      </c>
      <c r="F1238" s="444">
        <f t="shared" si="148"/>
        <v>39.519999999999996</v>
      </c>
      <c r="G1238" s="128">
        <v>40000</v>
      </c>
      <c r="H1238" s="129">
        <v>15808</v>
      </c>
      <c r="I1238" s="162">
        <f t="shared" si="152"/>
        <v>39.519999999999996</v>
      </c>
      <c r="J1238" s="193"/>
      <c r="K1238" s="129"/>
      <c r="L1238" s="108"/>
      <c r="M1238" s="129"/>
      <c r="N1238" s="129"/>
      <c r="O1238" s="108"/>
      <c r="P1238" s="129"/>
      <c r="Q1238" s="129"/>
      <c r="R1238" s="200"/>
    </row>
    <row r="1239" spans="1:18" ht="12.75">
      <c r="A1239" s="267">
        <v>4990</v>
      </c>
      <c r="B1239" s="305" t="s">
        <v>780</v>
      </c>
      <c r="C1239" s="128"/>
      <c r="D1239" s="104"/>
      <c r="E1239" s="129">
        <f t="shared" si="154"/>
        <v>689</v>
      </c>
      <c r="F1239" s="444"/>
      <c r="G1239" s="128"/>
      <c r="H1239" s="129">
        <v>689</v>
      </c>
      <c r="I1239" s="162"/>
      <c r="J1239" s="193"/>
      <c r="K1239" s="129"/>
      <c r="L1239" s="108"/>
      <c r="M1239" s="129"/>
      <c r="N1239" s="129"/>
      <c r="O1239" s="108"/>
      <c r="P1239" s="129"/>
      <c r="Q1239" s="129"/>
      <c r="R1239" s="200"/>
    </row>
    <row r="1240" spans="1:18" ht="24">
      <c r="A1240" s="191">
        <v>6050</v>
      </c>
      <c r="B1240" s="423" t="s">
        <v>396</v>
      </c>
      <c r="C1240" s="128">
        <v>227000</v>
      </c>
      <c r="D1240" s="104">
        <f>G1240+J1240+P1240+M1240</f>
        <v>227000</v>
      </c>
      <c r="E1240" s="129">
        <f t="shared" si="154"/>
        <v>0</v>
      </c>
      <c r="F1240" s="444">
        <f t="shared" si="148"/>
        <v>0</v>
      </c>
      <c r="G1240" s="128">
        <v>227000</v>
      </c>
      <c r="H1240" s="129"/>
      <c r="I1240" s="162">
        <f t="shared" si="152"/>
        <v>0</v>
      </c>
      <c r="J1240" s="193"/>
      <c r="K1240" s="129"/>
      <c r="L1240" s="108"/>
      <c r="M1240" s="129"/>
      <c r="N1240" s="129"/>
      <c r="O1240" s="108"/>
      <c r="P1240" s="129"/>
      <c r="Q1240" s="129"/>
      <c r="R1240" s="200"/>
    </row>
    <row r="1241" spans="1:18" s="185" customFormat="1" ht="60">
      <c r="A1241" s="227">
        <v>6060</v>
      </c>
      <c r="B1241" s="445" t="s">
        <v>781</v>
      </c>
      <c r="C1241" s="128">
        <v>281000</v>
      </c>
      <c r="D1241" s="104">
        <f t="shared" si="149"/>
        <v>281000</v>
      </c>
      <c r="E1241" s="129">
        <f t="shared" si="154"/>
        <v>177067</v>
      </c>
      <c r="F1241" s="444">
        <f t="shared" si="148"/>
        <v>63.01316725978647</v>
      </c>
      <c r="G1241" s="128">
        <v>281000</v>
      </c>
      <c r="H1241" s="236">
        <v>177067</v>
      </c>
      <c r="I1241" s="162">
        <f t="shared" si="152"/>
        <v>63.01316725978647</v>
      </c>
      <c r="J1241" s="233"/>
      <c r="K1241" s="236"/>
      <c r="L1241" s="108"/>
      <c r="M1241" s="236"/>
      <c r="N1241" s="236"/>
      <c r="O1241" s="108"/>
      <c r="P1241" s="236"/>
      <c r="Q1241" s="236"/>
      <c r="R1241" s="238"/>
    </row>
    <row r="1242" spans="1:18" s="185" customFormat="1" ht="72">
      <c r="A1242" s="186">
        <v>85220</v>
      </c>
      <c r="B1242" s="422" t="s">
        <v>782</v>
      </c>
      <c r="C1242" s="188">
        <f>SUM(C1243:C1251)</f>
        <v>233000</v>
      </c>
      <c r="D1242" s="137">
        <f t="shared" si="149"/>
        <v>233000</v>
      </c>
      <c r="E1242" s="119">
        <f>H1242+K1242+Q1242+N1242</f>
        <v>100094</v>
      </c>
      <c r="F1242" s="478">
        <f t="shared" si="148"/>
        <v>42.9587982832618</v>
      </c>
      <c r="G1242" s="188">
        <f>SUM(G1243:G1251)</f>
        <v>30000</v>
      </c>
      <c r="H1242" s="119">
        <f>SUM(H1243:H1251)</f>
        <v>5094</v>
      </c>
      <c r="I1242" s="283">
        <f>H1242/G1242*100</f>
        <v>16.98</v>
      </c>
      <c r="J1242" s="124"/>
      <c r="K1242" s="119"/>
      <c r="L1242" s="125"/>
      <c r="M1242" s="119">
        <f>SUM(M1243:M1251)</f>
        <v>190000</v>
      </c>
      <c r="N1242" s="119">
        <f>SUM(N1243:N1251)</f>
        <v>95000</v>
      </c>
      <c r="O1242" s="127">
        <f>N1242/M1242*100</f>
        <v>50</v>
      </c>
      <c r="P1242" s="119">
        <f>SUM(P1243:P1251)</f>
        <v>13000</v>
      </c>
      <c r="Q1242" s="119">
        <f>SUM(Q1243:Q1251)</f>
        <v>0</v>
      </c>
      <c r="R1242" s="214">
        <f>Q1242/P1242*100</f>
        <v>0</v>
      </c>
    </row>
    <row r="1243" spans="1:18" s="185" customFormat="1" ht="72">
      <c r="A1243" s="191">
        <v>2820</v>
      </c>
      <c r="B1243" s="423" t="s">
        <v>472</v>
      </c>
      <c r="C1243" s="128">
        <v>190000</v>
      </c>
      <c r="D1243" s="104">
        <f t="shared" si="149"/>
        <v>190000</v>
      </c>
      <c r="E1243" s="129">
        <f aca="true" t="shared" si="155" ref="E1243:E1251">SUM(H1243+K1243+N1243+Q1243)</f>
        <v>95000</v>
      </c>
      <c r="F1243" s="444">
        <f t="shared" si="148"/>
        <v>50</v>
      </c>
      <c r="G1243" s="128"/>
      <c r="H1243" s="129"/>
      <c r="I1243" s="200"/>
      <c r="J1243" s="193"/>
      <c r="K1243" s="129"/>
      <c r="L1243" s="110"/>
      <c r="M1243" s="128">
        <v>190000</v>
      </c>
      <c r="N1243" s="150">
        <v>95000</v>
      </c>
      <c r="O1243" s="108">
        <f>N1243/M1243*100</f>
        <v>50</v>
      </c>
      <c r="P1243" s="129"/>
      <c r="Q1243" s="129"/>
      <c r="R1243" s="256"/>
    </row>
    <row r="1244" spans="1:18" s="185" customFormat="1" ht="24" hidden="1">
      <c r="A1244" s="191">
        <v>4170</v>
      </c>
      <c r="B1244" s="423" t="s">
        <v>392</v>
      </c>
      <c r="C1244" s="128"/>
      <c r="D1244" s="104">
        <f t="shared" si="149"/>
        <v>0</v>
      </c>
      <c r="E1244" s="129">
        <f t="shared" si="155"/>
        <v>0</v>
      </c>
      <c r="F1244" s="444"/>
      <c r="G1244" s="128"/>
      <c r="H1244" s="129"/>
      <c r="I1244" s="200"/>
      <c r="J1244" s="193"/>
      <c r="K1244" s="129"/>
      <c r="L1244" s="110"/>
      <c r="M1244" s="128">
        <f>3650-3650</f>
        <v>0</v>
      </c>
      <c r="N1244" s="129"/>
      <c r="O1244" s="108"/>
      <c r="P1244" s="129"/>
      <c r="Q1244" s="129"/>
      <c r="R1244" s="256"/>
    </row>
    <row r="1245" spans="1:18" s="185" customFormat="1" ht="24">
      <c r="A1245" s="191">
        <v>4210</v>
      </c>
      <c r="B1245" s="423" t="s">
        <v>356</v>
      </c>
      <c r="C1245" s="128">
        <v>5500</v>
      </c>
      <c r="D1245" s="104">
        <f t="shared" si="149"/>
        <v>5500</v>
      </c>
      <c r="E1245" s="129">
        <f t="shared" si="155"/>
        <v>0</v>
      </c>
      <c r="F1245" s="444">
        <f t="shared" si="148"/>
        <v>0</v>
      </c>
      <c r="G1245" s="128"/>
      <c r="H1245" s="129"/>
      <c r="I1245" s="200"/>
      <c r="J1245" s="193"/>
      <c r="K1245" s="129"/>
      <c r="L1245" s="110"/>
      <c r="M1245" s="128"/>
      <c r="N1245" s="129"/>
      <c r="O1245" s="108"/>
      <c r="P1245" s="129">
        <v>5500</v>
      </c>
      <c r="Q1245" s="129"/>
      <c r="R1245" s="256">
        <f>Q1245/P1245*100</f>
        <v>0</v>
      </c>
    </row>
    <row r="1246" spans="1:18" s="185" customFormat="1" ht="15.75" customHeight="1">
      <c r="A1246" s="191">
        <v>4260</v>
      </c>
      <c r="B1246" s="423" t="s">
        <v>360</v>
      </c>
      <c r="C1246" s="128">
        <v>15000</v>
      </c>
      <c r="D1246" s="104">
        <f t="shared" si="149"/>
        <v>15000</v>
      </c>
      <c r="E1246" s="129">
        <f t="shared" si="155"/>
        <v>3152</v>
      </c>
      <c r="F1246" s="444">
        <f t="shared" si="148"/>
        <v>21.013333333333335</v>
      </c>
      <c r="G1246" s="128">
        <v>15000</v>
      </c>
      <c r="H1246" s="129">
        <v>3152</v>
      </c>
      <c r="I1246" s="200">
        <f>H1246/G1246*100</f>
        <v>21.013333333333335</v>
      </c>
      <c r="J1246" s="193"/>
      <c r="K1246" s="129"/>
      <c r="L1246" s="110"/>
      <c r="M1246" s="128"/>
      <c r="N1246" s="129"/>
      <c r="O1246" s="108"/>
      <c r="P1246" s="129"/>
      <c r="Q1246" s="129"/>
      <c r="R1246" s="256"/>
    </row>
    <row r="1247" spans="1:18" s="185" customFormat="1" ht="15.75" customHeight="1">
      <c r="A1247" s="191">
        <v>4270</v>
      </c>
      <c r="B1247" s="423" t="s">
        <v>362</v>
      </c>
      <c r="C1247" s="128">
        <v>4000</v>
      </c>
      <c r="D1247" s="104">
        <f t="shared" si="149"/>
        <v>4000</v>
      </c>
      <c r="E1247" s="129">
        <f t="shared" si="155"/>
        <v>0</v>
      </c>
      <c r="F1247" s="444">
        <f t="shared" si="148"/>
        <v>0</v>
      </c>
      <c r="G1247" s="128">
        <v>4000</v>
      </c>
      <c r="H1247" s="129"/>
      <c r="I1247" s="200">
        <f>H1247/G1247*100</f>
        <v>0</v>
      </c>
      <c r="J1247" s="193"/>
      <c r="K1247" s="129"/>
      <c r="L1247" s="110"/>
      <c r="M1247" s="128"/>
      <c r="N1247" s="129"/>
      <c r="O1247" s="108"/>
      <c r="P1247" s="129"/>
      <c r="Q1247" s="129"/>
      <c r="R1247" s="108"/>
    </row>
    <row r="1248" spans="1:18" s="185" customFormat="1" ht="15.75" customHeight="1">
      <c r="A1248" s="191">
        <v>4300</v>
      </c>
      <c r="B1248" s="259" t="s">
        <v>459</v>
      </c>
      <c r="C1248" s="128">
        <v>12500</v>
      </c>
      <c r="D1248" s="104">
        <f>G1248+J1248+P1248+M1248</f>
        <v>12500</v>
      </c>
      <c r="E1248" s="129">
        <f>SUM(H1248+K1248+N1248+Q1248)</f>
        <v>729</v>
      </c>
      <c r="F1248" s="444">
        <f>E1248/D1248*100</f>
        <v>5.832</v>
      </c>
      <c r="G1248" s="128">
        <v>5500</v>
      </c>
      <c r="H1248" s="129">
        <v>729</v>
      </c>
      <c r="I1248" s="200">
        <f>H1248/G1248*100</f>
        <v>13.254545454545456</v>
      </c>
      <c r="J1248" s="193"/>
      <c r="K1248" s="129"/>
      <c r="L1248" s="110"/>
      <c r="M1248" s="128">
        <f>35000-35000</f>
        <v>0</v>
      </c>
      <c r="N1248" s="129"/>
      <c r="O1248" s="108"/>
      <c r="P1248" s="129">
        <v>7000</v>
      </c>
      <c r="Q1248" s="129"/>
      <c r="R1248" s="256">
        <f>Q1248/P1248*100</f>
        <v>0</v>
      </c>
    </row>
    <row r="1249" spans="1:18" s="185" customFormat="1" ht="24">
      <c r="A1249" s="267">
        <v>4400</v>
      </c>
      <c r="B1249" s="291" t="s">
        <v>463</v>
      </c>
      <c r="C1249" s="128">
        <v>5500</v>
      </c>
      <c r="D1249" s="104">
        <f>G1249+J1249+P1249+M1249</f>
        <v>5500</v>
      </c>
      <c r="E1249" s="129">
        <f>SUM(H1249+K1249+N1249+Q1249)</f>
        <v>1213</v>
      </c>
      <c r="F1249" s="444">
        <f>E1249/D1249*100</f>
        <v>22.054545454545455</v>
      </c>
      <c r="G1249" s="128">
        <v>5500</v>
      </c>
      <c r="H1249" s="129">
        <v>1213</v>
      </c>
      <c r="I1249" s="200">
        <f>H1249/G1249*100</f>
        <v>22.054545454545455</v>
      </c>
      <c r="J1249" s="193"/>
      <c r="K1249" s="129"/>
      <c r="L1249" s="110"/>
      <c r="M1249" s="128"/>
      <c r="N1249" s="129"/>
      <c r="O1249" s="108"/>
      <c r="P1249" s="129"/>
      <c r="Q1249" s="129"/>
      <c r="R1249" s="108"/>
    </row>
    <row r="1250" spans="1:18" s="185" customFormat="1" ht="60">
      <c r="A1250" s="267">
        <v>4740</v>
      </c>
      <c r="B1250" s="291" t="s">
        <v>380</v>
      </c>
      <c r="C1250" s="128">
        <v>500</v>
      </c>
      <c r="D1250" s="104">
        <f>G1250+J1250+P1250+M1250</f>
        <v>500</v>
      </c>
      <c r="E1250" s="129">
        <f>SUM(H1250+K1250+N1250+Q1250)</f>
        <v>0</v>
      </c>
      <c r="F1250" s="444">
        <f>E1250/D1250*100</f>
        <v>0</v>
      </c>
      <c r="G1250" s="128"/>
      <c r="H1250" s="129"/>
      <c r="I1250" s="200"/>
      <c r="J1250" s="193"/>
      <c r="K1250" s="129"/>
      <c r="L1250" s="110"/>
      <c r="M1250" s="128"/>
      <c r="N1250" s="129"/>
      <c r="O1250" s="108"/>
      <c r="P1250" s="129">
        <v>500</v>
      </c>
      <c r="Q1250" s="129"/>
      <c r="R1250" s="256">
        <f>Q1250/P1250*100</f>
        <v>0</v>
      </c>
    </row>
    <row r="1251" spans="1:18" s="185" customFormat="1" ht="36" hidden="1">
      <c r="A1251" s="267">
        <v>4750</v>
      </c>
      <c r="B1251" s="291" t="s">
        <v>467</v>
      </c>
      <c r="C1251" s="229"/>
      <c r="D1251" s="230">
        <f t="shared" si="149"/>
        <v>0</v>
      </c>
      <c r="E1251" s="236">
        <f t="shared" si="155"/>
        <v>0</v>
      </c>
      <c r="F1251" s="475" t="e">
        <f t="shared" si="148"/>
        <v>#DIV/0!</v>
      </c>
      <c r="G1251" s="229"/>
      <c r="H1251" s="236"/>
      <c r="I1251" s="200"/>
      <c r="J1251" s="233"/>
      <c r="K1251" s="236"/>
      <c r="L1251" s="319"/>
      <c r="M1251" s="229"/>
      <c r="N1251" s="236"/>
      <c r="O1251" s="170"/>
      <c r="P1251" s="236"/>
      <c r="Q1251" s="236"/>
      <c r="R1251" s="256" t="e">
        <f>Q1251/P1251*100</f>
        <v>#DIV/0!</v>
      </c>
    </row>
    <row r="1252" spans="1:18" s="185" customFormat="1" ht="24" customHeight="1">
      <c r="A1252" s="186">
        <v>85226</v>
      </c>
      <c r="B1252" s="422" t="s">
        <v>783</v>
      </c>
      <c r="C1252" s="188">
        <f>SUM(C1253:C1271)</f>
        <v>319490</v>
      </c>
      <c r="D1252" s="137">
        <f t="shared" si="149"/>
        <v>329090</v>
      </c>
      <c r="E1252" s="119">
        <f>H1252+K1252+Q1252+N1252</f>
        <v>88209</v>
      </c>
      <c r="F1252" s="478">
        <f t="shared" si="148"/>
        <v>26.803913822966365</v>
      </c>
      <c r="G1252" s="344"/>
      <c r="H1252" s="345"/>
      <c r="I1252" s="283"/>
      <c r="J1252" s="346"/>
      <c r="K1252" s="345"/>
      <c r="L1252" s="347"/>
      <c r="M1252" s="119">
        <f>SUM(M1253:M1271)</f>
        <v>329090</v>
      </c>
      <c r="N1252" s="119">
        <f>SUM(N1253:N1271)</f>
        <v>88209</v>
      </c>
      <c r="O1252" s="214">
        <f aca="true" t="shared" si="156" ref="O1252:O1271">N1252/M1252*100</f>
        <v>26.803913822966365</v>
      </c>
      <c r="P1252" s="119"/>
      <c r="Q1252" s="119"/>
      <c r="R1252" s="127"/>
    </row>
    <row r="1253" spans="1:18" s="185" customFormat="1" ht="24" customHeight="1">
      <c r="A1253" s="172">
        <v>3020</v>
      </c>
      <c r="B1253" s="443" t="s">
        <v>677</v>
      </c>
      <c r="C1253" s="132">
        <v>600</v>
      </c>
      <c r="D1253" s="149">
        <f t="shared" si="149"/>
        <v>600</v>
      </c>
      <c r="E1253" s="150">
        <f aca="true" t="shared" si="157" ref="E1253:E1271">SUM(H1253+K1253+N1253+Q1253)</f>
        <v>60</v>
      </c>
      <c r="F1253" s="479">
        <f t="shared" si="148"/>
        <v>10</v>
      </c>
      <c r="G1253" s="132"/>
      <c r="H1253" s="150"/>
      <c r="I1253" s="226"/>
      <c r="J1253" s="223"/>
      <c r="K1253" s="150"/>
      <c r="L1253" s="154"/>
      <c r="M1253" s="132">
        <v>600</v>
      </c>
      <c r="N1253" s="150">
        <v>60</v>
      </c>
      <c r="O1253" s="222">
        <f t="shared" si="156"/>
        <v>10</v>
      </c>
      <c r="P1253" s="150"/>
      <c r="Q1253" s="150"/>
      <c r="R1253" s="113"/>
    </row>
    <row r="1254" spans="1:18" s="185" customFormat="1" ht="24" customHeight="1">
      <c r="A1254" s="191">
        <v>4010</v>
      </c>
      <c r="B1254" s="423" t="s">
        <v>626</v>
      </c>
      <c r="C1254" s="128">
        <v>210770</v>
      </c>
      <c r="D1254" s="104">
        <f t="shared" si="149"/>
        <v>218870</v>
      </c>
      <c r="E1254" s="129">
        <f t="shared" si="157"/>
        <v>50077</v>
      </c>
      <c r="F1254" s="444">
        <f aca="true" t="shared" si="158" ref="F1254:F1310">E1254/D1254*100</f>
        <v>22.87979165714808</v>
      </c>
      <c r="G1254" s="128"/>
      <c r="H1254" s="129"/>
      <c r="I1254" s="200"/>
      <c r="J1254" s="193"/>
      <c r="K1254" s="129"/>
      <c r="L1254" s="110"/>
      <c r="M1254" s="128">
        <f>210770+8100</f>
        <v>218870</v>
      </c>
      <c r="N1254" s="129">
        <v>50077</v>
      </c>
      <c r="O1254" s="256">
        <f t="shared" si="156"/>
        <v>22.87979165714808</v>
      </c>
      <c r="P1254" s="129"/>
      <c r="Q1254" s="129"/>
      <c r="R1254" s="108"/>
    </row>
    <row r="1255" spans="1:18" s="185" customFormat="1" ht="26.25" customHeight="1">
      <c r="A1255" s="191">
        <v>4040</v>
      </c>
      <c r="B1255" s="423" t="s">
        <v>350</v>
      </c>
      <c r="C1255" s="128">
        <v>16800</v>
      </c>
      <c r="D1255" s="104">
        <f t="shared" si="149"/>
        <v>16800</v>
      </c>
      <c r="E1255" s="129">
        <f t="shared" si="157"/>
        <v>16456</v>
      </c>
      <c r="F1255" s="444">
        <f t="shared" si="158"/>
        <v>97.95238095238096</v>
      </c>
      <c r="G1255" s="128"/>
      <c r="H1255" s="129"/>
      <c r="I1255" s="200"/>
      <c r="J1255" s="193"/>
      <c r="K1255" s="129"/>
      <c r="L1255" s="110"/>
      <c r="M1255" s="128">
        <v>16800</v>
      </c>
      <c r="N1255" s="129">
        <v>16456</v>
      </c>
      <c r="O1255" s="256">
        <f t="shared" si="156"/>
        <v>97.95238095238096</v>
      </c>
      <c r="P1255" s="129"/>
      <c r="Q1255" s="129"/>
      <c r="R1255" s="108"/>
    </row>
    <row r="1256" spans="1:18" s="185" customFormat="1" ht="24" customHeight="1">
      <c r="A1256" s="191">
        <v>4110</v>
      </c>
      <c r="B1256" s="423" t="s">
        <v>352</v>
      </c>
      <c r="C1256" s="128">
        <v>41050</v>
      </c>
      <c r="D1256" s="104">
        <f aca="true" t="shared" si="159" ref="D1256:D1310">G1256+J1256+P1256+M1256</f>
        <v>42350</v>
      </c>
      <c r="E1256" s="129">
        <f t="shared" si="157"/>
        <v>10999</v>
      </c>
      <c r="F1256" s="444">
        <f t="shared" si="158"/>
        <v>25.971664698937424</v>
      </c>
      <c r="G1256" s="128"/>
      <c r="H1256" s="129"/>
      <c r="I1256" s="200"/>
      <c r="J1256" s="193"/>
      <c r="K1256" s="129"/>
      <c r="L1256" s="110"/>
      <c r="M1256" s="128">
        <f>41050+1300</f>
        <v>42350</v>
      </c>
      <c r="N1256" s="129">
        <v>10999</v>
      </c>
      <c r="O1256" s="256">
        <f t="shared" si="156"/>
        <v>25.971664698937424</v>
      </c>
      <c r="P1256" s="129"/>
      <c r="Q1256" s="129"/>
      <c r="R1256" s="108"/>
    </row>
    <row r="1257" spans="1:18" s="185" customFormat="1" ht="16.5" customHeight="1">
      <c r="A1257" s="191">
        <v>4120</v>
      </c>
      <c r="B1257" s="423" t="s">
        <v>504</v>
      </c>
      <c r="C1257" s="128">
        <v>5580</v>
      </c>
      <c r="D1257" s="104">
        <f t="shared" si="159"/>
        <v>5780</v>
      </c>
      <c r="E1257" s="129">
        <f t="shared" si="157"/>
        <v>1678</v>
      </c>
      <c r="F1257" s="444">
        <f t="shared" si="158"/>
        <v>29.031141868512112</v>
      </c>
      <c r="G1257" s="128"/>
      <c r="H1257" s="129"/>
      <c r="I1257" s="200"/>
      <c r="J1257" s="193"/>
      <c r="K1257" s="129"/>
      <c r="L1257" s="110"/>
      <c r="M1257" s="128">
        <f>5580+200</f>
        <v>5780</v>
      </c>
      <c r="N1257" s="129">
        <v>1678</v>
      </c>
      <c r="O1257" s="256">
        <f t="shared" si="156"/>
        <v>29.031141868512112</v>
      </c>
      <c r="P1257" s="129"/>
      <c r="Q1257" s="129"/>
      <c r="R1257" s="108"/>
    </row>
    <row r="1258" spans="1:18" s="185" customFormat="1" ht="24">
      <c r="A1258" s="191">
        <v>4170</v>
      </c>
      <c r="B1258" s="423" t="s">
        <v>392</v>
      </c>
      <c r="C1258" s="128">
        <v>3600</v>
      </c>
      <c r="D1258" s="104">
        <f t="shared" si="159"/>
        <v>3600</v>
      </c>
      <c r="E1258" s="129">
        <f t="shared" si="157"/>
        <v>720</v>
      </c>
      <c r="F1258" s="444">
        <f t="shared" si="158"/>
        <v>20</v>
      </c>
      <c r="G1258" s="128"/>
      <c r="H1258" s="129"/>
      <c r="I1258" s="200"/>
      <c r="J1258" s="193"/>
      <c r="K1258" s="129"/>
      <c r="L1258" s="110"/>
      <c r="M1258" s="128">
        <v>3600</v>
      </c>
      <c r="N1258" s="129">
        <v>720</v>
      </c>
      <c r="O1258" s="256">
        <f t="shared" si="156"/>
        <v>20</v>
      </c>
      <c r="P1258" s="129"/>
      <c r="Q1258" s="129"/>
      <c r="R1258" s="108"/>
    </row>
    <row r="1259" spans="1:18" s="185" customFormat="1" ht="23.25" customHeight="1">
      <c r="A1259" s="191">
        <v>4210</v>
      </c>
      <c r="B1259" s="423" t="s">
        <v>356</v>
      </c>
      <c r="C1259" s="128">
        <v>3600</v>
      </c>
      <c r="D1259" s="104">
        <f t="shared" si="159"/>
        <v>3600</v>
      </c>
      <c r="E1259" s="129">
        <f t="shared" si="157"/>
        <v>601</v>
      </c>
      <c r="F1259" s="444">
        <f t="shared" si="158"/>
        <v>16.694444444444446</v>
      </c>
      <c r="G1259" s="128"/>
      <c r="H1259" s="129"/>
      <c r="I1259" s="200"/>
      <c r="J1259" s="193"/>
      <c r="K1259" s="129"/>
      <c r="L1259" s="110"/>
      <c r="M1259" s="128">
        <v>3600</v>
      </c>
      <c r="N1259" s="129">
        <v>601</v>
      </c>
      <c r="O1259" s="256">
        <f t="shared" si="156"/>
        <v>16.694444444444446</v>
      </c>
      <c r="P1259" s="129"/>
      <c r="Q1259" s="129"/>
      <c r="R1259" s="108"/>
    </row>
    <row r="1260" spans="1:18" s="185" customFormat="1" ht="24">
      <c r="A1260" s="191">
        <v>4240</v>
      </c>
      <c r="B1260" s="423" t="s">
        <v>619</v>
      </c>
      <c r="C1260" s="128">
        <v>400</v>
      </c>
      <c r="D1260" s="104">
        <f t="shared" si="159"/>
        <v>400</v>
      </c>
      <c r="E1260" s="129">
        <f t="shared" si="157"/>
        <v>25</v>
      </c>
      <c r="F1260" s="444">
        <f t="shared" si="158"/>
        <v>6.25</v>
      </c>
      <c r="G1260" s="128"/>
      <c r="H1260" s="129"/>
      <c r="I1260" s="200"/>
      <c r="J1260" s="193"/>
      <c r="K1260" s="129"/>
      <c r="L1260" s="110"/>
      <c r="M1260" s="128">
        <v>400</v>
      </c>
      <c r="N1260" s="129">
        <v>25</v>
      </c>
      <c r="O1260" s="256">
        <f t="shared" si="156"/>
        <v>6.25</v>
      </c>
      <c r="P1260" s="129"/>
      <c r="Q1260" s="129"/>
      <c r="R1260" s="108"/>
    </row>
    <row r="1261" spans="1:18" s="185" customFormat="1" ht="15" customHeight="1">
      <c r="A1261" s="191">
        <v>4260</v>
      </c>
      <c r="B1261" s="423" t="s">
        <v>360</v>
      </c>
      <c r="C1261" s="128">
        <v>7500</v>
      </c>
      <c r="D1261" s="104">
        <f t="shared" si="159"/>
        <v>7500</v>
      </c>
      <c r="E1261" s="129">
        <f t="shared" si="157"/>
        <v>1795</v>
      </c>
      <c r="F1261" s="444">
        <f t="shared" si="158"/>
        <v>23.933333333333334</v>
      </c>
      <c r="G1261" s="128"/>
      <c r="H1261" s="129"/>
      <c r="I1261" s="200"/>
      <c r="J1261" s="193"/>
      <c r="K1261" s="129"/>
      <c r="L1261" s="110"/>
      <c r="M1261" s="128">
        <v>7500</v>
      </c>
      <c r="N1261" s="129">
        <v>1795</v>
      </c>
      <c r="O1261" s="256">
        <f t="shared" si="156"/>
        <v>23.933333333333334</v>
      </c>
      <c r="P1261" s="129"/>
      <c r="Q1261" s="129"/>
      <c r="R1261" s="108"/>
    </row>
    <row r="1262" spans="1:18" s="185" customFormat="1" ht="15" customHeight="1">
      <c r="A1262" s="191">
        <v>4270</v>
      </c>
      <c r="B1262" s="423" t="s">
        <v>362</v>
      </c>
      <c r="C1262" s="128">
        <v>490</v>
      </c>
      <c r="D1262" s="104">
        <f t="shared" si="159"/>
        <v>490</v>
      </c>
      <c r="E1262" s="129">
        <f>SUM(H1262+K1262+N1262+Q1262)</f>
        <v>0</v>
      </c>
      <c r="F1262" s="444">
        <f>E1262/D1262*100</f>
        <v>0</v>
      </c>
      <c r="G1262" s="128"/>
      <c r="H1262" s="129"/>
      <c r="I1262" s="200"/>
      <c r="J1262" s="193"/>
      <c r="K1262" s="129"/>
      <c r="L1262" s="110"/>
      <c r="M1262" s="128">
        <v>490</v>
      </c>
      <c r="N1262" s="129"/>
      <c r="O1262" s="256">
        <f t="shared" si="156"/>
        <v>0</v>
      </c>
      <c r="P1262" s="129"/>
      <c r="Q1262" s="129"/>
      <c r="R1262" s="108"/>
    </row>
    <row r="1263" spans="1:18" s="185" customFormat="1" ht="15" customHeight="1">
      <c r="A1263" s="191">
        <v>4280</v>
      </c>
      <c r="B1263" s="423" t="s">
        <v>458</v>
      </c>
      <c r="C1263" s="128">
        <v>600</v>
      </c>
      <c r="D1263" s="104">
        <f t="shared" si="159"/>
        <v>600</v>
      </c>
      <c r="E1263" s="129">
        <f t="shared" si="157"/>
        <v>0</v>
      </c>
      <c r="F1263" s="444">
        <f t="shared" si="158"/>
        <v>0</v>
      </c>
      <c r="G1263" s="128"/>
      <c r="H1263" s="129"/>
      <c r="I1263" s="200"/>
      <c r="J1263" s="193"/>
      <c r="K1263" s="129"/>
      <c r="L1263" s="110"/>
      <c r="M1263" s="128">
        <v>600</v>
      </c>
      <c r="N1263" s="129"/>
      <c r="O1263" s="256">
        <f t="shared" si="156"/>
        <v>0</v>
      </c>
      <c r="P1263" s="129"/>
      <c r="Q1263" s="129"/>
      <c r="R1263" s="108"/>
    </row>
    <row r="1264" spans="1:18" s="185" customFormat="1" ht="16.5" customHeight="1">
      <c r="A1264" s="191">
        <v>4300</v>
      </c>
      <c r="B1264" s="423" t="s">
        <v>364</v>
      </c>
      <c r="C1264" s="128">
        <v>7200</v>
      </c>
      <c r="D1264" s="104">
        <f t="shared" si="159"/>
        <v>7200</v>
      </c>
      <c r="E1264" s="129">
        <f t="shared" si="157"/>
        <v>2473</v>
      </c>
      <c r="F1264" s="444">
        <f t="shared" si="158"/>
        <v>34.34722222222222</v>
      </c>
      <c r="G1264" s="128"/>
      <c r="H1264" s="129"/>
      <c r="I1264" s="200"/>
      <c r="J1264" s="193"/>
      <c r="K1264" s="129"/>
      <c r="L1264" s="110"/>
      <c r="M1264" s="128">
        <v>7200</v>
      </c>
      <c r="N1264" s="129">
        <v>2473</v>
      </c>
      <c r="O1264" s="256">
        <f t="shared" si="156"/>
        <v>34.34722222222222</v>
      </c>
      <c r="P1264" s="129"/>
      <c r="Q1264" s="129"/>
      <c r="R1264" s="108"/>
    </row>
    <row r="1265" spans="1:18" s="185" customFormat="1" ht="24">
      <c r="A1265" s="191">
        <v>4350</v>
      </c>
      <c r="B1265" s="423" t="s">
        <v>460</v>
      </c>
      <c r="C1265" s="128">
        <v>1500</v>
      </c>
      <c r="D1265" s="104">
        <f t="shared" si="159"/>
        <v>1500</v>
      </c>
      <c r="E1265" s="129">
        <f t="shared" si="157"/>
        <v>76</v>
      </c>
      <c r="F1265" s="444">
        <f t="shared" si="158"/>
        <v>5.066666666666666</v>
      </c>
      <c r="G1265" s="128"/>
      <c r="H1265" s="129"/>
      <c r="I1265" s="200"/>
      <c r="J1265" s="193"/>
      <c r="K1265" s="129"/>
      <c r="L1265" s="110"/>
      <c r="M1265" s="128">
        <v>1500</v>
      </c>
      <c r="N1265" s="129">
        <v>76</v>
      </c>
      <c r="O1265" s="256">
        <f t="shared" si="156"/>
        <v>5.066666666666666</v>
      </c>
      <c r="P1265" s="129"/>
      <c r="Q1265" s="129"/>
      <c r="R1265" s="108"/>
    </row>
    <row r="1266" spans="1:18" s="185" customFormat="1" ht="48">
      <c r="A1266" s="267">
        <v>4370</v>
      </c>
      <c r="B1266" s="291" t="s">
        <v>577</v>
      </c>
      <c r="C1266" s="128">
        <v>6000</v>
      </c>
      <c r="D1266" s="104">
        <f t="shared" si="159"/>
        <v>6000</v>
      </c>
      <c r="E1266" s="129">
        <f t="shared" si="157"/>
        <v>877</v>
      </c>
      <c r="F1266" s="444">
        <f t="shared" si="158"/>
        <v>14.616666666666667</v>
      </c>
      <c r="G1266" s="128"/>
      <c r="H1266" s="129"/>
      <c r="I1266" s="200"/>
      <c r="J1266" s="193"/>
      <c r="K1266" s="129"/>
      <c r="L1266" s="110"/>
      <c r="M1266" s="128">
        <v>6000</v>
      </c>
      <c r="N1266" s="129">
        <v>877</v>
      </c>
      <c r="O1266" s="256">
        <f t="shared" si="156"/>
        <v>14.616666666666667</v>
      </c>
      <c r="P1266" s="129"/>
      <c r="Q1266" s="129"/>
      <c r="R1266" s="108"/>
    </row>
    <row r="1267" spans="1:18" s="185" customFormat="1" ht="14.25" customHeight="1">
      <c r="A1267" s="191">
        <v>4410</v>
      </c>
      <c r="B1267" s="423" t="s">
        <v>784</v>
      </c>
      <c r="C1267" s="128">
        <v>2500</v>
      </c>
      <c r="D1267" s="104">
        <f t="shared" si="159"/>
        <v>2500</v>
      </c>
      <c r="E1267" s="129">
        <f t="shared" si="157"/>
        <v>458</v>
      </c>
      <c r="F1267" s="444">
        <f t="shared" si="158"/>
        <v>18.32</v>
      </c>
      <c r="G1267" s="128"/>
      <c r="H1267" s="129"/>
      <c r="I1267" s="200"/>
      <c r="J1267" s="193"/>
      <c r="K1267" s="129"/>
      <c r="L1267" s="110"/>
      <c r="M1267" s="128">
        <v>2500</v>
      </c>
      <c r="N1267" s="129">
        <v>458</v>
      </c>
      <c r="O1267" s="256">
        <f t="shared" si="156"/>
        <v>18.32</v>
      </c>
      <c r="P1267" s="129"/>
      <c r="Q1267" s="129"/>
      <c r="R1267" s="108"/>
    </row>
    <row r="1268" spans="1:18" s="185" customFormat="1" ht="14.25" customHeight="1">
      <c r="A1268" s="191">
        <v>4440</v>
      </c>
      <c r="B1268" s="259" t="s">
        <v>636</v>
      </c>
      <c r="C1268" s="128">
        <v>5300</v>
      </c>
      <c r="D1268" s="104">
        <f t="shared" si="159"/>
        <v>5300</v>
      </c>
      <c r="E1268" s="129">
        <f t="shared" si="157"/>
        <v>1200</v>
      </c>
      <c r="F1268" s="444">
        <f t="shared" si="158"/>
        <v>22.641509433962266</v>
      </c>
      <c r="G1268" s="128"/>
      <c r="H1268" s="129"/>
      <c r="I1268" s="200"/>
      <c r="J1268" s="193"/>
      <c r="K1268" s="129"/>
      <c r="L1268" s="110"/>
      <c r="M1268" s="128">
        <v>5300</v>
      </c>
      <c r="N1268" s="129">
        <v>1200</v>
      </c>
      <c r="O1268" s="256">
        <f t="shared" si="156"/>
        <v>22.641509433962266</v>
      </c>
      <c r="P1268" s="129"/>
      <c r="Q1268" s="129"/>
      <c r="R1268" s="108"/>
    </row>
    <row r="1269" spans="1:18" s="185" customFormat="1" ht="36">
      <c r="A1269" s="267">
        <v>4700</v>
      </c>
      <c r="B1269" s="291" t="s">
        <v>466</v>
      </c>
      <c r="C1269" s="128">
        <v>1800</v>
      </c>
      <c r="D1269" s="104">
        <f t="shared" si="159"/>
        <v>1800</v>
      </c>
      <c r="E1269" s="129">
        <f t="shared" si="157"/>
        <v>0</v>
      </c>
      <c r="F1269" s="444">
        <f t="shared" si="158"/>
        <v>0</v>
      </c>
      <c r="G1269" s="128"/>
      <c r="H1269" s="129"/>
      <c r="I1269" s="200"/>
      <c r="J1269" s="193"/>
      <c r="K1269" s="129"/>
      <c r="L1269" s="110"/>
      <c r="M1269" s="128">
        <v>1800</v>
      </c>
      <c r="N1269" s="129"/>
      <c r="O1269" s="256">
        <f t="shared" si="156"/>
        <v>0</v>
      </c>
      <c r="P1269" s="129"/>
      <c r="Q1269" s="129"/>
      <c r="R1269" s="108"/>
    </row>
    <row r="1270" spans="1:18" s="185" customFormat="1" ht="60">
      <c r="A1270" s="267">
        <v>4740</v>
      </c>
      <c r="B1270" s="291" t="s">
        <v>380</v>
      </c>
      <c r="C1270" s="128">
        <v>3000</v>
      </c>
      <c r="D1270" s="104">
        <f t="shared" si="159"/>
        <v>3000</v>
      </c>
      <c r="E1270" s="129">
        <f t="shared" si="157"/>
        <v>299</v>
      </c>
      <c r="F1270" s="444">
        <f t="shared" si="158"/>
        <v>9.966666666666667</v>
      </c>
      <c r="G1270" s="128"/>
      <c r="H1270" s="129"/>
      <c r="I1270" s="200"/>
      <c r="J1270" s="193"/>
      <c r="K1270" s="129"/>
      <c r="L1270" s="110"/>
      <c r="M1270" s="128">
        <v>3000</v>
      </c>
      <c r="N1270" s="129">
        <v>299</v>
      </c>
      <c r="O1270" s="256">
        <f t="shared" si="156"/>
        <v>9.966666666666667</v>
      </c>
      <c r="P1270" s="129"/>
      <c r="Q1270" s="129"/>
      <c r="R1270" s="108"/>
    </row>
    <row r="1271" spans="1:18" s="185" customFormat="1" ht="36">
      <c r="A1271" s="267">
        <v>4750</v>
      </c>
      <c r="B1271" s="291" t="s">
        <v>467</v>
      </c>
      <c r="C1271" s="128">
        <v>1200</v>
      </c>
      <c r="D1271" s="104">
        <f t="shared" si="159"/>
        <v>1200</v>
      </c>
      <c r="E1271" s="129">
        <f t="shared" si="157"/>
        <v>415</v>
      </c>
      <c r="F1271" s="444">
        <f t="shared" si="158"/>
        <v>34.583333333333336</v>
      </c>
      <c r="G1271" s="229"/>
      <c r="H1271" s="236"/>
      <c r="I1271" s="238"/>
      <c r="J1271" s="233"/>
      <c r="K1271" s="236"/>
      <c r="L1271" s="319"/>
      <c r="M1271" s="128">
        <v>1200</v>
      </c>
      <c r="N1271" s="236">
        <v>415</v>
      </c>
      <c r="O1271" s="256">
        <f t="shared" si="156"/>
        <v>34.583333333333336</v>
      </c>
      <c r="P1271" s="236"/>
      <c r="Q1271" s="236"/>
      <c r="R1271" s="108"/>
    </row>
    <row r="1272" spans="1:18" ht="36">
      <c r="A1272" s="186">
        <v>85228</v>
      </c>
      <c r="B1272" s="422" t="s">
        <v>785</v>
      </c>
      <c r="C1272" s="188">
        <f>SUM(C1273:C1287)</f>
        <v>1245000</v>
      </c>
      <c r="D1272" s="137">
        <f t="shared" si="159"/>
        <v>1245000</v>
      </c>
      <c r="E1272" s="119">
        <f>H1272+K1272+Q1272+N1272</f>
        <v>297423</v>
      </c>
      <c r="F1272" s="478">
        <f t="shared" si="158"/>
        <v>23.889397590361447</v>
      </c>
      <c r="G1272" s="188">
        <f>SUM(G1273:G1287)</f>
        <v>1100000</v>
      </c>
      <c r="H1272" s="119">
        <f>SUM(H1273:H1287)</f>
        <v>268938</v>
      </c>
      <c r="I1272" s="297">
        <f aca="true" t="shared" si="160" ref="I1272:I1287">H1272/G1272*100</f>
        <v>24.44890909090909</v>
      </c>
      <c r="J1272" s="124">
        <f>SUM(J1273:J1287)</f>
        <v>145000</v>
      </c>
      <c r="K1272" s="119">
        <f>SUM(K1273:K1287)</f>
        <v>28485</v>
      </c>
      <c r="L1272" s="125">
        <f>K1272/J1272*100</f>
        <v>19.644827586206898</v>
      </c>
      <c r="M1272" s="119"/>
      <c r="N1272" s="119"/>
      <c r="O1272" s="190"/>
      <c r="P1272" s="119"/>
      <c r="Q1272" s="119"/>
      <c r="R1272" s="127"/>
    </row>
    <row r="1273" spans="1:18" s="185" customFormat="1" ht="36">
      <c r="A1273" s="191">
        <v>3020</v>
      </c>
      <c r="B1273" s="423" t="s">
        <v>677</v>
      </c>
      <c r="C1273" s="128">
        <v>11700</v>
      </c>
      <c r="D1273" s="104">
        <f t="shared" si="159"/>
        <v>11700</v>
      </c>
      <c r="E1273" s="129">
        <f aca="true" t="shared" si="161" ref="E1273:E1287">SUM(H1273+K1273+N1273+Q1273)</f>
        <v>53</v>
      </c>
      <c r="F1273" s="444">
        <f t="shared" si="158"/>
        <v>0.452991452991453</v>
      </c>
      <c r="G1273" s="128">
        <v>11300</v>
      </c>
      <c r="H1273" s="129">
        <v>53</v>
      </c>
      <c r="I1273" s="162">
        <f t="shared" si="160"/>
        <v>0.4690265486725664</v>
      </c>
      <c r="J1273" s="193">
        <v>400</v>
      </c>
      <c r="K1273" s="129"/>
      <c r="L1273" s="110">
        <f aca="true" t="shared" si="162" ref="L1273:L1285">K1273/J1273*100</f>
        <v>0</v>
      </c>
      <c r="M1273" s="129"/>
      <c r="N1273" s="129"/>
      <c r="O1273" s="194"/>
      <c r="P1273" s="129"/>
      <c r="Q1273" s="129"/>
      <c r="R1273" s="108"/>
    </row>
    <row r="1274" spans="1:18" s="185" customFormat="1" ht="24">
      <c r="A1274" s="191">
        <v>4010</v>
      </c>
      <c r="B1274" s="423" t="s">
        <v>346</v>
      </c>
      <c r="C1274" s="128">
        <v>795490</v>
      </c>
      <c r="D1274" s="104">
        <f>G1274+J1274+P1274+M1274</f>
        <v>795490</v>
      </c>
      <c r="E1274" s="129">
        <f t="shared" si="161"/>
        <v>175497</v>
      </c>
      <c r="F1274" s="444">
        <f>E1274/D1274*100</f>
        <v>22.06149668757621</v>
      </c>
      <c r="G1274" s="128">
        <v>774690</v>
      </c>
      <c r="H1274" s="129">
        <v>170408</v>
      </c>
      <c r="I1274" s="105">
        <f t="shared" si="160"/>
        <v>21.996927803379414</v>
      </c>
      <c r="J1274" s="193">
        <v>20800</v>
      </c>
      <c r="K1274" s="129">
        <v>5089</v>
      </c>
      <c r="L1274" s="110">
        <f t="shared" si="162"/>
        <v>24.466346153846157</v>
      </c>
      <c r="M1274" s="129"/>
      <c r="N1274" s="129"/>
      <c r="O1274" s="194"/>
      <c r="P1274" s="129"/>
      <c r="Q1274" s="129"/>
      <c r="R1274" s="108"/>
    </row>
    <row r="1275" spans="1:18" s="185" customFormat="1" ht="24">
      <c r="A1275" s="191">
        <v>4040</v>
      </c>
      <c r="B1275" s="423" t="s">
        <v>350</v>
      </c>
      <c r="C1275" s="128">
        <v>65300</v>
      </c>
      <c r="D1275" s="104">
        <f>G1275+J1275+P1275+M1275</f>
        <v>65300</v>
      </c>
      <c r="E1275" s="129">
        <f>SUM(H1275+K1275+N1275+Q1275)</f>
        <v>52358</v>
      </c>
      <c r="F1275" s="444">
        <f>E1275/D1275*100</f>
        <v>80.18070444104136</v>
      </c>
      <c r="G1275" s="128">
        <v>62900</v>
      </c>
      <c r="H1275" s="129">
        <v>50791</v>
      </c>
      <c r="I1275" s="105">
        <f t="shared" si="160"/>
        <v>80.74880763116057</v>
      </c>
      <c r="J1275" s="193">
        <v>2400</v>
      </c>
      <c r="K1275" s="129">
        <v>1567</v>
      </c>
      <c r="L1275" s="110">
        <f t="shared" si="162"/>
        <v>65.29166666666667</v>
      </c>
      <c r="M1275" s="129"/>
      <c r="N1275" s="129"/>
      <c r="O1275" s="194"/>
      <c r="P1275" s="129"/>
      <c r="Q1275" s="129"/>
      <c r="R1275" s="108"/>
    </row>
    <row r="1276" spans="1:18" s="185" customFormat="1" ht="24">
      <c r="A1276" s="191">
        <v>4110</v>
      </c>
      <c r="B1276" s="423" t="s">
        <v>352</v>
      </c>
      <c r="C1276" s="128">
        <v>137880</v>
      </c>
      <c r="D1276" s="104">
        <f>G1276+J1276+P1276+M1276</f>
        <v>137880</v>
      </c>
      <c r="E1276" s="129">
        <f t="shared" si="161"/>
        <v>34231</v>
      </c>
      <c r="F1276" s="444">
        <f>E1276/D1276*100</f>
        <v>24.826660864519873</v>
      </c>
      <c r="G1276" s="128">
        <v>134180</v>
      </c>
      <c r="H1276" s="129">
        <v>33165</v>
      </c>
      <c r="I1276" s="105">
        <f t="shared" si="160"/>
        <v>24.716798330600685</v>
      </c>
      <c r="J1276" s="193">
        <v>3700</v>
      </c>
      <c r="K1276" s="129">
        <v>1066</v>
      </c>
      <c r="L1276" s="110">
        <f t="shared" si="162"/>
        <v>28.81081081081081</v>
      </c>
      <c r="M1276" s="129"/>
      <c r="N1276" s="129"/>
      <c r="O1276" s="194"/>
      <c r="P1276" s="129"/>
      <c r="Q1276" s="129"/>
      <c r="R1276" s="108"/>
    </row>
    <row r="1277" spans="1:18" s="185" customFormat="1" ht="14.25" customHeight="1">
      <c r="A1277" s="191">
        <v>4120</v>
      </c>
      <c r="B1277" s="423" t="s">
        <v>504</v>
      </c>
      <c r="C1277" s="128">
        <v>21120</v>
      </c>
      <c r="D1277" s="104">
        <f t="shared" si="159"/>
        <v>21120</v>
      </c>
      <c r="E1277" s="129">
        <f t="shared" si="161"/>
        <v>5120</v>
      </c>
      <c r="F1277" s="444">
        <f t="shared" si="158"/>
        <v>24.242424242424242</v>
      </c>
      <c r="G1277" s="128">
        <v>20520</v>
      </c>
      <c r="H1277" s="129">
        <v>4957</v>
      </c>
      <c r="I1277" s="105">
        <f t="shared" si="160"/>
        <v>24.15692007797271</v>
      </c>
      <c r="J1277" s="193">
        <v>600</v>
      </c>
      <c r="K1277" s="129">
        <v>163</v>
      </c>
      <c r="L1277" s="110">
        <f t="shared" si="162"/>
        <v>27.166666666666668</v>
      </c>
      <c r="M1277" s="129"/>
      <c r="N1277" s="129"/>
      <c r="O1277" s="194"/>
      <c r="P1277" s="129"/>
      <c r="Q1277" s="129"/>
      <c r="R1277" s="108"/>
    </row>
    <row r="1278" spans="1:18" s="185" customFormat="1" ht="24">
      <c r="A1278" s="191">
        <v>4170</v>
      </c>
      <c r="B1278" s="423" t="s">
        <v>392</v>
      </c>
      <c r="C1278" s="128">
        <v>92200</v>
      </c>
      <c r="D1278" s="104">
        <f t="shared" si="159"/>
        <v>92200</v>
      </c>
      <c r="E1278" s="129">
        <f t="shared" si="161"/>
        <v>20940</v>
      </c>
      <c r="F1278" s="444">
        <f t="shared" si="158"/>
        <v>22.711496746203906</v>
      </c>
      <c r="G1278" s="128">
        <v>27200</v>
      </c>
      <c r="H1278" s="129">
        <v>5490</v>
      </c>
      <c r="I1278" s="105">
        <f t="shared" si="160"/>
        <v>20.183823529411764</v>
      </c>
      <c r="J1278" s="193">
        <v>65000</v>
      </c>
      <c r="K1278" s="129">
        <v>15450</v>
      </c>
      <c r="L1278" s="110">
        <f t="shared" si="162"/>
        <v>23.76923076923077</v>
      </c>
      <c r="M1278" s="129"/>
      <c r="N1278" s="129"/>
      <c r="O1278" s="194"/>
      <c r="P1278" s="129"/>
      <c r="Q1278" s="129"/>
      <c r="R1278" s="108"/>
    </row>
    <row r="1279" spans="1:18" s="185" customFormat="1" ht="24">
      <c r="A1279" s="191">
        <v>4210</v>
      </c>
      <c r="B1279" s="423" t="s">
        <v>356</v>
      </c>
      <c r="C1279" s="128">
        <v>2900</v>
      </c>
      <c r="D1279" s="104">
        <f t="shared" si="159"/>
        <v>2900</v>
      </c>
      <c r="E1279" s="129">
        <f t="shared" si="161"/>
        <v>0</v>
      </c>
      <c r="F1279" s="444">
        <f t="shared" si="158"/>
        <v>0</v>
      </c>
      <c r="G1279" s="128">
        <v>2900</v>
      </c>
      <c r="H1279" s="129"/>
      <c r="I1279" s="105">
        <f t="shared" si="160"/>
        <v>0</v>
      </c>
      <c r="J1279" s="193"/>
      <c r="K1279" s="129"/>
      <c r="L1279" s="110"/>
      <c r="M1279" s="129"/>
      <c r="N1279" s="129"/>
      <c r="O1279" s="194"/>
      <c r="P1279" s="129"/>
      <c r="Q1279" s="129"/>
      <c r="R1279" s="108"/>
    </row>
    <row r="1280" spans="1:18" s="185" customFormat="1" ht="12.75">
      <c r="A1280" s="191">
        <v>4260</v>
      </c>
      <c r="B1280" s="423" t="s">
        <v>360</v>
      </c>
      <c r="C1280" s="128">
        <v>930</v>
      </c>
      <c r="D1280" s="104">
        <f t="shared" si="159"/>
        <v>930</v>
      </c>
      <c r="E1280" s="129">
        <f t="shared" si="161"/>
        <v>89</v>
      </c>
      <c r="F1280" s="444">
        <f t="shared" si="158"/>
        <v>9.56989247311828</v>
      </c>
      <c r="G1280" s="128">
        <v>930</v>
      </c>
      <c r="H1280" s="129">
        <v>89</v>
      </c>
      <c r="I1280" s="105">
        <f t="shared" si="160"/>
        <v>9.56989247311828</v>
      </c>
      <c r="J1280" s="193"/>
      <c r="K1280" s="129"/>
      <c r="L1280" s="110"/>
      <c r="M1280" s="129"/>
      <c r="N1280" s="129"/>
      <c r="O1280" s="194"/>
      <c r="P1280" s="129"/>
      <c r="Q1280" s="129"/>
      <c r="R1280" s="108"/>
    </row>
    <row r="1281" spans="1:18" s="185" customFormat="1" ht="24">
      <c r="A1281" s="191">
        <v>4280</v>
      </c>
      <c r="B1281" s="423" t="s">
        <v>458</v>
      </c>
      <c r="C1281" s="128">
        <v>750</v>
      </c>
      <c r="D1281" s="104">
        <f t="shared" si="159"/>
        <v>750</v>
      </c>
      <c r="E1281" s="129">
        <f t="shared" si="161"/>
        <v>184</v>
      </c>
      <c r="F1281" s="444">
        <f t="shared" si="158"/>
        <v>24.53333333333333</v>
      </c>
      <c r="G1281" s="128">
        <v>750</v>
      </c>
      <c r="H1281" s="129">
        <v>184</v>
      </c>
      <c r="I1281" s="105">
        <f t="shared" si="160"/>
        <v>24.53333333333333</v>
      </c>
      <c r="J1281" s="193"/>
      <c r="K1281" s="129"/>
      <c r="L1281" s="110"/>
      <c r="M1281" s="129"/>
      <c r="N1281" s="129"/>
      <c r="O1281" s="194"/>
      <c r="P1281" s="129"/>
      <c r="Q1281" s="129"/>
      <c r="R1281" s="108"/>
    </row>
    <row r="1282" spans="1:18" s="185" customFormat="1" ht="24">
      <c r="A1282" s="191">
        <v>4300</v>
      </c>
      <c r="B1282" s="423" t="s">
        <v>459</v>
      </c>
      <c r="C1282" s="128">
        <v>54590</v>
      </c>
      <c r="D1282" s="104">
        <f t="shared" si="159"/>
        <v>54590</v>
      </c>
      <c r="E1282" s="129">
        <f t="shared" si="161"/>
        <v>5783</v>
      </c>
      <c r="F1282" s="444">
        <f t="shared" si="158"/>
        <v>10.59351529584173</v>
      </c>
      <c r="G1282" s="128">
        <v>4090</v>
      </c>
      <c r="H1282" s="129">
        <v>633</v>
      </c>
      <c r="I1282" s="105">
        <f t="shared" si="160"/>
        <v>15.47677261613692</v>
      </c>
      <c r="J1282" s="193">
        <v>50500</v>
      </c>
      <c r="K1282" s="129">
        <v>5150</v>
      </c>
      <c r="L1282" s="110">
        <f t="shared" si="162"/>
        <v>10.198019801980198</v>
      </c>
      <c r="M1282" s="129"/>
      <c r="N1282" s="129"/>
      <c r="O1282" s="194"/>
      <c r="P1282" s="129"/>
      <c r="Q1282" s="129"/>
      <c r="R1282" s="108"/>
    </row>
    <row r="1283" spans="1:18" s="185" customFormat="1" ht="48">
      <c r="A1283" s="191">
        <v>4370</v>
      </c>
      <c r="B1283" s="423" t="s">
        <v>462</v>
      </c>
      <c r="C1283" s="128">
        <v>4000</v>
      </c>
      <c r="D1283" s="104">
        <f>G1283+J1283+P1283+M1283</f>
        <v>4000</v>
      </c>
      <c r="E1283" s="129">
        <f>SUM(H1283+K1283+N1283+Q1283)</f>
        <v>0</v>
      </c>
      <c r="F1283" s="444">
        <f>E1283/D1283*100</f>
        <v>0</v>
      </c>
      <c r="G1283" s="128">
        <v>4000</v>
      </c>
      <c r="H1283" s="129"/>
      <c r="I1283" s="105">
        <f t="shared" si="160"/>
        <v>0</v>
      </c>
      <c r="J1283" s="193"/>
      <c r="K1283" s="129"/>
      <c r="L1283" s="110"/>
      <c r="M1283" s="129"/>
      <c r="N1283" s="129"/>
      <c r="O1283" s="194"/>
      <c r="P1283" s="129"/>
      <c r="Q1283" s="129"/>
      <c r="R1283" s="108"/>
    </row>
    <row r="1284" spans="1:18" s="185" customFormat="1" ht="24">
      <c r="A1284" s="191">
        <v>4410</v>
      </c>
      <c r="B1284" s="423" t="s">
        <v>784</v>
      </c>
      <c r="C1284" s="128">
        <v>25840</v>
      </c>
      <c r="D1284" s="104">
        <f t="shared" si="159"/>
        <v>25840</v>
      </c>
      <c r="E1284" s="129">
        <f t="shared" si="161"/>
        <v>3168</v>
      </c>
      <c r="F1284" s="444">
        <f t="shared" si="158"/>
        <v>12.260061919504645</v>
      </c>
      <c r="G1284" s="128">
        <v>25040</v>
      </c>
      <c r="H1284" s="129">
        <v>3168</v>
      </c>
      <c r="I1284" s="105">
        <f t="shared" si="160"/>
        <v>12.651757188498403</v>
      </c>
      <c r="J1284" s="193">
        <v>800</v>
      </c>
      <c r="K1284" s="129"/>
      <c r="L1284" s="110">
        <f t="shared" si="162"/>
        <v>0</v>
      </c>
      <c r="M1284" s="129"/>
      <c r="N1284" s="129"/>
      <c r="O1284" s="194"/>
      <c r="P1284" s="129"/>
      <c r="Q1284" s="129"/>
      <c r="R1284" s="108"/>
    </row>
    <row r="1285" spans="1:18" s="185" customFormat="1" ht="12.75">
      <c r="A1285" s="191">
        <v>4440</v>
      </c>
      <c r="B1285" s="259" t="s">
        <v>636</v>
      </c>
      <c r="C1285" s="128">
        <v>31800</v>
      </c>
      <c r="D1285" s="104">
        <f t="shared" si="159"/>
        <v>31800</v>
      </c>
      <c r="E1285" s="129">
        <f t="shared" si="161"/>
        <v>0</v>
      </c>
      <c r="F1285" s="444">
        <f t="shared" si="158"/>
        <v>0</v>
      </c>
      <c r="G1285" s="128">
        <v>31000</v>
      </c>
      <c r="H1285" s="129"/>
      <c r="I1285" s="105">
        <f t="shared" si="160"/>
        <v>0</v>
      </c>
      <c r="J1285" s="193">
        <v>800</v>
      </c>
      <c r="K1285" s="129"/>
      <c r="L1285" s="110">
        <f t="shared" si="162"/>
        <v>0</v>
      </c>
      <c r="M1285" s="129"/>
      <c r="N1285" s="129"/>
      <c r="O1285" s="194"/>
      <c r="P1285" s="129"/>
      <c r="Q1285" s="129"/>
      <c r="R1285" s="108"/>
    </row>
    <row r="1286" spans="1:18" s="185" customFormat="1" ht="24" hidden="1">
      <c r="A1286" s="191">
        <v>4480</v>
      </c>
      <c r="B1286" s="259" t="s">
        <v>370</v>
      </c>
      <c r="C1286" s="128"/>
      <c r="D1286" s="104">
        <f t="shared" si="159"/>
        <v>0</v>
      </c>
      <c r="E1286" s="129">
        <f t="shared" si="161"/>
        <v>0</v>
      </c>
      <c r="F1286" s="444" t="e">
        <f t="shared" si="158"/>
        <v>#DIV/0!</v>
      </c>
      <c r="G1286" s="128"/>
      <c r="H1286" s="129"/>
      <c r="I1286" s="105"/>
      <c r="J1286" s="193"/>
      <c r="K1286" s="129"/>
      <c r="L1286" s="110"/>
      <c r="M1286" s="129"/>
      <c r="N1286" s="129"/>
      <c r="O1286" s="194"/>
      <c r="P1286" s="129"/>
      <c r="Q1286" s="129"/>
      <c r="R1286" s="108"/>
    </row>
    <row r="1287" spans="1:18" s="185" customFormat="1" ht="60">
      <c r="A1287" s="316">
        <v>4740</v>
      </c>
      <c r="B1287" s="291" t="s">
        <v>380</v>
      </c>
      <c r="C1287" s="128">
        <v>500</v>
      </c>
      <c r="D1287" s="104">
        <f t="shared" si="159"/>
        <v>500</v>
      </c>
      <c r="E1287" s="129">
        <f t="shared" si="161"/>
        <v>0</v>
      </c>
      <c r="F1287" s="444">
        <f t="shared" si="158"/>
        <v>0</v>
      </c>
      <c r="G1287" s="128">
        <v>500</v>
      </c>
      <c r="H1287" s="129"/>
      <c r="I1287" s="105">
        <f t="shared" si="160"/>
        <v>0</v>
      </c>
      <c r="J1287" s="193"/>
      <c r="K1287" s="129"/>
      <c r="L1287" s="110"/>
      <c r="M1287" s="129"/>
      <c r="N1287" s="129"/>
      <c r="O1287" s="194"/>
      <c r="P1287" s="129"/>
      <c r="Q1287" s="129"/>
      <c r="R1287" s="108"/>
    </row>
    <row r="1288" spans="1:18" s="221" customFormat="1" ht="24" hidden="1">
      <c r="A1288" s="272">
        <v>85278</v>
      </c>
      <c r="B1288" s="472" t="s">
        <v>786</v>
      </c>
      <c r="C1288" s="136"/>
      <c r="D1288" s="137">
        <f t="shared" si="159"/>
        <v>0</v>
      </c>
      <c r="E1288" s="137">
        <f>H1288+K1288+Q1288+N1288</f>
        <v>0</v>
      </c>
      <c r="F1288" s="483" t="e">
        <f t="shared" si="158"/>
        <v>#DIV/0!</v>
      </c>
      <c r="G1288" s="136"/>
      <c r="H1288" s="137"/>
      <c r="I1288" s="297"/>
      <c r="J1288" s="140">
        <f>SUM(J1289)</f>
        <v>0</v>
      </c>
      <c r="K1288" s="137">
        <f>SUM(K1289)</f>
        <v>0</v>
      </c>
      <c r="L1288" s="477" t="e">
        <f>K1288/J1288*100</f>
        <v>#DIV/0!</v>
      </c>
      <c r="M1288" s="137"/>
      <c r="N1288" s="137"/>
      <c r="O1288" s="265"/>
      <c r="P1288" s="137"/>
      <c r="Q1288" s="137"/>
      <c r="R1288" s="243"/>
    </row>
    <row r="1289" spans="1:18" s="185" customFormat="1" ht="14.25" customHeight="1" hidden="1">
      <c r="A1289" s="481">
        <v>3110</v>
      </c>
      <c r="B1289" s="482" t="s">
        <v>682</v>
      </c>
      <c r="C1289" s="344"/>
      <c r="D1289" s="375">
        <f t="shared" si="159"/>
        <v>0</v>
      </c>
      <c r="E1289" s="375">
        <f>H1289+K1289+Q1289+N1289</f>
        <v>0</v>
      </c>
      <c r="F1289" s="478" t="e">
        <f t="shared" si="158"/>
        <v>#DIV/0!</v>
      </c>
      <c r="G1289" s="344"/>
      <c r="H1289" s="345"/>
      <c r="I1289" s="297"/>
      <c r="J1289" s="346"/>
      <c r="K1289" s="345"/>
      <c r="L1289" s="484" t="e">
        <f>K1289/J1289*100</f>
        <v>#DIV/0!</v>
      </c>
      <c r="M1289" s="345"/>
      <c r="N1289" s="345"/>
      <c r="O1289" s="190"/>
      <c r="P1289" s="345"/>
      <c r="Q1289" s="345"/>
      <c r="R1289" s="127"/>
    </row>
    <row r="1290" spans="1:18" ht="30.75" customHeight="1">
      <c r="A1290" s="186">
        <v>85295</v>
      </c>
      <c r="B1290" s="422" t="s">
        <v>378</v>
      </c>
      <c r="C1290" s="117">
        <f>SUM(C1291:C1297)</f>
        <v>1120950</v>
      </c>
      <c r="D1290" s="137">
        <f>G1290+J1290+P1290+M1290</f>
        <v>1251770</v>
      </c>
      <c r="E1290" s="119">
        <f>H1290+K1290+Q1290+N1290</f>
        <v>249957</v>
      </c>
      <c r="F1290" s="478">
        <f t="shared" si="158"/>
        <v>19.968284908569466</v>
      </c>
      <c r="G1290" s="117">
        <f>SUM(G1292:G1297)+G1291+G1298+G1303</f>
        <v>1251770</v>
      </c>
      <c r="H1290" s="126">
        <f>SUM(H1292:H1297)+H1291+H1298+H1303</f>
        <v>249957</v>
      </c>
      <c r="I1290" s="120">
        <f aca="true" t="shared" si="163" ref="I1290:I1314">H1290/G1290*100</f>
        <v>19.968284908569466</v>
      </c>
      <c r="J1290" s="117"/>
      <c r="K1290" s="126"/>
      <c r="L1290" s="347"/>
      <c r="M1290" s="485"/>
      <c r="N1290" s="126"/>
      <c r="O1290" s="190"/>
      <c r="P1290" s="257"/>
      <c r="Q1290" s="257"/>
      <c r="R1290" s="127"/>
    </row>
    <row r="1291" spans="1:18" s="185" customFormat="1" ht="59.25" customHeight="1">
      <c r="A1291" s="172">
        <v>2820</v>
      </c>
      <c r="B1291" s="486" t="s">
        <v>579</v>
      </c>
      <c r="C1291" s="132">
        <v>150000</v>
      </c>
      <c r="D1291" s="149">
        <f t="shared" si="159"/>
        <v>150000</v>
      </c>
      <c r="E1291" s="149">
        <f aca="true" t="shared" si="164" ref="E1291:E1310">SUM(H1291+K1291+N1291+Q1291)</f>
        <v>67000</v>
      </c>
      <c r="F1291" s="479">
        <f t="shared" si="158"/>
        <v>44.666666666666664</v>
      </c>
      <c r="G1291" s="132">
        <v>150000</v>
      </c>
      <c r="H1291" s="150">
        <v>67000</v>
      </c>
      <c r="I1291" s="130">
        <f t="shared" si="163"/>
        <v>44.666666666666664</v>
      </c>
      <c r="J1291" s="223"/>
      <c r="K1291" s="150"/>
      <c r="L1291" s="154"/>
      <c r="M1291" s="150"/>
      <c r="N1291" s="150"/>
      <c r="O1291" s="225"/>
      <c r="P1291" s="150"/>
      <c r="Q1291" s="150"/>
      <c r="R1291" s="113"/>
    </row>
    <row r="1292" spans="1:18" s="185" customFormat="1" ht="48">
      <c r="A1292" s="191">
        <v>3110</v>
      </c>
      <c r="B1292" s="458" t="s">
        <v>787</v>
      </c>
      <c r="C1292" s="128">
        <f>200000+595000</f>
        <v>795000</v>
      </c>
      <c r="D1292" s="104">
        <f>G1292+J1292+P1292+M1292</f>
        <v>911970</v>
      </c>
      <c r="E1292" s="129">
        <f>SUM(H1292+K1292+N1292+Q1292)</f>
        <v>177465</v>
      </c>
      <c r="F1292" s="444">
        <f>E1292/D1292*100</f>
        <v>19.459521694792592</v>
      </c>
      <c r="G1292" s="128">
        <f>200000+595000+117000-30</f>
        <v>911970</v>
      </c>
      <c r="H1292" s="129">
        <v>177465</v>
      </c>
      <c r="I1292" s="105">
        <f t="shared" si="163"/>
        <v>19.459521694792592</v>
      </c>
      <c r="J1292" s="193"/>
      <c r="K1292" s="129"/>
      <c r="L1292" s="110"/>
      <c r="M1292" s="129"/>
      <c r="N1292" s="129"/>
      <c r="O1292" s="194"/>
      <c r="P1292" s="129"/>
      <c r="Q1292" s="129"/>
      <c r="R1292" s="108"/>
    </row>
    <row r="1293" spans="1:18" s="185" customFormat="1" ht="12.75" hidden="1">
      <c r="A1293" s="191">
        <v>4580</v>
      </c>
      <c r="B1293" s="458" t="s">
        <v>394</v>
      </c>
      <c r="C1293" s="128"/>
      <c r="D1293" s="104">
        <f t="shared" si="159"/>
        <v>0</v>
      </c>
      <c r="E1293" s="129">
        <f t="shared" si="164"/>
        <v>0</v>
      </c>
      <c r="F1293" s="444" t="e">
        <f t="shared" si="158"/>
        <v>#DIV/0!</v>
      </c>
      <c r="G1293" s="128">
        <f>30-30</f>
        <v>0</v>
      </c>
      <c r="H1293" s="104"/>
      <c r="I1293" s="105" t="e">
        <f t="shared" si="163"/>
        <v>#DIV/0!</v>
      </c>
      <c r="J1293" s="193"/>
      <c r="K1293" s="129"/>
      <c r="L1293" s="110"/>
      <c r="M1293" s="129"/>
      <c r="N1293" s="129"/>
      <c r="O1293" s="194"/>
      <c r="P1293" s="129"/>
      <c r="Q1293" s="129"/>
      <c r="R1293" s="108"/>
    </row>
    <row r="1294" spans="1:18" s="185" customFormat="1" ht="24" hidden="1">
      <c r="A1294" s="191">
        <v>4170</v>
      </c>
      <c r="B1294" s="423" t="s">
        <v>788</v>
      </c>
      <c r="C1294" s="128"/>
      <c r="D1294" s="104">
        <f>G1294+J1294+P1294+M1294</f>
        <v>0</v>
      </c>
      <c r="E1294" s="129">
        <f>SUM(H1294+K1294+N1294+Q1294)</f>
        <v>0</v>
      </c>
      <c r="F1294" s="444" t="e">
        <f>E1294/D1294*100</f>
        <v>#DIV/0!</v>
      </c>
      <c r="G1294" s="128"/>
      <c r="H1294" s="104"/>
      <c r="I1294" s="105" t="e">
        <f t="shared" si="163"/>
        <v>#DIV/0!</v>
      </c>
      <c r="J1294" s="193"/>
      <c r="K1294" s="129"/>
      <c r="L1294" s="110"/>
      <c r="M1294" s="129"/>
      <c r="N1294" s="129"/>
      <c r="O1294" s="194"/>
      <c r="P1294" s="129"/>
      <c r="Q1294" s="129"/>
      <c r="R1294" s="108"/>
    </row>
    <row r="1295" spans="1:18" s="185" customFormat="1" ht="24" hidden="1">
      <c r="A1295" s="191">
        <v>4210</v>
      </c>
      <c r="B1295" s="423" t="s">
        <v>789</v>
      </c>
      <c r="C1295" s="128"/>
      <c r="D1295" s="104">
        <f>G1295+J1295+P1295+M1295</f>
        <v>0</v>
      </c>
      <c r="E1295" s="129">
        <f>SUM(H1295+K1295+N1295+Q1295)</f>
        <v>0</v>
      </c>
      <c r="F1295" s="444" t="e">
        <f>E1295/D1295*100</f>
        <v>#DIV/0!</v>
      </c>
      <c r="G1295" s="128"/>
      <c r="H1295" s="104"/>
      <c r="I1295" s="105" t="e">
        <f t="shared" si="163"/>
        <v>#DIV/0!</v>
      </c>
      <c r="J1295" s="193"/>
      <c r="K1295" s="129"/>
      <c r="L1295" s="110"/>
      <c r="M1295" s="129"/>
      <c r="N1295" s="129"/>
      <c r="O1295" s="194"/>
      <c r="P1295" s="129"/>
      <c r="Q1295" s="129"/>
      <c r="R1295" s="108"/>
    </row>
    <row r="1296" spans="1:18" s="185" customFormat="1" ht="72">
      <c r="A1296" s="191">
        <v>6060</v>
      </c>
      <c r="B1296" s="259" t="s">
        <v>790</v>
      </c>
      <c r="C1296" s="128">
        <v>153450</v>
      </c>
      <c r="D1296" s="104">
        <f t="shared" si="159"/>
        <v>153450</v>
      </c>
      <c r="E1296" s="129">
        <f t="shared" si="164"/>
        <v>0</v>
      </c>
      <c r="F1296" s="444">
        <f t="shared" si="158"/>
        <v>0</v>
      </c>
      <c r="G1296" s="128">
        <v>153450</v>
      </c>
      <c r="H1296" s="104"/>
      <c r="I1296" s="105">
        <f t="shared" si="163"/>
        <v>0</v>
      </c>
      <c r="J1296" s="193"/>
      <c r="K1296" s="129"/>
      <c r="L1296" s="110"/>
      <c r="M1296" s="129"/>
      <c r="N1296" s="129"/>
      <c r="O1296" s="194"/>
      <c r="P1296" s="129"/>
      <c r="Q1296" s="129"/>
      <c r="R1296" s="108"/>
    </row>
    <row r="1297" spans="1:18" s="185" customFormat="1" ht="24.75" customHeight="1" thickBot="1">
      <c r="A1297" s="191">
        <v>4300</v>
      </c>
      <c r="B1297" s="423" t="s">
        <v>791</v>
      </c>
      <c r="C1297" s="128">
        <v>22500</v>
      </c>
      <c r="D1297" s="104">
        <f t="shared" si="159"/>
        <v>36350</v>
      </c>
      <c r="E1297" s="129">
        <f t="shared" si="164"/>
        <v>5492</v>
      </c>
      <c r="F1297" s="432">
        <f t="shared" si="158"/>
        <v>15.108665749656122</v>
      </c>
      <c r="G1297" s="128">
        <f>22500+13850</f>
        <v>36350</v>
      </c>
      <c r="H1297" s="129">
        <v>5492</v>
      </c>
      <c r="I1297" s="105">
        <f t="shared" si="163"/>
        <v>15.108665749656122</v>
      </c>
      <c r="J1297" s="193"/>
      <c r="K1297" s="129"/>
      <c r="L1297" s="110"/>
      <c r="M1297" s="129"/>
      <c r="N1297" s="129"/>
      <c r="O1297" s="108"/>
      <c r="P1297" s="129"/>
      <c r="Q1297" s="129"/>
      <c r="R1297" s="108"/>
    </row>
    <row r="1298" spans="1:18" s="221" customFormat="1" ht="24.75" hidden="1" thickBot="1">
      <c r="A1298" s="209"/>
      <c r="B1298" s="466" t="s">
        <v>792</v>
      </c>
      <c r="C1298" s="211"/>
      <c r="D1298" s="213">
        <f t="shared" si="159"/>
        <v>0</v>
      </c>
      <c r="E1298" s="213">
        <f t="shared" si="164"/>
        <v>0</v>
      </c>
      <c r="F1298" s="487" t="e">
        <f t="shared" si="158"/>
        <v>#DIV/0!</v>
      </c>
      <c r="G1298" s="468">
        <f>SUM(G1299:G1302)</f>
        <v>0</v>
      </c>
      <c r="H1298" s="213">
        <f>SUM(H1299:H1302)</f>
        <v>0</v>
      </c>
      <c r="I1298" s="105" t="e">
        <f t="shared" si="163"/>
        <v>#DIV/0!</v>
      </c>
      <c r="J1298" s="215"/>
      <c r="K1298" s="213"/>
      <c r="L1298" s="289"/>
      <c r="M1298" s="211"/>
      <c r="N1298" s="213"/>
      <c r="O1298" s="488"/>
      <c r="P1298" s="213"/>
      <c r="Q1298" s="213"/>
      <c r="R1298" s="488"/>
    </row>
    <row r="1299" spans="1:18" s="185" customFormat="1" ht="24.75" hidden="1" thickBot="1">
      <c r="A1299" s="191">
        <v>4170</v>
      </c>
      <c r="B1299" s="423" t="s">
        <v>392</v>
      </c>
      <c r="C1299" s="128"/>
      <c r="D1299" s="104">
        <f t="shared" si="159"/>
        <v>0</v>
      </c>
      <c r="E1299" s="129">
        <f t="shared" si="164"/>
        <v>0</v>
      </c>
      <c r="F1299" s="432" t="e">
        <f t="shared" si="158"/>
        <v>#DIV/0!</v>
      </c>
      <c r="G1299" s="128"/>
      <c r="H1299" s="129"/>
      <c r="I1299" s="105" t="e">
        <f t="shared" si="163"/>
        <v>#DIV/0!</v>
      </c>
      <c r="J1299" s="193"/>
      <c r="K1299" s="129"/>
      <c r="L1299" s="110"/>
      <c r="M1299" s="128"/>
      <c r="N1299" s="129"/>
      <c r="O1299" s="489"/>
      <c r="P1299" s="129"/>
      <c r="Q1299" s="129"/>
      <c r="R1299" s="162"/>
    </row>
    <row r="1300" spans="1:18" s="185" customFormat="1" ht="24.75" hidden="1" thickBot="1">
      <c r="A1300" s="191">
        <v>4210</v>
      </c>
      <c r="B1300" s="423" t="s">
        <v>356</v>
      </c>
      <c r="C1300" s="128"/>
      <c r="D1300" s="104">
        <f t="shared" si="159"/>
        <v>0</v>
      </c>
      <c r="E1300" s="129">
        <f t="shared" si="164"/>
        <v>0</v>
      </c>
      <c r="F1300" s="432" t="e">
        <f t="shared" si="158"/>
        <v>#DIV/0!</v>
      </c>
      <c r="G1300" s="128"/>
      <c r="H1300" s="129"/>
      <c r="I1300" s="105" t="e">
        <f t="shared" si="163"/>
        <v>#DIV/0!</v>
      </c>
      <c r="J1300" s="193"/>
      <c r="K1300" s="129"/>
      <c r="L1300" s="110"/>
      <c r="M1300" s="128"/>
      <c r="N1300" s="129"/>
      <c r="O1300" s="489"/>
      <c r="P1300" s="129"/>
      <c r="Q1300" s="129"/>
      <c r="R1300" s="162"/>
    </row>
    <row r="1301" spans="1:18" s="185" customFormat="1" ht="24.75" hidden="1" thickBot="1">
      <c r="A1301" s="191">
        <v>4300</v>
      </c>
      <c r="B1301" s="423" t="s">
        <v>364</v>
      </c>
      <c r="C1301" s="128"/>
      <c r="D1301" s="104">
        <f t="shared" si="159"/>
        <v>0</v>
      </c>
      <c r="E1301" s="129">
        <f t="shared" si="164"/>
        <v>0</v>
      </c>
      <c r="F1301" s="432" t="e">
        <f t="shared" si="158"/>
        <v>#DIV/0!</v>
      </c>
      <c r="G1301" s="128"/>
      <c r="H1301" s="129"/>
      <c r="I1301" s="105" t="e">
        <f t="shared" si="163"/>
        <v>#DIV/0!</v>
      </c>
      <c r="J1301" s="193"/>
      <c r="K1301" s="129"/>
      <c r="L1301" s="110"/>
      <c r="M1301" s="128"/>
      <c r="N1301" s="129"/>
      <c r="O1301" s="489"/>
      <c r="P1301" s="129"/>
      <c r="Q1301" s="129"/>
      <c r="R1301" s="162"/>
    </row>
    <row r="1302" spans="1:18" s="185" customFormat="1" ht="60.75" hidden="1" thickBot="1">
      <c r="A1302" s="191">
        <v>4740</v>
      </c>
      <c r="B1302" s="423" t="s">
        <v>380</v>
      </c>
      <c r="C1302" s="128"/>
      <c r="D1302" s="104">
        <f t="shared" si="159"/>
        <v>0</v>
      </c>
      <c r="E1302" s="129">
        <f t="shared" si="164"/>
        <v>0</v>
      </c>
      <c r="F1302" s="432" t="e">
        <f t="shared" si="158"/>
        <v>#DIV/0!</v>
      </c>
      <c r="G1302" s="128"/>
      <c r="H1302" s="129"/>
      <c r="I1302" s="105" t="e">
        <f t="shared" si="163"/>
        <v>#DIV/0!</v>
      </c>
      <c r="J1302" s="193"/>
      <c r="K1302" s="129"/>
      <c r="L1302" s="110"/>
      <c r="M1302" s="128"/>
      <c r="N1302" s="129"/>
      <c r="O1302" s="489"/>
      <c r="P1302" s="129"/>
      <c r="Q1302" s="129"/>
      <c r="R1302" s="162"/>
    </row>
    <row r="1303" spans="1:18" s="221" customFormat="1" ht="24.75" hidden="1" thickBot="1">
      <c r="A1303" s="209"/>
      <c r="B1303" s="466" t="s">
        <v>793</v>
      </c>
      <c r="C1303" s="211"/>
      <c r="D1303" s="213">
        <f t="shared" si="159"/>
        <v>0</v>
      </c>
      <c r="E1303" s="213">
        <f t="shared" si="164"/>
        <v>0</v>
      </c>
      <c r="F1303" s="432" t="e">
        <f t="shared" si="158"/>
        <v>#DIV/0!</v>
      </c>
      <c r="G1303" s="211">
        <f>SUM(G1304:G1310)</f>
        <v>0</v>
      </c>
      <c r="H1303" s="213">
        <f>SUM(H1304:H1310)</f>
        <v>0</v>
      </c>
      <c r="I1303" s="105" t="e">
        <f t="shared" si="163"/>
        <v>#DIV/0!</v>
      </c>
      <c r="J1303" s="215"/>
      <c r="K1303" s="213"/>
      <c r="L1303" s="289"/>
      <c r="M1303" s="215"/>
      <c r="N1303" s="213"/>
      <c r="O1303" s="489"/>
      <c r="P1303" s="213"/>
      <c r="Q1303" s="213"/>
      <c r="R1303" s="489"/>
    </row>
    <row r="1304" spans="1:18" s="185" customFormat="1" ht="24.75" hidden="1" thickBot="1">
      <c r="A1304" s="191">
        <v>4110</v>
      </c>
      <c r="B1304" s="423" t="s">
        <v>352</v>
      </c>
      <c r="C1304" s="128"/>
      <c r="D1304" s="104">
        <f t="shared" si="159"/>
        <v>0</v>
      </c>
      <c r="E1304" s="129">
        <f t="shared" si="164"/>
        <v>0</v>
      </c>
      <c r="F1304" s="432" t="e">
        <f t="shared" si="158"/>
        <v>#DIV/0!</v>
      </c>
      <c r="G1304" s="128"/>
      <c r="H1304" s="129"/>
      <c r="I1304" s="105" t="e">
        <f t="shared" si="163"/>
        <v>#DIV/0!</v>
      </c>
      <c r="J1304" s="193"/>
      <c r="K1304" s="129"/>
      <c r="L1304" s="110"/>
      <c r="M1304" s="193"/>
      <c r="N1304" s="129"/>
      <c r="O1304" s="489"/>
      <c r="P1304" s="129"/>
      <c r="Q1304" s="129"/>
      <c r="R1304" s="162"/>
    </row>
    <row r="1305" spans="1:18" s="185" customFormat="1" ht="13.5" hidden="1" thickBot="1">
      <c r="A1305" s="191">
        <v>4120</v>
      </c>
      <c r="B1305" s="423" t="s">
        <v>504</v>
      </c>
      <c r="C1305" s="128"/>
      <c r="D1305" s="104">
        <f>G1305+J1305+P1305+M1305</f>
        <v>0</v>
      </c>
      <c r="E1305" s="129">
        <f>SUM(H1305+K1305+N1305+Q1305)</f>
        <v>0</v>
      </c>
      <c r="F1305" s="432" t="e">
        <f>E1305/D1305*100</f>
        <v>#DIV/0!</v>
      </c>
      <c r="G1305" s="128"/>
      <c r="H1305" s="129"/>
      <c r="I1305" s="105" t="e">
        <f t="shared" si="163"/>
        <v>#DIV/0!</v>
      </c>
      <c r="J1305" s="193"/>
      <c r="K1305" s="129"/>
      <c r="L1305" s="110"/>
      <c r="M1305" s="193"/>
      <c r="N1305" s="129"/>
      <c r="O1305" s="489"/>
      <c r="P1305" s="129"/>
      <c r="Q1305" s="129"/>
      <c r="R1305" s="162"/>
    </row>
    <row r="1306" spans="1:18" s="185" customFormat="1" ht="24.75" hidden="1" thickBot="1">
      <c r="A1306" s="191">
        <v>4170</v>
      </c>
      <c r="B1306" s="423" t="s">
        <v>392</v>
      </c>
      <c r="C1306" s="128"/>
      <c r="D1306" s="104">
        <f>G1306+J1306+P1306+M1306</f>
        <v>0</v>
      </c>
      <c r="E1306" s="129">
        <f>SUM(H1306+K1306+N1306+Q1306)</f>
        <v>0</v>
      </c>
      <c r="F1306" s="432" t="e">
        <f>E1306/D1306*100</f>
        <v>#DIV/0!</v>
      </c>
      <c r="G1306" s="128"/>
      <c r="H1306" s="129"/>
      <c r="I1306" s="105" t="e">
        <f t="shared" si="163"/>
        <v>#DIV/0!</v>
      </c>
      <c r="J1306" s="193"/>
      <c r="K1306" s="129"/>
      <c r="L1306" s="110"/>
      <c r="M1306" s="193"/>
      <c r="N1306" s="129"/>
      <c r="O1306" s="489"/>
      <c r="P1306" s="129"/>
      <c r="Q1306" s="129"/>
      <c r="R1306" s="162"/>
    </row>
    <row r="1307" spans="1:18" s="185" customFormat="1" ht="24.75" hidden="1" thickBot="1">
      <c r="A1307" s="191">
        <v>4210</v>
      </c>
      <c r="B1307" s="423" t="s">
        <v>356</v>
      </c>
      <c r="C1307" s="128"/>
      <c r="D1307" s="104">
        <f t="shared" si="159"/>
        <v>0</v>
      </c>
      <c r="E1307" s="129">
        <f t="shared" si="164"/>
        <v>0</v>
      </c>
      <c r="F1307" s="432" t="e">
        <f t="shared" si="158"/>
        <v>#DIV/0!</v>
      </c>
      <c r="G1307" s="128"/>
      <c r="H1307" s="129"/>
      <c r="I1307" s="105" t="e">
        <f t="shared" si="163"/>
        <v>#DIV/0!</v>
      </c>
      <c r="J1307" s="193"/>
      <c r="K1307" s="129"/>
      <c r="L1307" s="110"/>
      <c r="M1307" s="193"/>
      <c r="N1307" s="129"/>
      <c r="O1307" s="489"/>
      <c r="P1307" s="129"/>
      <c r="Q1307" s="129"/>
      <c r="R1307" s="162"/>
    </row>
    <row r="1308" spans="1:18" s="185" customFormat="1" ht="24.75" hidden="1" thickBot="1">
      <c r="A1308" s="191">
        <v>4300</v>
      </c>
      <c r="B1308" s="423" t="s">
        <v>459</v>
      </c>
      <c r="C1308" s="128"/>
      <c r="D1308" s="104">
        <f t="shared" si="159"/>
        <v>0</v>
      </c>
      <c r="E1308" s="129">
        <f t="shared" si="164"/>
        <v>0</v>
      </c>
      <c r="F1308" s="432" t="e">
        <f t="shared" si="158"/>
        <v>#DIV/0!</v>
      </c>
      <c r="G1308" s="128"/>
      <c r="H1308" s="129"/>
      <c r="I1308" s="105" t="e">
        <f t="shared" si="163"/>
        <v>#DIV/0!</v>
      </c>
      <c r="J1308" s="193"/>
      <c r="K1308" s="129"/>
      <c r="L1308" s="110"/>
      <c r="M1308" s="193"/>
      <c r="N1308" s="129"/>
      <c r="O1308" s="489"/>
      <c r="P1308" s="129"/>
      <c r="Q1308" s="129"/>
      <c r="R1308" s="162"/>
    </row>
    <row r="1309" spans="1:18" s="185" customFormat="1" ht="48.75" hidden="1" thickBot="1">
      <c r="A1309" s="267">
        <v>4370</v>
      </c>
      <c r="B1309" s="291" t="s">
        <v>577</v>
      </c>
      <c r="C1309" s="128"/>
      <c r="D1309" s="104">
        <f t="shared" si="159"/>
        <v>0</v>
      </c>
      <c r="E1309" s="129">
        <f t="shared" si="164"/>
        <v>0</v>
      </c>
      <c r="F1309" s="432" t="e">
        <f t="shared" si="158"/>
        <v>#DIV/0!</v>
      </c>
      <c r="G1309" s="128"/>
      <c r="H1309" s="129"/>
      <c r="I1309" s="105" t="e">
        <f t="shared" si="163"/>
        <v>#DIV/0!</v>
      </c>
      <c r="J1309" s="193"/>
      <c r="K1309" s="129"/>
      <c r="L1309" s="110"/>
      <c r="M1309" s="193"/>
      <c r="N1309" s="129"/>
      <c r="O1309" s="489"/>
      <c r="P1309" s="129"/>
      <c r="Q1309" s="129"/>
      <c r="R1309" s="162"/>
    </row>
    <row r="1310" spans="1:18" s="185" customFormat="1" ht="60.75" hidden="1" thickBot="1">
      <c r="A1310" s="267">
        <v>4740</v>
      </c>
      <c r="B1310" s="291" t="s">
        <v>380</v>
      </c>
      <c r="C1310" s="128"/>
      <c r="D1310" s="104">
        <f t="shared" si="159"/>
        <v>0</v>
      </c>
      <c r="E1310" s="129">
        <f t="shared" si="164"/>
        <v>0</v>
      </c>
      <c r="F1310" s="432" t="e">
        <f t="shared" si="158"/>
        <v>#DIV/0!</v>
      </c>
      <c r="G1310" s="128"/>
      <c r="H1310" s="129"/>
      <c r="I1310" s="105" t="e">
        <f t="shared" si="163"/>
        <v>#DIV/0!</v>
      </c>
      <c r="J1310" s="193"/>
      <c r="K1310" s="129"/>
      <c r="L1310" s="110"/>
      <c r="M1310" s="193"/>
      <c r="N1310" s="129"/>
      <c r="O1310" s="489"/>
      <c r="P1310" s="129"/>
      <c r="Q1310" s="129"/>
      <c r="R1310" s="162"/>
    </row>
    <row r="1311" spans="1:18" s="221" customFormat="1" ht="49.5" thickBot="1" thickTop="1">
      <c r="A1311" s="201">
        <v>853</v>
      </c>
      <c r="B1311" s="490" t="s">
        <v>794</v>
      </c>
      <c r="C1311" s="203">
        <f>C1312+C1318+C1315+C1335+C1333</f>
        <v>2737100</v>
      </c>
      <c r="D1311" s="78">
        <f>D1312+D1318+D1315+D1335+D1333</f>
        <v>2916200</v>
      </c>
      <c r="E1311" s="78">
        <f>E1312+E1318+E1315+E1335+E1333</f>
        <v>781598</v>
      </c>
      <c r="F1311" s="491">
        <f>E1311/D1311*100</f>
        <v>26.801934023729512</v>
      </c>
      <c r="G1311" s="203">
        <f>G1312+G1318+G1315+G1335</f>
        <v>2604700</v>
      </c>
      <c r="H1311" s="78">
        <f>H1312+H1318+H1315+H1335</f>
        <v>700600</v>
      </c>
      <c r="I1311" s="79">
        <f t="shared" si="163"/>
        <v>26.897531385572236</v>
      </c>
      <c r="J1311" s="206"/>
      <c r="K1311" s="78"/>
      <c r="L1311" s="84"/>
      <c r="M1311" s="206">
        <f>M1312+M1318+M1335+M1315</f>
        <v>200500</v>
      </c>
      <c r="N1311" s="78">
        <f>N1312+N1318+N1335+N1315</f>
        <v>52455</v>
      </c>
      <c r="O1311" s="492">
        <f>N1311/M1311*100</f>
        <v>26.16209476309227</v>
      </c>
      <c r="P1311" s="78">
        <f>P1318+P1333</f>
        <v>111000</v>
      </c>
      <c r="Q1311" s="78">
        <f>Q1318+Q1333</f>
        <v>28543</v>
      </c>
      <c r="R1311" s="492">
        <f>Q1311/P1311*100</f>
        <v>25.714414414414417</v>
      </c>
    </row>
    <row r="1312" spans="1:18" s="185" customFormat="1" ht="13.5" thickTop="1">
      <c r="A1312" s="186">
        <v>85305</v>
      </c>
      <c r="B1312" s="422" t="s">
        <v>795</v>
      </c>
      <c r="C1312" s="188">
        <f>SUM(C1313:C1313)</f>
        <v>2428600</v>
      </c>
      <c r="D1312" s="137">
        <f>G1312+J1312+P1312+M1312</f>
        <v>2604700</v>
      </c>
      <c r="E1312" s="159">
        <f aca="true" t="shared" si="165" ref="E1312:E1317">SUM(H1312+K1312+N1312+Q1312)</f>
        <v>700600</v>
      </c>
      <c r="F1312" s="478">
        <f aca="true" t="shared" si="166" ref="F1312:F1375">E1312/D1312*100</f>
        <v>26.897531385572236</v>
      </c>
      <c r="G1312" s="188">
        <f>SUM(G1313:G1314)</f>
        <v>2604700</v>
      </c>
      <c r="H1312" s="119">
        <f>SUM(H1313:H1314)</f>
        <v>700600</v>
      </c>
      <c r="I1312" s="120">
        <f t="shared" si="163"/>
        <v>26.897531385572236</v>
      </c>
      <c r="J1312" s="124"/>
      <c r="K1312" s="119"/>
      <c r="L1312" s="125"/>
      <c r="M1312" s="119"/>
      <c r="N1312" s="119"/>
      <c r="O1312" s="190"/>
      <c r="P1312" s="119"/>
      <c r="Q1312" s="119"/>
      <c r="R1312" s="283"/>
    </row>
    <row r="1313" spans="1:18" s="185" customFormat="1" ht="36">
      <c r="A1313" s="172">
        <v>2510</v>
      </c>
      <c r="B1313" s="443" t="s">
        <v>686</v>
      </c>
      <c r="C1313" s="132">
        <v>2428600</v>
      </c>
      <c r="D1313" s="149">
        <f aca="true" t="shared" si="167" ref="D1313:D1376">G1313+J1313+P1313+M1313</f>
        <v>2454700</v>
      </c>
      <c r="E1313" s="150">
        <f t="shared" si="165"/>
        <v>700600</v>
      </c>
      <c r="F1313" s="479">
        <f t="shared" si="166"/>
        <v>28.541165926589805</v>
      </c>
      <c r="G1313" s="132">
        <f>2428600+26100</f>
        <v>2454700</v>
      </c>
      <c r="H1313" s="150">
        <v>700600</v>
      </c>
      <c r="I1313" s="130">
        <f t="shared" si="163"/>
        <v>28.541165926589805</v>
      </c>
      <c r="J1313" s="223"/>
      <c r="K1313" s="150"/>
      <c r="L1313" s="154"/>
      <c r="M1313" s="150"/>
      <c r="N1313" s="150"/>
      <c r="O1313" s="225"/>
      <c r="P1313" s="150"/>
      <c r="Q1313" s="150"/>
      <c r="R1313" s="226"/>
    </row>
    <row r="1314" spans="1:18" s="185" customFormat="1" ht="84">
      <c r="A1314" s="316">
        <v>6210</v>
      </c>
      <c r="B1314" s="317" t="s">
        <v>485</v>
      </c>
      <c r="C1314" s="229"/>
      <c r="D1314" s="230">
        <f>G1314+J1314+P1314+M1314</f>
        <v>150000</v>
      </c>
      <c r="E1314" s="236">
        <f t="shared" si="165"/>
        <v>0</v>
      </c>
      <c r="F1314" s="475">
        <f>E1314/D1314*100</f>
        <v>0</v>
      </c>
      <c r="G1314" s="229">
        <v>150000</v>
      </c>
      <c r="H1314" s="236"/>
      <c r="I1314" s="168">
        <f t="shared" si="163"/>
        <v>0</v>
      </c>
      <c r="J1314" s="233"/>
      <c r="K1314" s="236"/>
      <c r="L1314" s="319"/>
      <c r="M1314" s="236"/>
      <c r="N1314" s="236"/>
      <c r="O1314" s="237"/>
      <c r="P1314" s="236"/>
      <c r="Q1314" s="236"/>
      <c r="R1314" s="238"/>
    </row>
    <row r="1315" spans="1:18" s="221" customFormat="1" ht="48">
      <c r="A1315" s="239">
        <v>85311</v>
      </c>
      <c r="B1315" s="472" t="s">
        <v>796</v>
      </c>
      <c r="C1315" s="136">
        <f>SUM(C1316)</f>
        <v>149000</v>
      </c>
      <c r="D1315" s="137">
        <f t="shared" si="167"/>
        <v>149000</v>
      </c>
      <c r="E1315" s="137">
        <f t="shared" si="165"/>
        <v>37261</v>
      </c>
      <c r="F1315" s="478">
        <f t="shared" si="166"/>
        <v>25.00738255033557</v>
      </c>
      <c r="G1315" s="136"/>
      <c r="H1315" s="137"/>
      <c r="I1315" s="120"/>
      <c r="J1315" s="140"/>
      <c r="K1315" s="137"/>
      <c r="L1315" s="125"/>
      <c r="M1315" s="136">
        <f>SUM(M1316:M1317)</f>
        <v>149000</v>
      </c>
      <c r="N1315" s="137">
        <f>SUM(N1316:N1317)</f>
        <v>37261</v>
      </c>
      <c r="O1315" s="120">
        <f>N1315/M1315*100</f>
        <v>25.00738255033557</v>
      </c>
      <c r="P1315" s="137"/>
      <c r="Q1315" s="137"/>
      <c r="R1315" s="266"/>
    </row>
    <row r="1316" spans="1:18" s="269" customFormat="1" ht="60">
      <c r="A1316" s="314">
        <v>2580</v>
      </c>
      <c r="B1316" s="480" t="s">
        <v>797</v>
      </c>
      <c r="C1316" s="148">
        <v>149000</v>
      </c>
      <c r="D1316" s="104">
        <f>G1316+J1316+P1316+M1316</f>
        <v>149000</v>
      </c>
      <c r="E1316" s="129">
        <f t="shared" si="165"/>
        <v>37261</v>
      </c>
      <c r="F1316" s="444">
        <f t="shared" si="166"/>
        <v>25.00738255033557</v>
      </c>
      <c r="G1316" s="148"/>
      <c r="H1316" s="149"/>
      <c r="I1316" s="130"/>
      <c r="J1316" s="153"/>
      <c r="K1316" s="149"/>
      <c r="L1316" s="154"/>
      <c r="M1316" s="148">
        <v>149000</v>
      </c>
      <c r="N1316" s="149">
        <v>37261</v>
      </c>
      <c r="O1316" s="105">
        <f>N1316/M1316*100</f>
        <v>25.00738255033557</v>
      </c>
      <c r="P1316" s="149"/>
      <c r="Q1316" s="149"/>
      <c r="R1316" s="226"/>
    </row>
    <row r="1317" spans="1:18" s="185" customFormat="1" ht="24" hidden="1">
      <c r="A1317" s="227">
        <v>4300</v>
      </c>
      <c r="B1317" s="445" t="s">
        <v>798</v>
      </c>
      <c r="C1317" s="229"/>
      <c r="D1317" s="104">
        <f>G1317+J1317+P1317+M1317</f>
        <v>0</v>
      </c>
      <c r="E1317" s="129">
        <f t="shared" si="165"/>
        <v>0</v>
      </c>
      <c r="F1317" s="232"/>
      <c r="G1317" s="229"/>
      <c r="H1317" s="236"/>
      <c r="I1317" s="168"/>
      <c r="J1317" s="233"/>
      <c r="K1317" s="236"/>
      <c r="L1317" s="319"/>
      <c r="M1317" s="229">
        <f>46204-46204</f>
        <v>0</v>
      </c>
      <c r="N1317" s="236"/>
      <c r="O1317" s="105" t="e">
        <f>N1317/M1317*100</f>
        <v>#DIV/0!</v>
      </c>
      <c r="P1317" s="236"/>
      <c r="Q1317" s="236"/>
      <c r="R1317" s="238"/>
    </row>
    <row r="1318" spans="1:18" s="185" customFormat="1" ht="24">
      <c r="A1318" s="186">
        <v>85321</v>
      </c>
      <c r="B1318" s="422" t="s">
        <v>799</v>
      </c>
      <c r="C1318" s="188">
        <f>SUM(C1319:C1332)</f>
        <v>159500</v>
      </c>
      <c r="D1318" s="137">
        <f t="shared" si="167"/>
        <v>162500</v>
      </c>
      <c r="E1318" s="119">
        <f>H1318+K1318+Q1318+N1318</f>
        <v>43737</v>
      </c>
      <c r="F1318" s="478">
        <f t="shared" si="166"/>
        <v>26.915076923076924</v>
      </c>
      <c r="G1318" s="344"/>
      <c r="H1318" s="345"/>
      <c r="I1318" s="449"/>
      <c r="J1318" s="346"/>
      <c r="K1318" s="345"/>
      <c r="L1318" s="347"/>
      <c r="M1318" s="119">
        <f>SUM(M1319:M1332)</f>
        <v>51500</v>
      </c>
      <c r="N1318" s="119">
        <f>SUM(N1319:N1332)</f>
        <v>15194</v>
      </c>
      <c r="O1318" s="214">
        <f aca="true" t="shared" si="168" ref="O1318:O1330">N1318/M1318*100</f>
        <v>29.502912621359222</v>
      </c>
      <c r="P1318" s="119">
        <f>SUM(P1319:P1332)</f>
        <v>111000</v>
      </c>
      <c r="Q1318" s="119">
        <f>SUM(Q1319:Q1332)</f>
        <v>28543</v>
      </c>
      <c r="R1318" s="214">
        <f>Q1318/P1318*100</f>
        <v>25.714414414414417</v>
      </c>
    </row>
    <row r="1319" spans="1:18" s="185" customFormat="1" ht="24">
      <c r="A1319" s="172">
        <v>4010</v>
      </c>
      <c r="B1319" s="443" t="s">
        <v>346</v>
      </c>
      <c r="C1319" s="132">
        <v>91490</v>
      </c>
      <c r="D1319" s="149">
        <f t="shared" si="167"/>
        <v>91490</v>
      </c>
      <c r="E1319" s="150">
        <f aca="true" t="shared" si="169" ref="E1319:E1337">SUM(H1319+K1319+N1319+Q1319)</f>
        <v>21768</v>
      </c>
      <c r="F1319" s="479">
        <f t="shared" si="166"/>
        <v>23.792764236528583</v>
      </c>
      <c r="G1319" s="132"/>
      <c r="H1319" s="150"/>
      <c r="I1319" s="454"/>
      <c r="J1319" s="223"/>
      <c r="K1319" s="150"/>
      <c r="L1319" s="154"/>
      <c r="M1319" s="150">
        <v>17690</v>
      </c>
      <c r="N1319" s="493"/>
      <c r="O1319" s="222">
        <f t="shared" si="168"/>
        <v>0</v>
      </c>
      <c r="P1319" s="223">
        <v>73800</v>
      </c>
      <c r="Q1319" s="150">
        <v>21768</v>
      </c>
      <c r="R1319" s="256">
        <f>Q1319/P1319*100</f>
        <v>29.495934959349597</v>
      </c>
    </row>
    <row r="1320" spans="1:18" s="185" customFormat="1" ht="24">
      <c r="A1320" s="191">
        <v>4040</v>
      </c>
      <c r="B1320" s="423" t="s">
        <v>350</v>
      </c>
      <c r="C1320" s="128">
        <v>7040</v>
      </c>
      <c r="D1320" s="104">
        <f t="shared" si="167"/>
        <v>7336</v>
      </c>
      <c r="E1320" s="129">
        <f t="shared" si="169"/>
        <v>7335</v>
      </c>
      <c r="F1320" s="444">
        <f t="shared" si="166"/>
        <v>99.98636859323882</v>
      </c>
      <c r="G1320" s="128"/>
      <c r="H1320" s="129"/>
      <c r="I1320" s="455"/>
      <c r="J1320" s="193"/>
      <c r="K1320" s="129"/>
      <c r="L1320" s="110"/>
      <c r="M1320" s="129">
        <f>7040+296</f>
        <v>7336</v>
      </c>
      <c r="N1320" s="337">
        <f>7336-1</f>
        <v>7335</v>
      </c>
      <c r="O1320" s="256">
        <f t="shared" si="168"/>
        <v>99.98636859323882</v>
      </c>
      <c r="P1320" s="193"/>
      <c r="Q1320" s="129"/>
      <c r="R1320" s="256"/>
    </row>
    <row r="1321" spans="1:18" s="185" customFormat="1" ht="24">
      <c r="A1321" s="191">
        <v>4110</v>
      </c>
      <c r="B1321" s="423" t="s">
        <v>352</v>
      </c>
      <c r="C1321" s="128">
        <v>16950</v>
      </c>
      <c r="D1321" s="104">
        <f t="shared" si="167"/>
        <v>16950</v>
      </c>
      <c r="E1321" s="129">
        <f t="shared" si="169"/>
        <v>4643</v>
      </c>
      <c r="F1321" s="444">
        <f t="shared" si="166"/>
        <v>27.39233038348083</v>
      </c>
      <c r="G1321" s="128"/>
      <c r="H1321" s="129"/>
      <c r="I1321" s="455"/>
      <c r="J1321" s="193"/>
      <c r="K1321" s="129"/>
      <c r="L1321" s="110"/>
      <c r="M1321" s="129">
        <v>11350</v>
      </c>
      <c r="N1321" s="337">
        <v>1173</v>
      </c>
      <c r="O1321" s="256">
        <f t="shared" si="168"/>
        <v>10.334801762114537</v>
      </c>
      <c r="P1321" s="193">
        <v>5600</v>
      </c>
      <c r="Q1321" s="129">
        <v>3470</v>
      </c>
      <c r="R1321" s="256">
        <f>Q1321/P1321*100</f>
        <v>61.964285714285715</v>
      </c>
    </row>
    <row r="1322" spans="1:18" s="185" customFormat="1" ht="24">
      <c r="A1322" s="191">
        <v>4120</v>
      </c>
      <c r="B1322" s="423" t="s">
        <v>509</v>
      </c>
      <c r="C1322" s="128">
        <v>2740</v>
      </c>
      <c r="D1322" s="104">
        <f t="shared" si="167"/>
        <v>2740</v>
      </c>
      <c r="E1322" s="129">
        <f t="shared" si="169"/>
        <v>710</v>
      </c>
      <c r="F1322" s="444">
        <f t="shared" si="166"/>
        <v>25.91240875912409</v>
      </c>
      <c r="G1322" s="128"/>
      <c r="H1322" s="129"/>
      <c r="I1322" s="455"/>
      <c r="J1322" s="193"/>
      <c r="K1322" s="129"/>
      <c r="L1322" s="110"/>
      <c r="M1322" s="129">
        <v>1040</v>
      </c>
      <c r="N1322" s="337">
        <v>710</v>
      </c>
      <c r="O1322" s="256">
        <f t="shared" si="168"/>
        <v>68.26923076923077</v>
      </c>
      <c r="P1322" s="193">
        <v>1700</v>
      </c>
      <c r="Q1322" s="129"/>
      <c r="R1322" s="256">
        <f>Q1322/P1322*100</f>
        <v>0</v>
      </c>
    </row>
    <row r="1323" spans="1:18" s="185" customFormat="1" ht="24">
      <c r="A1323" s="191">
        <v>4170</v>
      </c>
      <c r="B1323" s="423" t="s">
        <v>392</v>
      </c>
      <c r="C1323" s="128">
        <v>5800</v>
      </c>
      <c r="D1323" s="104">
        <f t="shared" si="167"/>
        <v>5800</v>
      </c>
      <c r="E1323" s="129">
        <f t="shared" si="169"/>
        <v>1000</v>
      </c>
      <c r="F1323" s="444">
        <f t="shared" si="166"/>
        <v>17.24137931034483</v>
      </c>
      <c r="G1323" s="128"/>
      <c r="H1323" s="129"/>
      <c r="I1323" s="455"/>
      <c r="J1323" s="193"/>
      <c r="K1323" s="129"/>
      <c r="L1323" s="110"/>
      <c r="M1323" s="129">
        <v>500</v>
      </c>
      <c r="N1323" s="337"/>
      <c r="O1323" s="256">
        <f t="shared" si="168"/>
        <v>0</v>
      </c>
      <c r="P1323" s="193">
        <v>5300</v>
      </c>
      <c r="Q1323" s="129">
        <v>1000</v>
      </c>
      <c r="R1323" s="256">
        <f>Q1323/P1323*100</f>
        <v>18.867924528301888</v>
      </c>
    </row>
    <row r="1324" spans="1:18" s="185" customFormat="1" ht="24">
      <c r="A1324" s="191">
        <v>4210</v>
      </c>
      <c r="B1324" s="423" t="s">
        <v>356</v>
      </c>
      <c r="C1324" s="128">
        <v>1800</v>
      </c>
      <c r="D1324" s="104">
        <f t="shared" si="167"/>
        <v>1800</v>
      </c>
      <c r="E1324" s="129">
        <f t="shared" si="169"/>
        <v>799</v>
      </c>
      <c r="F1324" s="444">
        <f t="shared" si="166"/>
        <v>44.388888888888886</v>
      </c>
      <c r="G1324" s="128"/>
      <c r="H1324" s="129"/>
      <c r="I1324" s="455"/>
      <c r="J1324" s="193"/>
      <c r="K1324" s="129"/>
      <c r="L1324" s="110"/>
      <c r="M1324" s="129">
        <v>1800</v>
      </c>
      <c r="N1324" s="337">
        <v>799</v>
      </c>
      <c r="O1324" s="256">
        <f t="shared" si="168"/>
        <v>44.388888888888886</v>
      </c>
      <c r="P1324" s="193"/>
      <c r="Q1324" s="129"/>
      <c r="R1324" s="256"/>
    </row>
    <row r="1325" spans="1:18" s="185" customFormat="1" ht="12" customHeight="1">
      <c r="A1325" s="191">
        <v>4300</v>
      </c>
      <c r="B1325" s="423" t="s">
        <v>364</v>
      </c>
      <c r="C1325" s="128">
        <v>28800</v>
      </c>
      <c r="D1325" s="104">
        <f t="shared" si="167"/>
        <v>31504</v>
      </c>
      <c r="E1325" s="129">
        <f t="shared" si="169"/>
        <v>7010</v>
      </c>
      <c r="F1325" s="444">
        <f t="shared" si="166"/>
        <v>22.251142712036568</v>
      </c>
      <c r="G1325" s="128"/>
      <c r="H1325" s="129"/>
      <c r="I1325" s="455"/>
      <c r="J1325" s="193"/>
      <c r="K1325" s="129"/>
      <c r="L1325" s="110"/>
      <c r="M1325" s="129">
        <f>7200-296</f>
        <v>6904</v>
      </c>
      <c r="N1325" s="337">
        <v>4705</v>
      </c>
      <c r="O1325" s="256">
        <f t="shared" si="168"/>
        <v>68.14889918887602</v>
      </c>
      <c r="P1325" s="193">
        <f>21600+3000</f>
        <v>24600</v>
      </c>
      <c r="Q1325" s="129">
        <v>2305</v>
      </c>
      <c r="R1325" s="256">
        <f>Q1325/P1325*100</f>
        <v>9.369918699186993</v>
      </c>
    </row>
    <row r="1326" spans="1:18" s="185" customFormat="1" ht="24">
      <c r="A1326" s="191">
        <v>4350</v>
      </c>
      <c r="B1326" s="198" t="s">
        <v>460</v>
      </c>
      <c r="C1326" s="128">
        <v>200</v>
      </c>
      <c r="D1326" s="104">
        <f>G1326+J1326+P1326+M1326</f>
        <v>200</v>
      </c>
      <c r="E1326" s="129">
        <f>SUM(H1326+K1326+N1326+Q1326)</f>
        <v>100</v>
      </c>
      <c r="F1326" s="444">
        <f>E1326/D1326*100</f>
        <v>50</v>
      </c>
      <c r="G1326" s="128"/>
      <c r="H1326" s="129"/>
      <c r="I1326" s="455"/>
      <c r="J1326" s="193"/>
      <c r="K1326" s="129"/>
      <c r="L1326" s="110"/>
      <c r="M1326" s="129">
        <v>200</v>
      </c>
      <c r="N1326" s="337">
        <v>100</v>
      </c>
      <c r="O1326" s="256">
        <f t="shared" si="168"/>
        <v>50</v>
      </c>
      <c r="P1326" s="193"/>
      <c r="Q1326" s="129"/>
      <c r="R1326" s="256"/>
    </row>
    <row r="1327" spans="1:18" s="185" customFormat="1" ht="48">
      <c r="A1327" s="267">
        <v>4370</v>
      </c>
      <c r="B1327" s="291" t="s">
        <v>577</v>
      </c>
      <c r="C1327" s="128">
        <v>1440</v>
      </c>
      <c r="D1327" s="104">
        <f>G1327+J1327+P1327+M1327</f>
        <v>1440</v>
      </c>
      <c r="E1327" s="129">
        <f>SUM(H1327+K1327+N1327+Q1327)</f>
        <v>372</v>
      </c>
      <c r="F1327" s="444">
        <f>E1327/D1327*100</f>
        <v>25.833333333333336</v>
      </c>
      <c r="G1327" s="128"/>
      <c r="H1327" s="129"/>
      <c r="I1327" s="455"/>
      <c r="J1327" s="193"/>
      <c r="K1327" s="129"/>
      <c r="L1327" s="110"/>
      <c r="M1327" s="129">
        <v>1440</v>
      </c>
      <c r="N1327" s="337">
        <v>372</v>
      </c>
      <c r="O1327" s="256">
        <f t="shared" si="168"/>
        <v>25.833333333333336</v>
      </c>
      <c r="P1327" s="193"/>
      <c r="Q1327" s="129"/>
      <c r="R1327" s="256"/>
    </row>
    <row r="1328" spans="1:18" s="185" customFormat="1" ht="24">
      <c r="A1328" s="191">
        <v>4410</v>
      </c>
      <c r="B1328" s="423" t="s">
        <v>338</v>
      </c>
      <c r="C1328" s="128">
        <v>400</v>
      </c>
      <c r="D1328" s="104">
        <f>G1328+J1328+P1328+M1328</f>
        <v>400</v>
      </c>
      <c r="E1328" s="129">
        <f>SUM(H1328+K1328+N1328+Q1328)</f>
        <v>0</v>
      </c>
      <c r="F1328" s="444">
        <f>E1328/D1328*100</f>
        <v>0</v>
      </c>
      <c r="G1328" s="128"/>
      <c r="H1328" s="129"/>
      <c r="I1328" s="455"/>
      <c r="J1328" s="193"/>
      <c r="K1328" s="129"/>
      <c r="L1328" s="110"/>
      <c r="M1328" s="129">
        <v>400</v>
      </c>
      <c r="N1328" s="337"/>
      <c r="O1328" s="256">
        <f t="shared" si="168"/>
        <v>0</v>
      </c>
      <c r="P1328" s="193"/>
      <c r="Q1328" s="129"/>
      <c r="R1328" s="256"/>
    </row>
    <row r="1329" spans="1:18" s="185" customFormat="1" ht="60">
      <c r="A1329" s="267">
        <v>4740</v>
      </c>
      <c r="B1329" s="291" t="s">
        <v>380</v>
      </c>
      <c r="C1329" s="128">
        <v>250</v>
      </c>
      <c r="D1329" s="104">
        <f>G1329+J1329+P1329+M1329</f>
        <v>250</v>
      </c>
      <c r="E1329" s="129">
        <f>SUM(H1329+K1329+N1329+Q1329)</f>
        <v>0</v>
      </c>
      <c r="F1329" s="444">
        <f>E1329/D1329*100</f>
        <v>0</v>
      </c>
      <c r="G1329" s="128"/>
      <c r="H1329" s="129"/>
      <c r="I1329" s="455"/>
      <c r="J1329" s="193"/>
      <c r="K1329" s="129"/>
      <c r="L1329" s="110"/>
      <c r="M1329" s="129">
        <v>250</v>
      </c>
      <c r="N1329" s="337"/>
      <c r="O1329" s="256">
        <f t="shared" si="168"/>
        <v>0</v>
      </c>
      <c r="P1329" s="193"/>
      <c r="Q1329" s="129"/>
      <c r="R1329" s="256"/>
    </row>
    <row r="1330" spans="1:18" s="185" customFormat="1" ht="36">
      <c r="A1330" s="267">
        <v>4750</v>
      </c>
      <c r="B1330" s="291" t="s">
        <v>467</v>
      </c>
      <c r="C1330" s="128">
        <v>250</v>
      </c>
      <c r="D1330" s="104">
        <f>G1330+J1330+P1330+M1330</f>
        <v>250</v>
      </c>
      <c r="E1330" s="129">
        <f>SUM(H1330+K1330+N1330+Q1330)</f>
        <v>0</v>
      </c>
      <c r="F1330" s="444">
        <f>E1330/D1330*100</f>
        <v>0</v>
      </c>
      <c r="G1330" s="128"/>
      <c r="H1330" s="129"/>
      <c r="I1330" s="455"/>
      <c r="J1330" s="193"/>
      <c r="K1330" s="129"/>
      <c r="L1330" s="110"/>
      <c r="M1330" s="129">
        <v>250</v>
      </c>
      <c r="N1330" s="337"/>
      <c r="O1330" s="256">
        <f t="shared" si="168"/>
        <v>0</v>
      </c>
      <c r="P1330" s="193"/>
      <c r="Q1330" s="129"/>
      <c r="R1330" s="256"/>
    </row>
    <row r="1331" spans="1:18" s="185" customFormat="1" ht="13.5" thickBot="1">
      <c r="A1331" s="191">
        <v>4440</v>
      </c>
      <c r="B1331" s="259" t="s">
        <v>636</v>
      </c>
      <c r="C1331" s="128">
        <v>2340</v>
      </c>
      <c r="D1331" s="104">
        <f t="shared" si="167"/>
        <v>2340</v>
      </c>
      <c r="E1331" s="129">
        <f t="shared" si="169"/>
        <v>0</v>
      </c>
      <c r="F1331" s="444">
        <f t="shared" si="166"/>
        <v>0</v>
      </c>
      <c r="G1331" s="128"/>
      <c r="H1331" s="129"/>
      <c r="I1331" s="455"/>
      <c r="J1331" s="193"/>
      <c r="K1331" s="129"/>
      <c r="L1331" s="110"/>
      <c r="M1331" s="129">
        <v>2340</v>
      </c>
      <c r="N1331" s="337"/>
      <c r="O1331" s="256">
        <f>N1331/M1331*100</f>
        <v>0</v>
      </c>
      <c r="P1331" s="193"/>
      <c r="Q1331" s="129"/>
      <c r="R1331" s="256"/>
    </row>
    <row r="1332" spans="1:18" s="185" customFormat="1" ht="36.75" hidden="1" thickBot="1">
      <c r="A1332" s="227">
        <v>6060</v>
      </c>
      <c r="B1332" s="445" t="s">
        <v>515</v>
      </c>
      <c r="C1332" s="229"/>
      <c r="D1332" s="104">
        <f t="shared" si="167"/>
        <v>0</v>
      </c>
      <c r="E1332" s="129">
        <f t="shared" si="169"/>
        <v>0</v>
      </c>
      <c r="F1332" s="444" t="e">
        <f t="shared" si="166"/>
        <v>#DIV/0!</v>
      </c>
      <c r="G1332" s="229"/>
      <c r="H1332" s="236"/>
      <c r="I1332" s="456"/>
      <c r="J1332" s="233"/>
      <c r="K1332" s="236"/>
      <c r="L1332" s="319"/>
      <c r="M1332" s="236"/>
      <c r="N1332" s="365"/>
      <c r="O1332" s="170" t="e">
        <f>N1332/M1332*100</f>
        <v>#DIV/0!</v>
      </c>
      <c r="P1332" s="233"/>
      <c r="Q1332" s="236"/>
      <c r="R1332" s="232"/>
    </row>
    <row r="1333" spans="1:18" s="221" customFormat="1" ht="24.75" hidden="1" thickBot="1">
      <c r="A1333" s="239">
        <v>85334</v>
      </c>
      <c r="B1333" s="472" t="s">
        <v>800</v>
      </c>
      <c r="C1333" s="136"/>
      <c r="D1333" s="104">
        <f t="shared" si="167"/>
        <v>0</v>
      </c>
      <c r="E1333" s="129">
        <f t="shared" si="169"/>
        <v>0</v>
      </c>
      <c r="F1333" s="396" t="e">
        <f t="shared" si="166"/>
        <v>#DIV/0!</v>
      </c>
      <c r="G1333" s="136"/>
      <c r="H1333" s="137"/>
      <c r="I1333" s="449"/>
      <c r="J1333" s="140"/>
      <c r="K1333" s="137"/>
      <c r="L1333" s="125"/>
      <c r="M1333" s="137"/>
      <c r="N1333" s="338"/>
      <c r="O1333" s="243"/>
      <c r="P1333" s="140">
        <f>SUM(P1334)</f>
        <v>0</v>
      </c>
      <c r="Q1333" s="137">
        <f>SUM(Q1334)</f>
        <v>0</v>
      </c>
      <c r="R1333" s="138" t="e">
        <f>Q1333/P1333*100</f>
        <v>#DIV/0!</v>
      </c>
    </row>
    <row r="1334" spans="1:18" s="185" customFormat="1" ht="13.5" hidden="1" thickBot="1">
      <c r="A1334" s="191">
        <v>3110</v>
      </c>
      <c r="B1334" s="458" t="s">
        <v>682</v>
      </c>
      <c r="C1334" s="229"/>
      <c r="D1334" s="104">
        <f t="shared" si="167"/>
        <v>0</v>
      </c>
      <c r="E1334" s="129">
        <f t="shared" si="169"/>
        <v>0</v>
      </c>
      <c r="F1334" s="444" t="e">
        <f t="shared" si="166"/>
        <v>#DIV/0!</v>
      </c>
      <c r="G1334" s="229"/>
      <c r="H1334" s="236"/>
      <c r="I1334" s="456"/>
      <c r="J1334" s="233"/>
      <c r="K1334" s="236"/>
      <c r="L1334" s="319"/>
      <c r="M1334" s="236"/>
      <c r="N1334" s="365"/>
      <c r="O1334" s="170"/>
      <c r="P1334" s="233"/>
      <c r="Q1334" s="236"/>
      <c r="R1334" s="168" t="e">
        <f>Q1334/P1334*100</f>
        <v>#DIV/0!</v>
      </c>
    </row>
    <row r="1335" spans="1:18" s="221" customFormat="1" ht="13.5" hidden="1" thickBot="1">
      <c r="A1335" s="239">
        <v>85395</v>
      </c>
      <c r="B1335" s="472" t="s">
        <v>378</v>
      </c>
      <c r="C1335" s="136">
        <f>C1337</f>
        <v>0</v>
      </c>
      <c r="D1335" s="137">
        <f t="shared" si="167"/>
        <v>0</v>
      </c>
      <c r="E1335" s="137">
        <f t="shared" si="169"/>
        <v>0</v>
      </c>
      <c r="F1335" s="396"/>
      <c r="G1335" s="136"/>
      <c r="H1335" s="137"/>
      <c r="I1335" s="449"/>
      <c r="J1335" s="140"/>
      <c r="K1335" s="137"/>
      <c r="L1335" s="125"/>
      <c r="M1335" s="137"/>
      <c r="N1335" s="338"/>
      <c r="O1335" s="243"/>
      <c r="P1335" s="140"/>
      <c r="Q1335" s="137"/>
      <c r="R1335" s="138"/>
    </row>
    <row r="1336" spans="1:18" s="221" customFormat="1" ht="36.75" hidden="1" thickBot="1">
      <c r="A1336" s="191">
        <v>3110</v>
      </c>
      <c r="B1336" s="423" t="s">
        <v>801</v>
      </c>
      <c r="C1336" s="211"/>
      <c r="D1336" s="104">
        <f t="shared" si="167"/>
        <v>0</v>
      </c>
      <c r="E1336" s="129">
        <f t="shared" si="169"/>
        <v>0</v>
      </c>
      <c r="F1336" s="222"/>
      <c r="G1336" s="160"/>
      <c r="H1336" s="104"/>
      <c r="I1336" s="455"/>
      <c r="J1336" s="215"/>
      <c r="K1336" s="213"/>
      <c r="L1336" s="289"/>
      <c r="M1336" s="104"/>
      <c r="N1336" s="348"/>
      <c r="O1336" s="108"/>
      <c r="P1336" s="215"/>
      <c r="Q1336" s="213"/>
      <c r="R1336" s="163"/>
    </row>
    <row r="1337" spans="1:18" s="185" customFormat="1" ht="36.75" hidden="1" thickBot="1">
      <c r="A1337" s="191">
        <v>4300</v>
      </c>
      <c r="B1337" s="423" t="s">
        <v>802</v>
      </c>
      <c r="C1337" s="128"/>
      <c r="D1337" s="104">
        <f t="shared" si="167"/>
        <v>0</v>
      </c>
      <c r="E1337" s="129">
        <f t="shared" si="169"/>
        <v>0</v>
      </c>
      <c r="F1337" s="494"/>
      <c r="G1337" s="128"/>
      <c r="H1337" s="129"/>
      <c r="I1337" s="455"/>
      <c r="J1337" s="193"/>
      <c r="K1337" s="129"/>
      <c r="L1337" s="110"/>
      <c r="M1337" s="104"/>
      <c r="N1337" s="348"/>
      <c r="O1337" s="108"/>
      <c r="P1337" s="193"/>
      <c r="Q1337" s="129"/>
      <c r="R1337" s="105"/>
    </row>
    <row r="1338" spans="1:18" s="457" customFormat="1" ht="25.5" customHeight="1" thickBot="1" thickTop="1">
      <c r="A1338" s="495">
        <v>854</v>
      </c>
      <c r="B1338" s="496" t="s">
        <v>803</v>
      </c>
      <c r="C1338" s="183">
        <f>C1339+C1355+C1381+C1416+C1440+C1485+C1466+C1508+C1513+C1506</f>
        <v>8643400</v>
      </c>
      <c r="D1338" s="78">
        <f t="shared" si="167"/>
        <v>8643400</v>
      </c>
      <c r="E1338" s="78">
        <f>H1338+K1338+Q1338+N1338</f>
        <v>2354602</v>
      </c>
      <c r="F1338" s="205">
        <f t="shared" si="166"/>
        <v>27.241617881852047</v>
      </c>
      <c r="G1338" s="341">
        <f>G1339+G1355+G1381+G1416+G1440+G1466+G1485+G1508+G1513+G1506</f>
        <v>1568800</v>
      </c>
      <c r="H1338" s="83">
        <f>H1339+H1355+H1381+H1416+H1440+H1466+H1485+H1508+H1513+H1506</f>
        <v>362624</v>
      </c>
      <c r="I1338" s="79">
        <f aca="true" t="shared" si="170" ref="I1338:I1347">H1338/G1338*100</f>
        <v>23.11473737888832</v>
      </c>
      <c r="J1338" s="82"/>
      <c r="K1338" s="83"/>
      <c r="L1338" s="84"/>
      <c r="M1338" s="83">
        <f>M1339+M1355+M1381+M1416+M1440+M1464+M1466+M1485+M1508+M1513+M1506</f>
        <v>7074600</v>
      </c>
      <c r="N1338" s="83">
        <f>N1339+N1355+N1381+N1416+N1440+N1464+N1466+N1485+N1508+N1513+N1506</f>
        <v>1991978</v>
      </c>
      <c r="O1338" s="205">
        <f>N1338/M1338*100</f>
        <v>28.156757979249708</v>
      </c>
      <c r="P1338" s="83"/>
      <c r="Q1338" s="83"/>
      <c r="R1338" s="497"/>
    </row>
    <row r="1339" spans="1:18" s="185" customFormat="1" ht="15.75" customHeight="1" thickTop="1">
      <c r="A1339" s="307">
        <v>85401</v>
      </c>
      <c r="B1339" s="474" t="s">
        <v>804</v>
      </c>
      <c r="C1339" s="309">
        <f>SUM(C1340:C1354)</f>
        <v>1372800</v>
      </c>
      <c r="D1339" s="189">
        <f t="shared" si="167"/>
        <v>1372800</v>
      </c>
      <c r="E1339" s="311">
        <f>H1339+K1339+Q1339+N1339</f>
        <v>366755</v>
      </c>
      <c r="F1339" s="446">
        <f t="shared" si="166"/>
        <v>26.71583624708625</v>
      </c>
      <c r="G1339" s="309">
        <f>SUM(G1340:G1354)</f>
        <v>1134900</v>
      </c>
      <c r="H1339" s="311">
        <f>SUM(H1340:H1354)</f>
        <v>303063</v>
      </c>
      <c r="I1339" s="168">
        <f t="shared" si="170"/>
        <v>26.703938673010835</v>
      </c>
      <c r="J1339" s="312"/>
      <c r="K1339" s="311"/>
      <c r="L1339" s="313"/>
      <c r="M1339" s="311">
        <f>SUM(M1340:M1354)</f>
        <v>237900</v>
      </c>
      <c r="N1339" s="311">
        <f>SUM(N1340:N1354)</f>
        <v>63692</v>
      </c>
      <c r="O1339" s="232">
        <f aca="true" t="shared" si="171" ref="O1339:O1402">N1339/M1339*100</f>
        <v>26.772593526691885</v>
      </c>
      <c r="P1339" s="311"/>
      <c r="Q1339" s="311"/>
      <c r="R1339" s="424"/>
    </row>
    <row r="1340" spans="1:18" s="327" customFormat="1" ht="36">
      <c r="A1340" s="172">
        <v>3020</v>
      </c>
      <c r="B1340" s="423" t="s">
        <v>677</v>
      </c>
      <c r="C1340" s="132">
        <v>3000</v>
      </c>
      <c r="D1340" s="149">
        <f t="shared" si="167"/>
        <v>3000</v>
      </c>
      <c r="E1340" s="150">
        <f aca="true" t="shared" si="172" ref="E1340:E1354">SUM(H1340+K1340+N1340+Q1340)</f>
        <v>116</v>
      </c>
      <c r="F1340" s="438">
        <f t="shared" si="166"/>
        <v>3.8666666666666667</v>
      </c>
      <c r="G1340" s="132">
        <v>2700</v>
      </c>
      <c r="H1340" s="150">
        <v>116</v>
      </c>
      <c r="I1340" s="130">
        <f t="shared" si="170"/>
        <v>4.296296296296296</v>
      </c>
      <c r="J1340" s="223"/>
      <c r="K1340" s="150"/>
      <c r="L1340" s="154"/>
      <c r="M1340" s="150">
        <v>300</v>
      </c>
      <c r="N1340" s="150"/>
      <c r="O1340" s="222">
        <f t="shared" si="171"/>
        <v>0</v>
      </c>
      <c r="P1340" s="150"/>
      <c r="Q1340" s="150"/>
      <c r="R1340" s="454"/>
    </row>
    <row r="1341" spans="1:18" s="327" customFormat="1" ht="27" customHeight="1">
      <c r="A1341" s="191">
        <v>4010</v>
      </c>
      <c r="B1341" s="259" t="s">
        <v>346</v>
      </c>
      <c r="C1341" s="128">
        <v>970600</v>
      </c>
      <c r="D1341" s="104">
        <f t="shared" si="167"/>
        <v>970600</v>
      </c>
      <c r="E1341" s="129">
        <f t="shared" si="172"/>
        <v>243516</v>
      </c>
      <c r="F1341" s="105">
        <f t="shared" si="166"/>
        <v>25.089223160931382</v>
      </c>
      <c r="G1341" s="193">
        <v>799600</v>
      </c>
      <c r="H1341" s="193">
        <v>198299</v>
      </c>
      <c r="I1341" s="256">
        <f t="shared" si="170"/>
        <v>24.79977488744372</v>
      </c>
      <c r="J1341" s="193"/>
      <c r="K1341" s="129"/>
      <c r="L1341" s="110"/>
      <c r="M1341" s="129">
        <v>171000</v>
      </c>
      <c r="N1341" s="129">
        <v>45217</v>
      </c>
      <c r="O1341" s="256">
        <f t="shared" si="171"/>
        <v>26.442690058479535</v>
      </c>
      <c r="P1341" s="129"/>
      <c r="Q1341" s="129"/>
      <c r="R1341" s="455"/>
    </row>
    <row r="1342" spans="1:18" s="327" customFormat="1" ht="24.75" customHeight="1">
      <c r="A1342" s="191">
        <v>4040</v>
      </c>
      <c r="B1342" s="423" t="s">
        <v>454</v>
      </c>
      <c r="C1342" s="128">
        <v>77300</v>
      </c>
      <c r="D1342" s="104">
        <f t="shared" si="167"/>
        <v>69770</v>
      </c>
      <c r="E1342" s="129">
        <f t="shared" si="172"/>
        <v>51604</v>
      </c>
      <c r="F1342" s="105">
        <f t="shared" si="166"/>
        <v>73.96302135588361</v>
      </c>
      <c r="G1342" s="129">
        <f>67000-7120</f>
        <v>59880</v>
      </c>
      <c r="H1342" s="193">
        <v>44469</v>
      </c>
      <c r="I1342" s="256">
        <f t="shared" si="170"/>
        <v>74.26352705410821</v>
      </c>
      <c r="J1342" s="193"/>
      <c r="K1342" s="129"/>
      <c r="L1342" s="110"/>
      <c r="M1342" s="129">
        <f>10300-410</f>
        <v>9890</v>
      </c>
      <c r="N1342" s="129">
        <v>7135</v>
      </c>
      <c r="O1342" s="256">
        <f t="shared" si="171"/>
        <v>72.14357937310415</v>
      </c>
      <c r="P1342" s="129"/>
      <c r="Q1342" s="129"/>
      <c r="R1342" s="200"/>
    </row>
    <row r="1343" spans="1:18" s="327" customFormat="1" ht="24">
      <c r="A1343" s="191">
        <v>4110</v>
      </c>
      <c r="B1343" s="423" t="s">
        <v>352</v>
      </c>
      <c r="C1343" s="128">
        <v>179600</v>
      </c>
      <c r="D1343" s="104">
        <f t="shared" si="167"/>
        <v>179600</v>
      </c>
      <c r="E1343" s="129">
        <f t="shared" si="172"/>
        <v>37942</v>
      </c>
      <c r="F1343" s="105">
        <f t="shared" si="166"/>
        <v>21.125835189309576</v>
      </c>
      <c r="G1343" s="129">
        <v>149900</v>
      </c>
      <c r="H1343" s="193">
        <f>31891+1</f>
        <v>31892</v>
      </c>
      <c r="I1343" s="256">
        <f t="shared" si="170"/>
        <v>21.275517011340895</v>
      </c>
      <c r="J1343" s="193"/>
      <c r="K1343" s="129"/>
      <c r="L1343" s="110"/>
      <c r="M1343" s="129">
        <v>29700</v>
      </c>
      <c r="N1343" s="129">
        <v>6050</v>
      </c>
      <c r="O1343" s="256">
        <f t="shared" si="171"/>
        <v>20.37037037037037</v>
      </c>
      <c r="P1343" s="129"/>
      <c r="Q1343" s="129"/>
      <c r="R1343" s="200"/>
    </row>
    <row r="1344" spans="1:18" s="327" customFormat="1" ht="12.75">
      <c r="A1344" s="191">
        <v>4120</v>
      </c>
      <c r="B1344" s="423" t="s">
        <v>504</v>
      </c>
      <c r="C1344" s="128">
        <v>26000</v>
      </c>
      <c r="D1344" s="104">
        <f t="shared" si="167"/>
        <v>26000</v>
      </c>
      <c r="E1344" s="129">
        <f t="shared" si="172"/>
        <v>5551</v>
      </c>
      <c r="F1344" s="105">
        <f t="shared" si="166"/>
        <v>21.349999999999998</v>
      </c>
      <c r="G1344" s="129">
        <v>21700</v>
      </c>
      <c r="H1344" s="193">
        <v>4647</v>
      </c>
      <c r="I1344" s="256">
        <f t="shared" si="170"/>
        <v>21.4147465437788</v>
      </c>
      <c r="J1344" s="193"/>
      <c r="K1344" s="129"/>
      <c r="L1344" s="110"/>
      <c r="M1344" s="129">
        <v>4300</v>
      </c>
      <c r="N1344" s="129">
        <v>904</v>
      </c>
      <c r="O1344" s="256">
        <f t="shared" si="171"/>
        <v>21.02325581395349</v>
      </c>
      <c r="P1344" s="129"/>
      <c r="Q1344" s="129"/>
      <c r="R1344" s="200"/>
    </row>
    <row r="1345" spans="1:18" s="327" customFormat="1" ht="12.75">
      <c r="A1345" s="191">
        <v>4140</v>
      </c>
      <c r="B1345" s="423" t="s">
        <v>457</v>
      </c>
      <c r="C1345" s="128">
        <v>2700</v>
      </c>
      <c r="D1345" s="104">
        <f t="shared" si="167"/>
        <v>2700</v>
      </c>
      <c r="E1345" s="129">
        <f t="shared" si="172"/>
        <v>797</v>
      </c>
      <c r="F1345" s="105">
        <f t="shared" si="166"/>
        <v>29.518518518518515</v>
      </c>
      <c r="G1345" s="129">
        <v>2700</v>
      </c>
      <c r="H1345" s="193">
        <v>797</v>
      </c>
      <c r="I1345" s="256">
        <f t="shared" si="170"/>
        <v>29.518518518518515</v>
      </c>
      <c r="J1345" s="193"/>
      <c r="K1345" s="129"/>
      <c r="L1345" s="110"/>
      <c r="M1345" s="129"/>
      <c r="N1345" s="129"/>
      <c r="O1345" s="108"/>
      <c r="P1345" s="129"/>
      <c r="Q1345" s="129"/>
      <c r="R1345" s="200"/>
    </row>
    <row r="1346" spans="1:18" s="327" customFormat="1" ht="24">
      <c r="A1346" s="191">
        <v>4210</v>
      </c>
      <c r="B1346" s="423" t="s">
        <v>356</v>
      </c>
      <c r="C1346" s="128">
        <v>19600</v>
      </c>
      <c r="D1346" s="104">
        <f t="shared" si="167"/>
        <v>19600</v>
      </c>
      <c r="E1346" s="129">
        <f t="shared" si="172"/>
        <v>2200</v>
      </c>
      <c r="F1346" s="105">
        <f t="shared" si="166"/>
        <v>11.224489795918368</v>
      </c>
      <c r="G1346" s="129">
        <v>17200</v>
      </c>
      <c r="H1346" s="193">
        <v>2100</v>
      </c>
      <c r="I1346" s="256">
        <f t="shared" si="170"/>
        <v>12.209302325581394</v>
      </c>
      <c r="J1346" s="193"/>
      <c r="K1346" s="129"/>
      <c r="L1346" s="110"/>
      <c r="M1346" s="129">
        <v>2400</v>
      </c>
      <c r="N1346" s="129">
        <v>100</v>
      </c>
      <c r="O1346" s="256">
        <f t="shared" si="171"/>
        <v>4.166666666666666</v>
      </c>
      <c r="P1346" s="129"/>
      <c r="Q1346" s="129"/>
      <c r="R1346" s="200"/>
    </row>
    <row r="1347" spans="1:18" s="327" customFormat="1" ht="36">
      <c r="A1347" s="191">
        <v>4240</v>
      </c>
      <c r="B1347" s="423" t="s">
        <v>678</v>
      </c>
      <c r="C1347" s="128">
        <v>14400</v>
      </c>
      <c r="D1347" s="104">
        <f t="shared" si="167"/>
        <v>14400</v>
      </c>
      <c r="E1347" s="129">
        <f t="shared" si="172"/>
        <v>415</v>
      </c>
      <c r="F1347" s="105">
        <f t="shared" si="166"/>
        <v>2.8819444444444446</v>
      </c>
      <c r="G1347" s="129">
        <v>13900</v>
      </c>
      <c r="H1347" s="193">
        <v>389</v>
      </c>
      <c r="I1347" s="256">
        <f t="shared" si="170"/>
        <v>2.7985611510791366</v>
      </c>
      <c r="J1347" s="193"/>
      <c r="K1347" s="129"/>
      <c r="L1347" s="110"/>
      <c r="M1347" s="129">
        <v>500</v>
      </c>
      <c r="N1347" s="129">
        <v>26</v>
      </c>
      <c r="O1347" s="256">
        <f t="shared" si="171"/>
        <v>5.2</v>
      </c>
      <c r="P1347" s="129"/>
      <c r="Q1347" s="129"/>
      <c r="R1347" s="200"/>
    </row>
    <row r="1348" spans="1:18" s="327" customFormat="1" ht="15" customHeight="1">
      <c r="A1348" s="191">
        <v>4260</v>
      </c>
      <c r="B1348" s="423" t="s">
        <v>360</v>
      </c>
      <c r="C1348" s="128">
        <v>3000</v>
      </c>
      <c r="D1348" s="104">
        <f t="shared" si="167"/>
        <v>3000</v>
      </c>
      <c r="E1348" s="129">
        <f t="shared" si="172"/>
        <v>0</v>
      </c>
      <c r="F1348" s="105">
        <f t="shared" si="166"/>
        <v>0</v>
      </c>
      <c r="G1348" s="129"/>
      <c r="H1348" s="193"/>
      <c r="I1348" s="256"/>
      <c r="J1348" s="193"/>
      <c r="K1348" s="129"/>
      <c r="L1348" s="110"/>
      <c r="M1348" s="129">
        <v>3000</v>
      </c>
      <c r="N1348" s="129"/>
      <c r="O1348" s="256">
        <f t="shared" si="171"/>
        <v>0</v>
      </c>
      <c r="P1348" s="129"/>
      <c r="Q1348" s="129"/>
      <c r="R1348" s="200"/>
    </row>
    <row r="1349" spans="1:18" s="327" customFormat="1" ht="24">
      <c r="A1349" s="191">
        <v>4270</v>
      </c>
      <c r="B1349" s="423" t="s">
        <v>362</v>
      </c>
      <c r="C1349" s="128">
        <v>300</v>
      </c>
      <c r="D1349" s="104">
        <f t="shared" si="167"/>
        <v>300</v>
      </c>
      <c r="E1349" s="129">
        <f t="shared" si="172"/>
        <v>300</v>
      </c>
      <c r="F1349" s="105">
        <f t="shared" si="166"/>
        <v>100</v>
      </c>
      <c r="G1349" s="129"/>
      <c r="H1349" s="193"/>
      <c r="I1349" s="256"/>
      <c r="J1349" s="193"/>
      <c r="K1349" s="129"/>
      <c r="L1349" s="110"/>
      <c r="M1349" s="129">
        <v>300</v>
      </c>
      <c r="N1349" s="129">
        <v>300</v>
      </c>
      <c r="O1349" s="256">
        <f t="shared" si="171"/>
        <v>100</v>
      </c>
      <c r="P1349" s="128"/>
      <c r="Q1349" s="129"/>
      <c r="R1349" s="200"/>
    </row>
    <row r="1350" spans="1:18" s="327" customFormat="1" ht="15.75" customHeight="1">
      <c r="A1350" s="191">
        <v>4280</v>
      </c>
      <c r="B1350" s="423" t="s">
        <v>458</v>
      </c>
      <c r="C1350" s="128">
        <v>100</v>
      </c>
      <c r="D1350" s="104">
        <f t="shared" si="167"/>
        <v>100</v>
      </c>
      <c r="E1350" s="129">
        <f t="shared" si="172"/>
        <v>0</v>
      </c>
      <c r="F1350" s="105">
        <f t="shared" si="166"/>
        <v>0</v>
      </c>
      <c r="G1350" s="129"/>
      <c r="H1350" s="193"/>
      <c r="I1350" s="256"/>
      <c r="J1350" s="193"/>
      <c r="K1350" s="129"/>
      <c r="L1350" s="110"/>
      <c r="M1350" s="129">
        <v>100</v>
      </c>
      <c r="N1350" s="129"/>
      <c r="O1350" s="256">
        <f t="shared" si="171"/>
        <v>0</v>
      </c>
      <c r="P1350" s="129"/>
      <c r="Q1350" s="129"/>
      <c r="R1350" s="200"/>
    </row>
    <row r="1351" spans="1:18" s="327" customFormat="1" ht="15.75" customHeight="1">
      <c r="A1351" s="191">
        <v>4300</v>
      </c>
      <c r="B1351" s="423" t="s">
        <v>364</v>
      </c>
      <c r="C1351" s="128">
        <v>5600</v>
      </c>
      <c r="D1351" s="104">
        <f t="shared" si="167"/>
        <v>5600</v>
      </c>
      <c r="E1351" s="104">
        <f>H1351+K1351+Q1351+N1351</f>
        <v>0</v>
      </c>
      <c r="F1351" s="105">
        <f t="shared" si="166"/>
        <v>0</v>
      </c>
      <c r="G1351" s="129"/>
      <c r="H1351" s="193"/>
      <c r="I1351" s="256"/>
      <c r="J1351" s="193"/>
      <c r="K1351" s="129"/>
      <c r="L1351" s="110"/>
      <c r="M1351" s="129">
        <v>5600</v>
      </c>
      <c r="N1351" s="129"/>
      <c r="O1351" s="256">
        <f t="shared" si="171"/>
        <v>0</v>
      </c>
      <c r="P1351" s="129"/>
      <c r="Q1351" s="129"/>
      <c r="R1351" s="200"/>
    </row>
    <row r="1352" spans="1:18" s="327" customFormat="1" ht="48">
      <c r="A1352" s="267">
        <v>4370</v>
      </c>
      <c r="B1352" s="291" t="s">
        <v>577</v>
      </c>
      <c r="C1352" s="128">
        <v>200</v>
      </c>
      <c r="D1352" s="104">
        <f>G1352+J1352+P1352+M1352</f>
        <v>200</v>
      </c>
      <c r="E1352" s="104">
        <f>H1352+K1352+Q1352+N1352</f>
        <v>0</v>
      </c>
      <c r="F1352" s="105">
        <f>E1352/D1352*100</f>
        <v>0</v>
      </c>
      <c r="G1352" s="129"/>
      <c r="H1352" s="193"/>
      <c r="I1352" s="256"/>
      <c r="J1352" s="193"/>
      <c r="K1352" s="129"/>
      <c r="L1352" s="110"/>
      <c r="M1352" s="129">
        <v>200</v>
      </c>
      <c r="N1352" s="129"/>
      <c r="O1352" s="256">
        <f t="shared" si="171"/>
        <v>0</v>
      </c>
      <c r="P1352" s="129"/>
      <c r="Q1352" s="129"/>
      <c r="R1352" s="200"/>
    </row>
    <row r="1353" spans="1:18" s="327" customFormat="1" ht="15.75" customHeight="1">
      <c r="A1353" s="191">
        <v>4440</v>
      </c>
      <c r="B1353" s="259" t="s">
        <v>636</v>
      </c>
      <c r="C1353" s="128">
        <v>70200</v>
      </c>
      <c r="D1353" s="104">
        <f>G1353+J1353+P1353+M1353</f>
        <v>77730</v>
      </c>
      <c r="E1353" s="104">
        <f>H1353+K1353+Q1353+N1353</f>
        <v>24314</v>
      </c>
      <c r="F1353" s="105">
        <f>E1353/D1353*100</f>
        <v>31.280072044255757</v>
      </c>
      <c r="G1353" s="129">
        <f>60200+7120</f>
        <v>67320</v>
      </c>
      <c r="H1353" s="193">
        <v>20354</v>
      </c>
      <c r="I1353" s="256">
        <f>H1353/G1353*100</f>
        <v>30.234699940582292</v>
      </c>
      <c r="J1353" s="193"/>
      <c r="K1353" s="129"/>
      <c r="L1353" s="110"/>
      <c r="M1353" s="129">
        <f>10000+410</f>
        <v>10410</v>
      </c>
      <c r="N1353" s="129">
        <v>3960</v>
      </c>
      <c r="O1353" s="256">
        <f t="shared" si="171"/>
        <v>38.04034582132565</v>
      </c>
      <c r="P1353" s="129"/>
      <c r="Q1353" s="129"/>
      <c r="R1353" s="200"/>
    </row>
    <row r="1354" spans="1:18" s="327" customFormat="1" ht="36">
      <c r="A1354" s="267">
        <v>4700</v>
      </c>
      <c r="B1354" s="291" t="s">
        <v>466</v>
      </c>
      <c r="C1354" s="229">
        <v>200</v>
      </c>
      <c r="D1354" s="230">
        <f t="shared" si="167"/>
        <v>200</v>
      </c>
      <c r="E1354" s="236">
        <f t="shared" si="172"/>
        <v>0</v>
      </c>
      <c r="F1354" s="168">
        <f t="shared" si="166"/>
        <v>0</v>
      </c>
      <c r="G1354" s="236"/>
      <c r="H1354" s="233"/>
      <c r="I1354" s="170"/>
      <c r="J1354" s="233"/>
      <c r="K1354" s="236"/>
      <c r="L1354" s="319"/>
      <c r="M1354" s="236">
        <v>200</v>
      </c>
      <c r="N1354" s="236"/>
      <c r="O1354" s="256">
        <f t="shared" si="171"/>
        <v>0</v>
      </c>
      <c r="P1354" s="236"/>
      <c r="Q1354" s="236"/>
      <c r="R1354" s="238"/>
    </row>
    <row r="1355" spans="1:18" s="327" customFormat="1" ht="22.5" customHeight="1">
      <c r="A1355" s="186">
        <v>85403</v>
      </c>
      <c r="B1355" s="422" t="s">
        <v>805</v>
      </c>
      <c r="C1355" s="188">
        <f>SUM(C1356:C1380)</f>
        <v>1257800</v>
      </c>
      <c r="D1355" s="137">
        <f t="shared" si="167"/>
        <v>1257800</v>
      </c>
      <c r="E1355" s="119">
        <f>H1355+K1355+Q1355+N1355</f>
        <v>371069</v>
      </c>
      <c r="F1355" s="120">
        <f t="shared" si="166"/>
        <v>29.501431070122436</v>
      </c>
      <c r="G1355" s="119"/>
      <c r="H1355" s="124"/>
      <c r="I1355" s="190"/>
      <c r="J1355" s="124"/>
      <c r="K1355" s="119"/>
      <c r="L1355" s="125"/>
      <c r="M1355" s="119">
        <f>SUM(M1356:M1380)</f>
        <v>1257800</v>
      </c>
      <c r="N1355" s="119">
        <f>SUM(N1356:N1380)</f>
        <v>371069</v>
      </c>
      <c r="O1355" s="214">
        <f t="shared" si="171"/>
        <v>29.501431070122436</v>
      </c>
      <c r="P1355" s="119"/>
      <c r="Q1355" s="119"/>
      <c r="R1355" s="283"/>
    </row>
    <row r="1356" spans="1:18" s="327" customFormat="1" ht="36">
      <c r="A1356" s="172">
        <v>3020</v>
      </c>
      <c r="B1356" s="423" t="s">
        <v>677</v>
      </c>
      <c r="C1356" s="132">
        <v>3700</v>
      </c>
      <c r="D1356" s="149">
        <f t="shared" si="167"/>
        <v>3700</v>
      </c>
      <c r="E1356" s="150">
        <f aca="true" t="shared" si="173" ref="E1356:E1380">SUM(H1356+K1356+N1356+Q1356)</f>
        <v>117</v>
      </c>
      <c r="F1356" s="130">
        <f t="shared" si="166"/>
        <v>3.1621621621621623</v>
      </c>
      <c r="G1356" s="150"/>
      <c r="H1356" s="223"/>
      <c r="I1356" s="225"/>
      <c r="J1356" s="223"/>
      <c r="K1356" s="150"/>
      <c r="L1356" s="154"/>
      <c r="M1356" s="132">
        <v>3700</v>
      </c>
      <c r="N1356" s="150">
        <v>117</v>
      </c>
      <c r="O1356" s="222">
        <f t="shared" si="171"/>
        <v>3.1621621621621623</v>
      </c>
      <c r="P1356" s="150"/>
      <c r="Q1356" s="150"/>
      <c r="R1356" s="226"/>
    </row>
    <row r="1357" spans="1:18" s="327" customFormat="1" ht="12.75" hidden="1">
      <c r="A1357" s="191">
        <v>3110</v>
      </c>
      <c r="B1357" s="423" t="s">
        <v>682</v>
      </c>
      <c r="C1357" s="128"/>
      <c r="D1357" s="104">
        <f t="shared" si="167"/>
        <v>0</v>
      </c>
      <c r="E1357" s="129">
        <f t="shared" si="173"/>
        <v>0</v>
      </c>
      <c r="F1357" s="105" t="e">
        <f t="shared" si="166"/>
        <v>#DIV/0!</v>
      </c>
      <c r="G1357" s="129"/>
      <c r="H1357" s="193"/>
      <c r="I1357" s="194"/>
      <c r="J1357" s="193"/>
      <c r="K1357" s="129"/>
      <c r="L1357" s="110"/>
      <c r="M1357" s="128"/>
      <c r="N1357" s="129"/>
      <c r="O1357" s="256" t="e">
        <f t="shared" si="171"/>
        <v>#DIV/0!</v>
      </c>
      <c r="P1357" s="129"/>
      <c r="Q1357" s="129"/>
      <c r="R1357" s="200"/>
    </row>
    <row r="1358" spans="1:18" s="327" customFormat="1" ht="24">
      <c r="A1358" s="191">
        <v>4010</v>
      </c>
      <c r="B1358" s="423" t="s">
        <v>346</v>
      </c>
      <c r="C1358" s="128">
        <v>780000</v>
      </c>
      <c r="D1358" s="104">
        <f t="shared" si="167"/>
        <v>780000</v>
      </c>
      <c r="E1358" s="129">
        <f t="shared" si="173"/>
        <v>181968</v>
      </c>
      <c r="F1358" s="105">
        <f t="shared" si="166"/>
        <v>23.32923076923077</v>
      </c>
      <c r="G1358" s="129"/>
      <c r="H1358" s="193"/>
      <c r="I1358" s="194"/>
      <c r="J1358" s="193"/>
      <c r="K1358" s="129"/>
      <c r="L1358" s="110"/>
      <c r="M1358" s="128">
        <v>780000</v>
      </c>
      <c r="N1358" s="129">
        <v>181968</v>
      </c>
      <c r="O1358" s="256">
        <f t="shared" si="171"/>
        <v>23.32923076923077</v>
      </c>
      <c r="P1358" s="129"/>
      <c r="Q1358" s="129"/>
      <c r="R1358" s="200"/>
    </row>
    <row r="1359" spans="1:18" s="327" customFormat="1" ht="24">
      <c r="A1359" s="191">
        <v>4040</v>
      </c>
      <c r="B1359" s="423" t="s">
        <v>350</v>
      </c>
      <c r="C1359" s="128">
        <v>62800</v>
      </c>
      <c r="D1359" s="104">
        <f t="shared" si="167"/>
        <v>62800</v>
      </c>
      <c r="E1359" s="129">
        <f t="shared" si="173"/>
        <v>43216</v>
      </c>
      <c r="F1359" s="105">
        <f t="shared" si="166"/>
        <v>68.81528662420382</v>
      </c>
      <c r="G1359" s="129"/>
      <c r="H1359" s="193"/>
      <c r="I1359" s="194"/>
      <c r="J1359" s="193"/>
      <c r="K1359" s="129"/>
      <c r="L1359" s="110"/>
      <c r="M1359" s="128">
        <v>62800</v>
      </c>
      <c r="N1359" s="129">
        <v>43216</v>
      </c>
      <c r="O1359" s="256">
        <f t="shared" si="171"/>
        <v>68.81528662420382</v>
      </c>
      <c r="P1359" s="129"/>
      <c r="Q1359" s="129"/>
      <c r="R1359" s="200"/>
    </row>
    <row r="1360" spans="1:18" s="327" customFormat="1" ht="24">
      <c r="A1360" s="191">
        <v>4110</v>
      </c>
      <c r="B1360" s="423" t="s">
        <v>352</v>
      </c>
      <c r="C1360" s="128">
        <v>148000</v>
      </c>
      <c r="D1360" s="104">
        <f t="shared" si="167"/>
        <v>148000</v>
      </c>
      <c r="E1360" s="129">
        <f t="shared" si="173"/>
        <v>28329</v>
      </c>
      <c r="F1360" s="105">
        <f t="shared" si="166"/>
        <v>19.14121621621622</v>
      </c>
      <c r="G1360" s="129"/>
      <c r="H1360" s="193"/>
      <c r="I1360" s="194"/>
      <c r="J1360" s="193"/>
      <c r="K1360" s="129"/>
      <c r="L1360" s="110"/>
      <c r="M1360" s="128">
        <v>148000</v>
      </c>
      <c r="N1360" s="129">
        <v>28329</v>
      </c>
      <c r="O1360" s="256">
        <f t="shared" si="171"/>
        <v>19.14121621621622</v>
      </c>
      <c r="P1360" s="129"/>
      <c r="Q1360" s="129"/>
      <c r="R1360" s="200"/>
    </row>
    <row r="1361" spans="1:18" s="327" customFormat="1" ht="12.75">
      <c r="A1361" s="191">
        <v>4120</v>
      </c>
      <c r="B1361" s="423" t="s">
        <v>504</v>
      </c>
      <c r="C1361" s="128">
        <v>20600</v>
      </c>
      <c r="D1361" s="104">
        <f t="shared" si="167"/>
        <v>20600</v>
      </c>
      <c r="E1361" s="129">
        <f t="shared" si="173"/>
        <v>3915</v>
      </c>
      <c r="F1361" s="105">
        <f t="shared" si="166"/>
        <v>19.00485436893204</v>
      </c>
      <c r="G1361" s="129"/>
      <c r="H1361" s="193"/>
      <c r="I1361" s="194"/>
      <c r="J1361" s="193"/>
      <c r="K1361" s="129"/>
      <c r="L1361" s="110"/>
      <c r="M1361" s="128">
        <v>20600</v>
      </c>
      <c r="N1361" s="129">
        <v>3915</v>
      </c>
      <c r="O1361" s="256">
        <f t="shared" si="171"/>
        <v>19.00485436893204</v>
      </c>
      <c r="P1361" s="129"/>
      <c r="Q1361" s="129"/>
      <c r="R1361" s="200"/>
    </row>
    <row r="1362" spans="1:18" s="327" customFormat="1" ht="24" hidden="1">
      <c r="A1362" s="191">
        <v>4130</v>
      </c>
      <c r="B1362" s="423" t="s">
        <v>683</v>
      </c>
      <c r="C1362" s="128"/>
      <c r="D1362" s="104">
        <f t="shared" si="167"/>
        <v>0</v>
      </c>
      <c r="E1362" s="129">
        <f>H1362+K1362+Q1362+N1362</f>
        <v>0</v>
      </c>
      <c r="F1362" s="105" t="e">
        <f t="shared" si="166"/>
        <v>#DIV/0!</v>
      </c>
      <c r="G1362" s="129"/>
      <c r="H1362" s="193"/>
      <c r="I1362" s="194"/>
      <c r="J1362" s="193"/>
      <c r="K1362" s="129"/>
      <c r="L1362" s="110"/>
      <c r="M1362" s="128"/>
      <c r="N1362" s="129"/>
      <c r="O1362" s="256" t="e">
        <f t="shared" si="171"/>
        <v>#DIV/0!</v>
      </c>
      <c r="P1362" s="129"/>
      <c r="Q1362" s="129"/>
      <c r="R1362" s="200"/>
    </row>
    <row r="1363" spans="1:18" s="327" customFormat="1" ht="24">
      <c r="A1363" s="191">
        <v>4170</v>
      </c>
      <c r="B1363" s="423" t="s">
        <v>392</v>
      </c>
      <c r="C1363" s="128">
        <v>1000</v>
      </c>
      <c r="D1363" s="104">
        <f t="shared" si="167"/>
        <v>1000</v>
      </c>
      <c r="E1363" s="129">
        <f>H1363+K1363+Q1363+N1363</f>
        <v>0</v>
      </c>
      <c r="F1363" s="105">
        <f t="shared" si="166"/>
        <v>0</v>
      </c>
      <c r="G1363" s="129"/>
      <c r="H1363" s="193"/>
      <c r="I1363" s="194"/>
      <c r="J1363" s="193"/>
      <c r="K1363" s="129"/>
      <c r="L1363" s="110"/>
      <c r="M1363" s="128">
        <v>1000</v>
      </c>
      <c r="N1363" s="129"/>
      <c r="O1363" s="256">
        <f t="shared" si="171"/>
        <v>0</v>
      </c>
      <c r="P1363" s="129"/>
      <c r="Q1363" s="129"/>
      <c r="R1363" s="200"/>
    </row>
    <row r="1364" spans="1:18" s="327" customFormat="1" ht="24">
      <c r="A1364" s="191">
        <v>4210</v>
      </c>
      <c r="B1364" s="423" t="s">
        <v>356</v>
      </c>
      <c r="C1364" s="128">
        <v>50000</v>
      </c>
      <c r="D1364" s="104">
        <f t="shared" si="167"/>
        <v>50000</v>
      </c>
      <c r="E1364" s="129">
        <f t="shared" si="173"/>
        <v>19150</v>
      </c>
      <c r="F1364" s="105">
        <f t="shared" si="166"/>
        <v>38.3</v>
      </c>
      <c r="G1364" s="129"/>
      <c r="H1364" s="193"/>
      <c r="I1364" s="194"/>
      <c r="J1364" s="193"/>
      <c r="K1364" s="129"/>
      <c r="L1364" s="110"/>
      <c r="M1364" s="128">
        <v>50000</v>
      </c>
      <c r="N1364" s="129">
        <v>19150</v>
      </c>
      <c r="O1364" s="256">
        <f t="shared" si="171"/>
        <v>38.3</v>
      </c>
      <c r="P1364" s="129"/>
      <c r="Q1364" s="129"/>
      <c r="R1364" s="200"/>
    </row>
    <row r="1365" spans="1:18" s="327" customFormat="1" ht="24">
      <c r="A1365" s="191">
        <v>4220</v>
      </c>
      <c r="B1365" s="423" t="s">
        <v>633</v>
      </c>
      <c r="C1365" s="128">
        <v>60000</v>
      </c>
      <c r="D1365" s="104">
        <f t="shared" si="167"/>
        <v>60000</v>
      </c>
      <c r="E1365" s="129">
        <f t="shared" si="173"/>
        <v>14336</v>
      </c>
      <c r="F1365" s="105">
        <f t="shared" si="166"/>
        <v>23.893333333333334</v>
      </c>
      <c r="G1365" s="129"/>
      <c r="H1365" s="193"/>
      <c r="I1365" s="194"/>
      <c r="J1365" s="193"/>
      <c r="K1365" s="129"/>
      <c r="L1365" s="110"/>
      <c r="M1365" s="128">
        <v>60000</v>
      </c>
      <c r="N1365" s="129">
        <v>14336</v>
      </c>
      <c r="O1365" s="256">
        <f t="shared" si="171"/>
        <v>23.893333333333334</v>
      </c>
      <c r="P1365" s="129"/>
      <c r="Q1365" s="129"/>
      <c r="R1365" s="200"/>
    </row>
    <row r="1366" spans="1:18" s="327" customFormat="1" ht="36">
      <c r="A1366" s="191">
        <v>4240</v>
      </c>
      <c r="B1366" s="423" t="s">
        <v>806</v>
      </c>
      <c r="C1366" s="128">
        <v>4000</v>
      </c>
      <c r="D1366" s="104">
        <f t="shared" si="167"/>
        <v>4000</v>
      </c>
      <c r="E1366" s="129">
        <f t="shared" si="173"/>
        <v>0</v>
      </c>
      <c r="F1366" s="105">
        <f t="shared" si="166"/>
        <v>0</v>
      </c>
      <c r="G1366" s="129"/>
      <c r="H1366" s="193"/>
      <c r="I1366" s="194"/>
      <c r="J1366" s="193"/>
      <c r="K1366" s="129"/>
      <c r="L1366" s="110"/>
      <c r="M1366" s="128">
        <v>4000</v>
      </c>
      <c r="N1366" s="129"/>
      <c r="O1366" s="256">
        <f t="shared" si="171"/>
        <v>0</v>
      </c>
      <c r="P1366" s="129"/>
      <c r="Q1366" s="129"/>
      <c r="R1366" s="200"/>
    </row>
    <row r="1367" spans="1:18" s="327" customFormat="1" ht="12.75">
      <c r="A1367" s="191">
        <v>4260</v>
      </c>
      <c r="B1367" s="423" t="s">
        <v>360</v>
      </c>
      <c r="C1367" s="128">
        <v>40000</v>
      </c>
      <c r="D1367" s="104">
        <f t="shared" si="167"/>
        <v>40000</v>
      </c>
      <c r="E1367" s="129">
        <f t="shared" si="173"/>
        <v>27180</v>
      </c>
      <c r="F1367" s="105">
        <f t="shared" si="166"/>
        <v>67.95</v>
      </c>
      <c r="G1367" s="129"/>
      <c r="H1367" s="193"/>
      <c r="I1367" s="194"/>
      <c r="J1367" s="193"/>
      <c r="K1367" s="129"/>
      <c r="L1367" s="110"/>
      <c r="M1367" s="128">
        <v>40000</v>
      </c>
      <c r="N1367" s="129">
        <v>27180</v>
      </c>
      <c r="O1367" s="256">
        <f t="shared" si="171"/>
        <v>67.95</v>
      </c>
      <c r="P1367" s="129"/>
      <c r="Q1367" s="129"/>
      <c r="R1367" s="200"/>
    </row>
    <row r="1368" spans="1:18" s="327" customFormat="1" ht="24">
      <c r="A1368" s="191">
        <v>4270</v>
      </c>
      <c r="B1368" s="423" t="s">
        <v>362</v>
      </c>
      <c r="C1368" s="128">
        <v>8000</v>
      </c>
      <c r="D1368" s="104">
        <f t="shared" si="167"/>
        <v>8000</v>
      </c>
      <c r="E1368" s="129">
        <f t="shared" si="173"/>
        <v>3587</v>
      </c>
      <c r="F1368" s="105">
        <f t="shared" si="166"/>
        <v>44.837500000000006</v>
      </c>
      <c r="G1368" s="129"/>
      <c r="H1368" s="193"/>
      <c r="I1368" s="194"/>
      <c r="J1368" s="193"/>
      <c r="K1368" s="129"/>
      <c r="L1368" s="110"/>
      <c r="M1368" s="128">
        <v>8000</v>
      </c>
      <c r="N1368" s="129">
        <v>3587</v>
      </c>
      <c r="O1368" s="256">
        <f t="shared" si="171"/>
        <v>44.837500000000006</v>
      </c>
      <c r="P1368" s="129"/>
      <c r="Q1368" s="129"/>
      <c r="R1368" s="200"/>
    </row>
    <row r="1369" spans="1:18" s="327" customFormat="1" ht="24">
      <c r="A1369" s="191">
        <v>4280</v>
      </c>
      <c r="B1369" s="423" t="s">
        <v>458</v>
      </c>
      <c r="C1369" s="128">
        <v>1600</v>
      </c>
      <c r="D1369" s="104">
        <f t="shared" si="167"/>
        <v>1600</v>
      </c>
      <c r="E1369" s="129">
        <f t="shared" si="173"/>
        <v>0</v>
      </c>
      <c r="F1369" s="105">
        <f t="shared" si="166"/>
        <v>0</v>
      </c>
      <c r="G1369" s="129"/>
      <c r="H1369" s="193"/>
      <c r="I1369" s="194"/>
      <c r="J1369" s="193"/>
      <c r="K1369" s="129"/>
      <c r="L1369" s="110"/>
      <c r="M1369" s="128">
        <v>1600</v>
      </c>
      <c r="N1369" s="129"/>
      <c r="O1369" s="256">
        <f t="shared" si="171"/>
        <v>0</v>
      </c>
      <c r="P1369" s="129"/>
      <c r="Q1369" s="129"/>
      <c r="R1369" s="200"/>
    </row>
    <row r="1370" spans="1:18" s="327" customFormat="1" ht="24">
      <c r="A1370" s="191">
        <v>4300</v>
      </c>
      <c r="B1370" s="423" t="s">
        <v>364</v>
      </c>
      <c r="C1370" s="128">
        <v>15000</v>
      </c>
      <c r="D1370" s="104">
        <f t="shared" si="167"/>
        <v>15000</v>
      </c>
      <c r="E1370" s="129">
        <f t="shared" si="173"/>
        <v>5417</v>
      </c>
      <c r="F1370" s="105">
        <f t="shared" si="166"/>
        <v>36.11333333333333</v>
      </c>
      <c r="G1370" s="129"/>
      <c r="H1370" s="193"/>
      <c r="I1370" s="194"/>
      <c r="J1370" s="193"/>
      <c r="K1370" s="129"/>
      <c r="L1370" s="110"/>
      <c r="M1370" s="128">
        <v>15000</v>
      </c>
      <c r="N1370" s="129">
        <v>5417</v>
      </c>
      <c r="O1370" s="256">
        <f t="shared" si="171"/>
        <v>36.11333333333333</v>
      </c>
      <c r="P1370" s="129"/>
      <c r="Q1370" s="129"/>
      <c r="R1370" s="200"/>
    </row>
    <row r="1371" spans="1:18" s="327" customFormat="1" ht="24">
      <c r="A1371" s="191">
        <v>4350</v>
      </c>
      <c r="B1371" s="423" t="s">
        <v>460</v>
      </c>
      <c r="C1371" s="128">
        <v>600</v>
      </c>
      <c r="D1371" s="104">
        <f t="shared" si="167"/>
        <v>600</v>
      </c>
      <c r="E1371" s="129">
        <f t="shared" si="173"/>
        <v>228</v>
      </c>
      <c r="F1371" s="105">
        <f t="shared" si="166"/>
        <v>38</v>
      </c>
      <c r="G1371" s="129"/>
      <c r="H1371" s="193"/>
      <c r="I1371" s="194"/>
      <c r="J1371" s="193"/>
      <c r="K1371" s="129"/>
      <c r="L1371" s="110"/>
      <c r="M1371" s="128">
        <v>600</v>
      </c>
      <c r="N1371" s="129">
        <v>228</v>
      </c>
      <c r="O1371" s="256">
        <f t="shared" si="171"/>
        <v>38</v>
      </c>
      <c r="P1371" s="129"/>
      <c r="Q1371" s="129"/>
      <c r="R1371" s="200"/>
    </row>
    <row r="1372" spans="1:18" s="327" customFormat="1" ht="48">
      <c r="A1372" s="267">
        <v>4360</v>
      </c>
      <c r="B1372" s="291" t="s">
        <v>635</v>
      </c>
      <c r="C1372" s="128">
        <v>1000</v>
      </c>
      <c r="D1372" s="104">
        <f>G1372+J1372+P1372+M1372</f>
        <v>1000</v>
      </c>
      <c r="E1372" s="129">
        <f>SUM(H1372+K1372+N1372+Q1372)</f>
        <v>368</v>
      </c>
      <c r="F1372" s="105">
        <f>E1372/D1372*100</f>
        <v>36.8</v>
      </c>
      <c r="G1372" s="129"/>
      <c r="H1372" s="193"/>
      <c r="I1372" s="194"/>
      <c r="J1372" s="193"/>
      <c r="K1372" s="129"/>
      <c r="L1372" s="110"/>
      <c r="M1372" s="128">
        <v>1000</v>
      </c>
      <c r="N1372" s="129">
        <v>368</v>
      </c>
      <c r="O1372" s="256">
        <f t="shared" si="171"/>
        <v>36.8</v>
      </c>
      <c r="P1372" s="129"/>
      <c r="Q1372" s="129"/>
      <c r="R1372" s="200"/>
    </row>
    <row r="1373" spans="1:18" s="327" customFormat="1" ht="48">
      <c r="A1373" s="267">
        <v>4370</v>
      </c>
      <c r="B1373" s="291" t="s">
        <v>577</v>
      </c>
      <c r="C1373" s="128">
        <v>2200</v>
      </c>
      <c r="D1373" s="104">
        <f>G1373+J1373+P1373+M1373</f>
        <v>2200</v>
      </c>
      <c r="E1373" s="129">
        <f>SUM(H1373+K1373+N1373+Q1373)</f>
        <v>1128</v>
      </c>
      <c r="F1373" s="105">
        <f>E1373/D1373*100</f>
        <v>51.272727272727266</v>
      </c>
      <c r="G1373" s="129"/>
      <c r="H1373" s="193"/>
      <c r="I1373" s="194"/>
      <c r="J1373" s="193"/>
      <c r="K1373" s="129"/>
      <c r="L1373" s="110"/>
      <c r="M1373" s="128">
        <v>2200</v>
      </c>
      <c r="N1373" s="129">
        <v>1128</v>
      </c>
      <c r="O1373" s="256">
        <f t="shared" si="171"/>
        <v>51.272727272727266</v>
      </c>
      <c r="P1373" s="129"/>
      <c r="Q1373" s="129"/>
      <c r="R1373" s="200"/>
    </row>
    <row r="1374" spans="1:18" s="327" customFormat="1" ht="36">
      <c r="A1374" s="191">
        <v>4390</v>
      </c>
      <c r="B1374" s="305" t="s">
        <v>393</v>
      </c>
      <c r="C1374" s="128">
        <v>1000</v>
      </c>
      <c r="D1374" s="104">
        <f>G1374+J1374+P1374+M1374</f>
        <v>1000</v>
      </c>
      <c r="E1374" s="129">
        <f>SUM(H1374+K1374+N1374+Q1374)</f>
        <v>0</v>
      </c>
      <c r="F1374" s="105">
        <f>E1374/D1374*100</f>
        <v>0</v>
      </c>
      <c r="G1374" s="129"/>
      <c r="H1374" s="193"/>
      <c r="I1374" s="194"/>
      <c r="J1374" s="193"/>
      <c r="K1374" s="129"/>
      <c r="L1374" s="110"/>
      <c r="M1374" s="128">
        <v>1000</v>
      </c>
      <c r="N1374" s="129"/>
      <c r="O1374" s="256">
        <f t="shared" si="171"/>
        <v>0</v>
      </c>
      <c r="P1374" s="129"/>
      <c r="Q1374" s="129"/>
      <c r="R1374" s="200"/>
    </row>
    <row r="1375" spans="1:18" s="327" customFormat="1" ht="24">
      <c r="A1375" s="191">
        <v>4410</v>
      </c>
      <c r="B1375" s="423" t="s">
        <v>338</v>
      </c>
      <c r="C1375" s="128">
        <v>300</v>
      </c>
      <c r="D1375" s="104">
        <f t="shared" si="167"/>
        <v>300</v>
      </c>
      <c r="E1375" s="129">
        <f t="shared" si="173"/>
        <v>0</v>
      </c>
      <c r="F1375" s="105">
        <f t="shared" si="166"/>
        <v>0</v>
      </c>
      <c r="G1375" s="129"/>
      <c r="H1375" s="193"/>
      <c r="I1375" s="194"/>
      <c r="J1375" s="193"/>
      <c r="K1375" s="129"/>
      <c r="L1375" s="110"/>
      <c r="M1375" s="128">
        <v>300</v>
      </c>
      <c r="N1375" s="129"/>
      <c r="O1375" s="256">
        <f t="shared" si="171"/>
        <v>0</v>
      </c>
      <c r="P1375" s="129"/>
      <c r="Q1375" s="129"/>
      <c r="R1375" s="200"/>
    </row>
    <row r="1376" spans="1:18" s="327" customFormat="1" ht="12.75">
      <c r="A1376" s="191">
        <v>4440</v>
      </c>
      <c r="B1376" s="259" t="s">
        <v>368</v>
      </c>
      <c r="C1376" s="128">
        <v>42500</v>
      </c>
      <c r="D1376" s="104">
        <f t="shared" si="167"/>
        <v>42500</v>
      </c>
      <c r="E1376" s="129">
        <f t="shared" si="173"/>
        <v>32000</v>
      </c>
      <c r="F1376" s="105">
        <f>E1376/D1376*100</f>
        <v>75.29411764705883</v>
      </c>
      <c r="G1376" s="129"/>
      <c r="H1376" s="193"/>
      <c r="I1376" s="194"/>
      <c r="J1376" s="193"/>
      <c r="K1376" s="129"/>
      <c r="L1376" s="110"/>
      <c r="M1376" s="128">
        <v>42500</v>
      </c>
      <c r="N1376" s="129">
        <v>32000</v>
      </c>
      <c r="O1376" s="256">
        <f t="shared" si="171"/>
        <v>75.29411764705883</v>
      </c>
      <c r="P1376" s="129"/>
      <c r="Q1376" s="129"/>
      <c r="R1376" s="200"/>
    </row>
    <row r="1377" spans="1:18" s="327" customFormat="1" ht="36">
      <c r="A1377" s="267">
        <v>4700</v>
      </c>
      <c r="B1377" s="291" t="s">
        <v>466</v>
      </c>
      <c r="C1377" s="128">
        <v>3000</v>
      </c>
      <c r="D1377" s="104">
        <f aca="true" t="shared" si="174" ref="D1377:D1441">G1377+J1377+P1377+M1377</f>
        <v>3000</v>
      </c>
      <c r="E1377" s="129">
        <f t="shared" si="173"/>
        <v>1130</v>
      </c>
      <c r="F1377" s="105">
        <f>E1377/D1377*100</f>
        <v>37.666666666666664</v>
      </c>
      <c r="G1377" s="129"/>
      <c r="H1377" s="193"/>
      <c r="I1377" s="194"/>
      <c r="J1377" s="193"/>
      <c r="K1377" s="129"/>
      <c r="L1377" s="110"/>
      <c r="M1377" s="128">
        <v>3000</v>
      </c>
      <c r="N1377" s="129">
        <v>1130</v>
      </c>
      <c r="O1377" s="256">
        <f t="shared" si="171"/>
        <v>37.666666666666664</v>
      </c>
      <c r="P1377" s="129"/>
      <c r="Q1377" s="129"/>
      <c r="R1377" s="200"/>
    </row>
    <row r="1378" spans="1:18" s="327" customFormat="1" ht="60">
      <c r="A1378" s="267">
        <v>4740</v>
      </c>
      <c r="B1378" s="291" t="s">
        <v>380</v>
      </c>
      <c r="C1378" s="128">
        <v>1500</v>
      </c>
      <c r="D1378" s="104">
        <f t="shared" si="174"/>
        <v>1500</v>
      </c>
      <c r="E1378" s="129">
        <f>SUM(H1378+K1378+N1378+Q1378)</f>
        <v>0</v>
      </c>
      <c r="F1378" s="105">
        <f>E1378/D1378*100</f>
        <v>0</v>
      </c>
      <c r="G1378" s="129"/>
      <c r="H1378" s="193"/>
      <c r="I1378" s="194"/>
      <c r="J1378" s="193"/>
      <c r="K1378" s="129"/>
      <c r="L1378" s="110"/>
      <c r="M1378" s="128">
        <v>1500</v>
      </c>
      <c r="N1378" s="129"/>
      <c r="O1378" s="256">
        <f t="shared" si="171"/>
        <v>0</v>
      </c>
      <c r="P1378" s="129"/>
      <c r="Q1378" s="129"/>
      <c r="R1378" s="200"/>
    </row>
    <row r="1379" spans="1:18" s="327" customFormat="1" ht="36">
      <c r="A1379" s="267">
        <v>4750</v>
      </c>
      <c r="B1379" s="291" t="s">
        <v>467</v>
      </c>
      <c r="C1379" s="128">
        <v>2000</v>
      </c>
      <c r="D1379" s="104">
        <f t="shared" si="174"/>
        <v>2000</v>
      </c>
      <c r="E1379" s="129">
        <f>SUM(H1379+K1379+N1379+Q1379)</f>
        <v>0</v>
      </c>
      <c r="F1379" s="105">
        <f>E1379/D1379*100</f>
        <v>0</v>
      </c>
      <c r="G1379" s="129"/>
      <c r="H1379" s="193"/>
      <c r="I1379" s="194"/>
      <c r="J1379" s="193"/>
      <c r="K1379" s="129"/>
      <c r="L1379" s="110"/>
      <c r="M1379" s="128">
        <v>2000</v>
      </c>
      <c r="N1379" s="129"/>
      <c r="O1379" s="256">
        <f t="shared" si="171"/>
        <v>0</v>
      </c>
      <c r="P1379" s="129"/>
      <c r="Q1379" s="129"/>
      <c r="R1379" s="200"/>
    </row>
    <row r="1380" spans="1:18" s="327" customFormat="1" ht="36">
      <c r="A1380" s="267">
        <v>6060</v>
      </c>
      <c r="B1380" s="291" t="s">
        <v>515</v>
      </c>
      <c r="C1380" s="229">
        <v>9000</v>
      </c>
      <c r="D1380" s="230">
        <f t="shared" si="174"/>
        <v>9000</v>
      </c>
      <c r="E1380" s="236">
        <f t="shared" si="173"/>
        <v>9000</v>
      </c>
      <c r="F1380" s="168">
        <f aca="true" t="shared" si="175" ref="F1380:F1400">E1380/D1380*100</f>
        <v>100</v>
      </c>
      <c r="G1380" s="236"/>
      <c r="H1380" s="233"/>
      <c r="I1380" s="237"/>
      <c r="J1380" s="233"/>
      <c r="K1380" s="236"/>
      <c r="L1380" s="319"/>
      <c r="M1380" s="229">
        <v>9000</v>
      </c>
      <c r="N1380" s="236">
        <v>9000</v>
      </c>
      <c r="O1380" s="256">
        <f t="shared" si="171"/>
        <v>100</v>
      </c>
      <c r="P1380" s="236"/>
      <c r="Q1380" s="236"/>
      <c r="R1380" s="238"/>
    </row>
    <row r="1381" spans="1:18" s="185" customFormat="1" ht="60">
      <c r="A1381" s="186">
        <v>85406</v>
      </c>
      <c r="B1381" s="422" t="s">
        <v>807</v>
      </c>
      <c r="C1381" s="188">
        <f>SUM(C1382:C1403)</f>
        <v>1308000</v>
      </c>
      <c r="D1381" s="137">
        <f t="shared" si="174"/>
        <v>1308000</v>
      </c>
      <c r="E1381" s="119">
        <f>H1381+K1381+Q1381+N1381</f>
        <v>333712</v>
      </c>
      <c r="F1381" s="120">
        <f t="shared" si="175"/>
        <v>25.5131498470948</v>
      </c>
      <c r="G1381" s="345"/>
      <c r="H1381" s="346"/>
      <c r="I1381" s="190"/>
      <c r="J1381" s="346"/>
      <c r="K1381" s="345"/>
      <c r="L1381" s="347"/>
      <c r="M1381" s="119">
        <f>SUM(M1382:M1404)+M1410</f>
        <v>1308000</v>
      </c>
      <c r="N1381" s="119">
        <f>SUM(N1382:N1404)+N1410</f>
        <v>333712</v>
      </c>
      <c r="O1381" s="214">
        <f t="shared" si="171"/>
        <v>25.5131498470948</v>
      </c>
      <c r="P1381" s="119"/>
      <c r="Q1381" s="119"/>
      <c r="R1381" s="283"/>
    </row>
    <row r="1382" spans="1:18" s="185" customFormat="1" ht="36">
      <c r="A1382" s="191">
        <v>3020</v>
      </c>
      <c r="B1382" s="423" t="s">
        <v>677</v>
      </c>
      <c r="C1382" s="128">
        <v>3500</v>
      </c>
      <c r="D1382" s="104">
        <f t="shared" si="174"/>
        <v>3500</v>
      </c>
      <c r="E1382" s="129">
        <f aca="true" t="shared" si="176" ref="E1382:E1400">SUM(H1382+K1382+N1382+Q1382)</f>
        <v>0</v>
      </c>
      <c r="F1382" s="105">
        <f t="shared" si="175"/>
        <v>0</v>
      </c>
      <c r="G1382" s="129"/>
      <c r="H1382" s="193"/>
      <c r="I1382" s="194"/>
      <c r="J1382" s="193"/>
      <c r="K1382" s="129"/>
      <c r="L1382" s="110"/>
      <c r="M1382" s="128">
        <v>3500</v>
      </c>
      <c r="N1382" s="129"/>
      <c r="O1382" s="256">
        <f t="shared" si="171"/>
        <v>0</v>
      </c>
      <c r="P1382" s="129"/>
      <c r="Q1382" s="129"/>
      <c r="R1382" s="200"/>
    </row>
    <row r="1383" spans="1:18" s="185" customFormat="1" ht="24">
      <c r="A1383" s="191">
        <v>4010</v>
      </c>
      <c r="B1383" s="423" t="s">
        <v>346</v>
      </c>
      <c r="C1383" s="128">
        <v>890000</v>
      </c>
      <c r="D1383" s="104">
        <f t="shared" si="174"/>
        <v>890000</v>
      </c>
      <c r="E1383" s="129">
        <f t="shared" si="176"/>
        <v>219088</v>
      </c>
      <c r="F1383" s="105">
        <f t="shared" si="175"/>
        <v>24.616629213483147</v>
      </c>
      <c r="G1383" s="129"/>
      <c r="H1383" s="193"/>
      <c r="I1383" s="194"/>
      <c r="J1383" s="193"/>
      <c r="K1383" s="129"/>
      <c r="L1383" s="110"/>
      <c r="M1383" s="128">
        <v>890000</v>
      </c>
      <c r="N1383" s="129">
        <v>219088</v>
      </c>
      <c r="O1383" s="256">
        <f t="shared" si="171"/>
        <v>24.616629213483147</v>
      </c>
      <c r="P1383" s="129"/>
      <c r="Q1383" s="129"/>
      <c r="R1383" s="200"/>
    </row>
    <row r="1384" spans="1:18" s="185" customFormat="1" ht="24">
      <c r="A1384" s="191">
        <v>4040</v>
      </c>
      <c r="B1384" s="423" t="s">
        <v>350</v>
      </c>
      <c r="C1384" s="128">
        <v>70000</v>
      </c>
      <c r="D1384" s="104">
        <f t="shared" si="174"/>
        <v>71267</v>
      </c>
      <c r="E1384" s="129">
        <f t="shared" si="176"/>
        <v>49046</v>
      </c>
      <c r="F1384" s="105">
        <f t="shared" si="175"/>
        <v>68.82007100060336</v>
      </c>
      <c r="G1384" s="129"/>
      <c r="H1384" s="193"/>
      <c r="I1384" s="194"/>
      <c r="J1384" s="193"/>
      <c r="K1384" s="129"/>
      <c r="L1384" s="110"/>
      <c r="M1384" s="128">
        <f>70000+1267</f>
        <v>71267</v>
      </c>
      <c r="N1384" s="129">
        <v>49046</v>
      </c>
      <c r="O1384" s="256">
        <f t="shared" si="171"/>
        <v>68.82007100060336</v>
      </c>
      <c r="P1384" s="129"/>
      <c r="Q1384" s="129"/>
      <c r="R1384" s="200"/>
    </row>
    <row r="1385" spans="1:18" s="185" customFormat="1" ht="24">
      <c r="A1385" s="191">
        <v>4110</v>
      </c>
      <c r="B1385" s="423" t="s">
        <v>352</v>
      </c>
      <c r="C1385" s="128">
        <v>168000</v>
      </c>
      <c r="D1385" s="104">
        <f t="shared" si="174"/>
        <v>166733</v>
      </c>
      <c r="E1385" s="129">
        <f t="shared" si="176"/>
        <v>32249</v>
      </c>
      <c r="F1385" s="105">
        <f t="shared" si="175"/>
        <v>19.341702002602965</v>
      </c>
      <c r="G1385" s="129"/>
      <c r="H1385" s="193"/>
      <c r="I1385" s="194"/>
      <c r="J1385" s="193"/>
      <c r="K1385" s="129"/>
      <c r="L1385" s="110"/>
      <c r="M1385" s="128">
        <f>168000-1267</f>
        <v>166733</v>
      </c>
      <c r="N1385" s="129">
        <v>32249</v>
      </c>
      <c r="O1385" s="256">
        <f t="shared" si="171"/>
        <v>19.341702002602965</v>
      </c>
      <c r="P1385" s="129"/>
      <c r="Q1385" s="129"/>
      <c r="R1385" s="200"/>
    </row>
    <row r="1386" spans="1:18" s="185" customFormat="1" ht="12.75">
      <c r="A1386" s="191">
        <v>4120</v>
      </c>
      <c r="B1386" s="423" t="s">
        <v>504</v>
      </c>
      <c r="C1386" s="128">
        <v>23500</v>
      </c>
      <c r="D1386" s="104">
        <f t="shared" si="174"/>
        <v>23500</v>
      </c>
      <c r="E1386" s="129">
        <f>SUM(H1386+K1386+N1386+Q1386)</f>
        <v>4700</v>
      </c>
      <c r="F1386" s="105">
        <f>E1386/D1386*100</f>
        <v>20</v>
      </c>
      <c r="G1386" s="129"/>
      <c r="H1386" s="193"/>
      <c r="I1386" s="194"/>
      <c r="J1386" s="193"/>
      <c r="K1386" s="129"/>
      <c r="L1386" s="110"/>
      <c r="M1386" s="128">
        <v>23500</v>
      </c>
      <c r="N1386" s="129">
        <v>4700</v>
      </c>
      <c r="O1386" s="256">
        <f t="shared" si="171"/>
        <v>20</v>
      </c>
      <c r="P1386" s="129"/>
      <c r="Q1386" s="129"/>
      <c r="R1386" s="200"/>
    </row>
    <row r="1387" spans="1:18" s="185" customFormat="1" ht="12.75">
      <c r="A1387" s="191">
        <v>4140</v>
      </c>
      <c r="B1387" s="423" t="s">
        <v>457</v>
      </c>
      <c r="C1387" s="128">
        <v>23300</v>
      </c>
      <c r="D1387" s="104">
        <f t="shared" si="174"/>
        <v>23300</v>
      </c>
      <c r="E1387" s="129">
        <f t="shared" si="176"/>
        <v>5597</v>
      </c>
      <c r="F1387" s="105">
        <f t="shared" si="175"/>
        <v>24.021459227467812</v>
      </c>
      <c r="G1387" s="129"/>
      <c r="H1387" s="193"/>
      <c r="I1387" s="194"/>
      <c r="J1387" s="193"/>
      <c r="K1387" s="129"/>
      <c r="L1387" s="110"/>
      <c r="M1387" s="128">
        <v>23300</v>
      </c>
      <c r="N1387" s="129">
        <v>5597</v>
      </c>
      <c r="O1387" s="256">
        <f t="shared" si="171"/>
        <v>24.021459227467812</v>
      </c>
      <c r="P1387" s="129"/>
      <c r="Q1387" s="129"/>
      <c r="R1387" s="200"/>
    </row>
    <row r="1388" spans="1:18" s="185" customFormat="1" ht="24">
      <c r="A1388" s="191">
        <v>4170</v>
      </c>
      <c r="B1388" s="423" t="s">
        <v>392</v>
      </c>
      <c r="C1388" s="128">
        <v>8000</v>
      </c>
      <c r="D1388" s="104">
        <f t="shared" si="174"/>
        <v>8000</v>
      </c>
      <c r="E1388" s="129">
        <f>SUM(H1388+K1388+N1388+Q1388)</f>
        <v>1644</v>
      </c>
      <c r="F1388" s="105">
        <f>E1388/D1388*100</f>
        <v>20.549999999999997</v>
      </c>
      <c r="G1388" s="129"/>
      <c r="H1388" s="193"/>
      <c r="I1388" s="194"/>
      <c r="J1388" s="193"/>
      <c r="K1388" s="129"/>
      <c r="L1388" s="110"/>
      <c r="M1388" s="128">
        <v>8000</v>
      </c>
      <c r="N1388" s="129">
        <v>1644</v>
      </c>
      <c r="O1388" s="256">
        <f t="shared" si="171"/>
        <v>20.549999999999997</v>
      </c>
      <c r="P1388" s="129"/>
      <c r="Q1388" s="129"/>
      <c r="R1388" s="200"/>
    </row>
    <row r="1389" spans="1:18" s="185" customFormat="1" ht="24">
      <c r="A1389" s="191">
        <v>4210</v>
      </c>
      <c r="B1389" s="423" t="s">
        <v>356</v>
      </c>
      <c r="C1389" s="128">
        <v>16000</v>
      </c>
      <c r="D1389" s="104">
        <f t="shared" si="174"/>
        <v>16000</v>
      </c>
      <c r="E1389" s="129">
        <f t="shared" si="176"/>
        <v>3865</v>
      </c>
      <c r="F1389" s="105">
        <f t="shared" si="175"/>
        <v>24.15625</v>
      </c>
      <c r="G1389" s="129"/>
      <c r="H1389" s="193"/>
      <c r="I1389" s="194"/>
      <c r="J1389" s="193"/>
      <c r="K1389" s="129"/>
      <c r="L1389" s="110"/>
      <c r="M1389" s="128">
        <v>16000</v>
      </c>
      <c r="N1389" s="129">
        <v>3865</v>
      </c>
      <c r="O1389" s="256">
        <f t="shared" si="171"/>
        <v>24.15625</v>
      </c>
      <c r="P1389" s="129"/>
      <c r="Q1389" s="129"/>
      <c r="R1389" s="200"/>
    </row>
    <row r="1390" spans="1:18" s="185" customFormat="1" ht="36">
      <c r="A1390" s="191">
        <v>4240</v>
      </c>
      <c r="B1390" s="423" t="s">
        <v>808</v>
      </c>
      <c r="C1390" s="128">
        <v>4000</v>
      </c>
      <c r="D1390" s="104">
        <f t="shared" si="174"/>
        <v>4000</v>
      </c>
      <c r="E1390" s="129">
        <f t="shared" si="176"/>
        <v>605</v>
      </c>
      <c r="F1390" s="105">
        <f t="shared" si="175"/>
        <v>15.125</v>
      </c>
      <c r="G1390" s="129"/>
      <c r="H1390" s="193"/>
      <c r="I1390" s="194"/>
      <c r="J1390" s="193"/>
      <c r="K1390" s="129"/>
      <c r="L1390" s="110"/>
      <c r="M1390" s="128">
        <v>4000</v>
      </c>
      <c r="N1390" s="129">
        <v>605</v>
      </c>
      <c r="O1390" s="256">
        <f t="shared" si="171"/>
        <v>15.125</v>
      </c>
      <c r="P1390" s="129"/>
      <c r="Q1390" s="129"/>
      <c r="R1390" s="200"/>
    </row>
    <row r="1391" spans="1:18" s="185" customFormat="1" ht="12.75">
      <c r="A1391" s="191">
        <v>4260</v>
      </c>
      <c r="B1391" s="423" t="s">
        <v>360</v>
      </c>
      <c r="C1391" s="128">
        <v>20000</v>
      </c>
      <c r="D1391" s="104">
        <f t="shared" si="174"/>
        <v>20000</v>
      </c>
      <c r="E1391" s="129">
        <f t="shared" si="176"/>
        <v>7461</v>
      </c>
      <c r="F1391" s="105">
        <f t="shared" si="175"/>
        <v>37.305</v>
      </c>
      <c r="G1391" s="129"/>
      <c r="H1391" s="193"/>
      <c r="I1391" s="194"/>
      <c r="J1391" s="193"/>
      <c r="K1391" s="129"/>
      <c r="L1391" s="110"/>
      <c r="M1391" s="128">
        <v>20000</v>
      </c>
      <c r="N1391" s="129">
        <v>7461</v>
      </c>
      <c r="O1391" s="256">
        <f t="shared" si="171"/>
        <v>37.305</v>
      </c>
      <c r="P1391" s="129"/>
      <c r="Q1391" s="129"/>
      <c r="R1391" s="200"/>
    </row>
    <row r="1392" spans="1:18" s="185" customFormat="1" ht="24">
      <c r="A1392" s="191">
        <v>4280</v>
      </c>
      <c r="B1392" s="423" t="s">
        <v>458</v>
      </c>
      <c r="C1392" s="128">
        <v>700</v>
      </c>
      <c r="D1392" s="104">
        <f t="shared" si="174"/>
        <v>700</v>
      </c>
      <c r="E1392" s="129">
        <f t="shared" si="176"/>
        <v>0</v>
      </c>
      <c r="F1392" s="105">
        <f t="shared" si="175"/>
        <v>0</v>
      </c>
      <c r="G1392" s="129"/>
      <c r="H1392" s="193"/>
      <c r="I1392" s="194"/>
      <c r="J1392" s="193"/>
      <c r="K1392" s="129"/>
      <c r="L1392" s="110"/>
      <c r="M1392" s="128">
        <v>700</v>
      </c>
      <c r="N1392" s="129"/>
      <c r="O1392" s="256">
        <f t="shared" si="171"/>
        <v>0</v>
      </c>
      <c r="P1392" s="129"/>
      <c r="Q1392" s="129"/>
      <c r="R1392" s="200"/>
    </row>
    <row r="1393" spans="1:18" s="185" customFormat="1" ht="24">
      <c r="A1393" s="191">
        <v>4300</v>
      </c>
      <c r="B1393" s="423" t="s">
        <v>364</v>
      </c>
      <c r="C1393" s="128">
        <v>10000</v>
      </c>
      <c r="D1393" s="104">
        <f t="shared" si="174"/>
        <v>10000</v>
      </c>
      <c r="E1393" s="129">
        <f t="shared" si="176"/>
        <v>5911</v>
      </c>
      <c r="F1393" s="105">
        <f t="shared" si="175"/>
        <v>59.11</v>
      </c>
      <c r="G1393" s="129"/>
      <c r="H1393" s="193"/>
      <c r="I1393" s="194"/>
      <c r="J1393" s="193"/>
      <c r="K1393" s="129"/>
      <c r="L1393" s="110"/>
      <c r="M1393" s="128">
        <v>10000</v>
      </c>
      <c r="N1393" s="129">
        <v>5911</v>
      </c>
      <c r="O1393" s="256">
        <f t="shared" si="171"/>
        <v>59.11</v>
      </c>
      <c r="P1393" s="129"/>
      <c r="Q1393" s="129"/>
      <c r="R1393" s="200"/>
    </row>
    <row r="1394" spans="1:18" s="185" customFormat="1" ht="24">
      <c r="A1394" s="191">
        <v>4350</v>
      </c>
      <c r="B1394" s="423" t="s">
        <v>460</v>
      </c>
      <c r="C1394" s="128">
        <v>1700</v>
      </c>
      <c r="D1394" s="104">
        <f t="shared" si="174"/>
        <v>1700</v>
      </c>
      <c r="E1394" s="129">
        <f t="shared" si="176"/>
        <v>411</v>
      </c>
      <c r="F1394" s="105">
        <f t="shared" si="175"/>
        <v>24.176470588235293</v>
      </c>
      <c r="G1394" s="129"/>
      <c r="H1394" s="193"/>
      <c r="I1394" s="194"/>
      <c r="J1394" s="193"/>
      <c r="K1394" s="129"/>
      <c r="L1394" s="110"/>
      <c r="M1394" s="128">
        <v>1700</v>
      </c>
      <c r="N1394" s="129">
        <v>411</v>
      </c>
      <c r="O1394" s="256">
        <f t="shared" si="171"/>
        <v>24.176470588235293</v>
      </c>
      <c r="P1394" s="129"/>
      <c r="Q1394" s="129"/>
      <c r="R1394" s="200"/>
    </row>
    <row r="1395" spans="1:18" s="185" customFormat="1" ht="48">
      <c r="A1395" s="191">
        <v>4360</v>
      </c>
      <c r="B1395" s="291" t="s">
        <v>635</v>
      </c>
      <c r="C1395" s="128">
        <v>3600</v>
      </c>
      <c r="D1395" s="104">
        <f t="shared" si="174"/>
        <v>3600</v>
      </c>
      <c r="E1395" s="129">
        <f>SUM(H1395+K1395+N1395+Q1395)</f>
        <v>1203</v>
      </c>
      <c r="F1395" s="105">
        <f>E1395/D1395*100</f>
        <v>33.416666666666664</v>
      </c>
      <c r="G1395" s="129"/>
      <c r="H1395" s="193"/>
      <c r="I1395" s="194"/>
      <c r="J1395" s="193"/>
      <c r="K1395" s="129"/>
      <c r="L1395" s="110"/>
      <c r="M1395" s="128">
        <v>3600</v>
      </c>
      <c r="N1395" s="129">
        <v>1203</v>
      </c>
      <c r="O1395" s="256">
        <f t="shared" si="171"/>
        <v>33.416666666666664</v>
      </c>
      <c r="P1395" s="129"/>
      <c r="Q1395" s="129"/>
      <c r="R1395" s="200"/>
    </row>
    <row r="1396" spans="1:18" s="185" customFormat="1" ht="48">
      <c r="A1396" s="267">
        <v>4370</v>
      </c>
      <c r="B1396" s="291" t="s">
        <v>577</v>
      </c>
      <c r="C1396" s="128">
        <v>5400</v>
      </c>
      <c r="D1396" s="104">
        <f>G1396+J1396+P1396+M1396</f>
        <v>5400</v>
      </c>
      <c r="E1396" s="129">
        <f>SUM(H1396+K1396+N1396+Q1396)</f>
        <v>1014</v>
      </c>
      <c r="F1396" s="105">
        <f>E1396/D1396*100</f>
        <v>18.777777777777775</v>
      </c>
      <c r="G1396" s="129"/>
      <c r="H1396" s="193"/>
      <c r="I1396" s="194"/>
      <c r="J1396" s="193"/>
      <c r="K1396" s="129"/>
      <c r="L1396" s="110"/>
      <c r="M1396" s="128">
        <v>5400</v>
      </c>
      <c r="N1396" s="129">
        <v>1014</v>
      </c>
      <c r="O1396" s="256">
        <f t="shared" si="171"/>
        <v>18.777777777777775</v>
      </c>
      <c r="P1396" s="129"/>
      <c r="Q1396" s="129"/>
      <c r="R1396" s="200"/>
    </row>
    <row r="1397" spans="1:18" s="185" customFormat="1" ht="36" hidden="1">
      <c r="A1397" s="191">
        <v>4390</v>
      </c>
      <c r="B1397" s="305" t="s">
        <v>393</v>
      </c>
      <c r="C1397" s="128"/>
      <c r="D1397" s="104">
        <f>G1397+J1397+P1397+M1397</f>
        <v>0</v>
      </c>
      <c r="E1397" s="129">
        <f>SUM(H1397+K1397+N1397+Q1397)</f>
        <v>0</v>
      </c>
      <c r="F1397" s="105" t="e">
        <f>E1397/D1397*100</f>
        <v>#DIV/0!</v>
      </c>
      <c r="G1397" s="129"/>
      <c r="H1397" s="193"/>
      <c r="I1397" s="194"/>
      <c r="J1397" s="193"/>
      <c r="K1397" s="129"/>
      <c r="L1397" s="110"/>
      <c r="M1397" s="128"/>
      <c r="N1397" s="129"/>
      <c r="O1397" s="256" t="e">
        <f t="shared" si="171"/>
        <v>#DIV/0!</v>
      </c>
      <c r="P1397" s="129"/>
      <c r="Q1397" s="129"/>
      <c r="R1397" s="200"/>
    </row>
    <row r="1398" spans="1:18" s="185" customFormat="1" ht="24">
      <c r="A1398" s="191">
        <v>4410</v>
      </c>
      <c r="B1398" s="423" t="s">
        <v>338</v>
      </c>
      <c r="C1398" s="128">
        <v>400</v>
      </c>
      <c r="D1398" s="104">
        <f>G1398+J1398+P1398+M1398</f>
        <v>400</v>
      </c>
      <c r="E1398" s="129">
        <f>SUM(H1398+K1398+N1398+Q1398)</f>
        <v>290</v>
      </c>
      <c r="F1398" s="105">
        <f>E1398/D1398*100</f>
        <v>72.5</v>
      </c>
      <c r="G1398" s="129"/>
      <c r="H1398" s="193"/>
      <c r="I1398" s="194"/>
      <c r="J1398" s="193"/>
      <c r="K1398" s="129"/>
      <c r="L1398" s="110"/>
      <c r="M1398" s="128">
        <v>400</v>
      </c>
      <c r="N1398" s="129">
        <v>290</v>
      </c>
      <c r="O1398" s="256">
        <f t="shared" si="171"/>
        <v>72.5</v>
      </c>
      <c r="P1398" s="129"/>
      <c r="Q1398" s="129"/>
      <c r="R1398" s="200"/>
    </row>
    <row r="1399" spans="1:18" s="185" customFormat="1" ht="12.75">
      <c r="A1399" s="191">
        <v>4440</v>
      </c>
      <c r="B1399" s="423" t="s">
        <v>368</v>
      </c>
      <c r="C1399" s="128">
        <v>53700</v>
      </c>
      <c r="D1399" s="104">
        <f t="shared" si="174"/>
        <v>53700</v>
      </c>
      <c r="E1399" s="129">
        <f t="shared" si="176"/>
        <v>0</v>
      </c>
      <c r="F1399" s="105">
        <f t="shared" si="175"/>
        <v>0</v>
      </c>
      <c r="G1399" s="129"/>
      <c r="H1399" s="193"/>
      <c r="I1399" s="194"/>
      <c r="J1399" s="193"/>
      <c r="K1399" s="129"/>
      <c r="L1399" s="110"/>
      <c r="M1399" s="128">
        <v>53700</v>
      </c>
      <c r="N1399" s="129"/>
      <c r="O1399" s="256">
        <f t="shared" si="171"/>
        <v>0</v>
      </c>
      <c r="P1399" s="129"/>
      <c r="Q1399" s="129"/>
      <c r="R1399" s="200"/>
    </row>
    <row r="1400" spans="1:18" s="185" customFormat="1" ht="36">
      <c r="A1400" s="267">
        <v>4700</v>
      </c>
      <c r="B1400" s="291" t="s">
        <v>466</v>
      </c>
      <c r="C1400" s="128">
        <v>1000</v>
      </c>
      <c r="D1400" s="104">
        <f t="shared" si="174"/>
        <v>1000</v>
      </c>
      <c r="E1400" s="129">
        <f t="shared" si="176"/>
        <v>0</v>
      </c>
      <c r="F1400" s="105">
        <f t="shared" si="175"/>
        <v>0</v>
      </c>
      <c r="G1400" s="129"/>
      <c r="H1400" s="193"/>
      <c r="I1400" s="194"/>
      <c r="J1400" s="193"/>
      <c r="K1400" s="129"/>
      <c r="L1400" s="110"/>
      <c r="M1400" s="128">
        <v>1000</v>
      </c>
      <c r="N1400" s="129"/>
      <c r="O1400" s="256">
        <f t="shared" si="171"/>
        <v>0</v>
      </c>
      <c r="P1400" s="129"/>
      <c r="Q1400" s="129"/>
      <c r="R1400" s="200"/>
    </row>
    <row r="1401" spans="1:18" s="185" customFormat="1" ht="60">
      <c r="A1401" s="267">
        <v>4740</v>
      </c>
      <c r="B1401" s="291" t="s">
        <v>380</v>
      </c>
      <c r="C1401" s="128">
        <v>1200</v>
      </c>
      <c r="D1401" s="104">
        <f>G1401+J1401+P1401+M1401</f>
        <v>1200</v>
      </c>
      <c r="E1401" s="129">
        <f>SUM(H1401+K1401+N1401+Q1401)</f>
        <v>628</v>
      </c>
      <c r="F1401" s="105">
        <f>E1401/D1401*100</f>
        <v>52.33333333333333</v>
      </c>
      <c r="G1401" s="129"/>
      <c r="H1401" s="193"/>
      <c r="I1401" s="194"/>
      <c r="J1401" s="193"/>
      <c r="K1401" s="129"/>
      <c r="L1401" s="110"/>
      <c r="M1401" s="128">
        <v>1200</v>
      </c>
      <c r="N1401" s="129">
        <v>628</v>
      </c>
      <c r="O1401" s="256">
        <f t="shared" si="171"/>
        <v>52.33333333333333</v>
      </c>
      <c r="P1401" s="129"/>
      <c r="Q1401" s="129"/>
      <c r="R1401" s="200"/>
    </row>
    <row r="1402" spans="1:18" s="185" customFormat="1" ht="24" hidden="1">
      <c r="A1402" s="267">
        <v>6050</v>
      </c>
      <c r="B1402" s="291" t="s">
        <v>396</v>
      </c>
      <c r="C1402" s="128"/>
      <c r="D1402" s="104">
        <f>G1402+J1402+P1402+M1402</f>
        <v>0</v>
      </c>
      <c r="E1402" s="129">
        <f>SUM(H1402+K1402+N1402+Q1402)</f>
        <v>0</v>
      </c>
      <c r="F1402" s="105" t="e">
        <f>E1402/D1402*100</f>
        <v>#DIV/0!</v>
      </c>
      <c r="G1402" s="129"/>
      <c r="H1402" s="193"/>
      <c r="I1402" s="194"/>
      <c r="J1402" s="193"/>
      <c r="K1402" s="129"/>
      <c r="L1402" s="110"/>
      <c r="M1402" s="128"/>
      <c r="N1402" s="129"/>
      <c r="O1402" s="256" t="e">
        <f t="shared" si="171"/>
        <v>#DIV/0!</v>
      </c>
      <c r="P1402" s="129"/>
      <c r="Q1402" s="129"/>
      <c r="R1402" s="200"/>
    </row>
    <row r="1403" spans="1:18" s="185" customFormat="1" ht="36">
      <c r="A1403" s="267">
        <v>4750</v>
      </c>
      <c r="B1403" s="291" t="s">
        <v>467</v>
      </c>
      <c r="C1403" s="128">
        <v>4000</v>
      </c>
      <c r="D1403" s="104">
        <f t="shared" si="174"/>
        <v>4000</v>
      </c>
      <c r="E1403" s="129">
        <f>SUM(H1403+K1403+N1403+Q1403)</f>
        <v>0</v>
      </c>
      <c r="F1403" s="105">
        <f>E1403/D1403*100</f>
        <v>0</v>
      </c>
      <c r="G1403" s="129"/>
      <c r="H1403" s="193"/>
      <c r="I1403" s="194"/>
      <c r="J1403" s="193"/>
      <c r="K1403" s="129"/>
      <c r="L1403" s="110"/>
      <c r="M1403" s="128">
        <v>4000</v>
      </c>
      <c r="N1403" s="129"/>
      <c r="O1403" s="256">
        <f aca="true" t="shared" si="177" ref="O1403:O1462">N1403/M1403*100</f>
        <v>0</v>
      </c>
      <c r="P1403" s="129"/>
      <c r="Q1403" s="129"/>
      <c r="R1403" s="200"/>
    </row>
    <row r="1404" spans="1:18" s="221" customFormat="1" ht="24" hidden="1">
      <c r="A1404" s="209"/>
      <c r="B1404" s="371" t="s">
        <v>809</v>
      </c>
      <c r="C1404" s="211"/>
      <c r="D1404" s="213">
        <f t="shared" si="174"/>
        <v>0</v>
      </c>
      <c r="E1404" s="213">
        <f aca="true" t="shared" si="178" ref="E1404:E1415">SUM(H1404+K1404+N1404+Q1404)</f>
        <v>0</v>
      </c>
      <c r="F1404" s="163" t="e">
        <f aca="true" t="shared" si="179" ref="F1404:F1462">E1404/D1404*100</f>
        <v>#DIV/0!</v>
      </c>
      <c r="G1404" s="213"/>
      <c r="H1404" s="215"/>
      <c r="I1404" s="219"/>
      <c r="J1404" s="215"/>
      <c r="K1404" s="213"/>
      <c r="L1404" s="289"/>
      <c r="M1404" s="215">
        <f>SUM(M1405:M1409)</f>
        <v>0</v>
      </c>
      <c r="N1404" s="215">
        <f>SUM(N1405:N1409)</f>
        <v>0</v>
      </c>
      <c r="O1404" s="256" t="e">
        <f t="shared" si="177"/>
        <v>#DIV/0!</v>
      </c>
      <c r="P1404" s="213"/>
      <c r="Q1404" s="213"/>
      <c r="R1404" s="220"/>
    </row>
    <row r="1405" spans="1:18" s="185" customFormat="1" ht="24" hidden="1">
      <c r="A1405" s="191">
        <v>4010</v>
      </c>
      <c r="B1405" s="198" t="s">
        <v>346</v>
      </c>
      <c r="C1405" s="128"/>
      <c r="D1405" s="104">
        <f t="shared" si="174"/>
        <v>0</v>
      </c>
      <c r="E1405" s="129">
        <f t="shared" si="178"/>
        <v>0</v>
      </c>
      <c r="F1405" s="105" t="e">
        <f t="shared" si="179"/>
        <v>#DIV/0!</v>
      </c>
      <c r="G1405" s="129"/>
      <c r="H1405" s="193"/>
      <c r="I1405" s="194"/>
      <c r="J1405" s="193"/>
      <c r="K1405" s="129"/>
      <c r="L1405" s="110"/>
      <c r="M1405" s="193"/>
      <c r="N1405" s="193"/>
      <c r="O1405" s="256" t="e">
        <f t="shared" si="177"/>
        <v>#DIV/0!</v>
      </c>
      <c r="P1405" s="129"/>
      <c r="Q1405" s="129"/>
      <c r="R1405" s="200"/>
    </row>
    <row r="1406" spans="1:18" s="185" customFormat="1" ht="24" hidden="1">
      <c r="A1406" s="191">
        <v>4110</v>
      </c>
      <c r="B1406" s="198" t="s">
        <v>352</v>
      </c>
      <c r="C1406" s="128"/>
      <c r="D1406" s="104">
        <f t="shared" si="174"/>
        <v>0</v>
      </c>
      <c r="E1406" s="129">
        <f t="shared" si="178"/>
        <v>0</v>
      </c>
      <c r="F1406" s="105" t="e">
        <f t="shared" si="179"/>
        <v>#DIV/0!</v>
      </c>
      <c r="G1406" s="129"/>
      <c r="H1406" s="193"/>
      <c r="I1406" s="194"/>
      <c r="J1406" s="193"/>
      <c r="K1406" s="129"/>
      <c r="L1406" s="110"/>
      <c r="M1406" s="193"/>
      <c r="N1406" s="193"/>
      <c r="O1406" s="256" t="e">
        <f t="shared" si="177"/>
        <v>#DIV/0!</v>
      </c>
      <c r="P1406" s="129"/>
      <c r="Q1406" s="129"/>
      <c r="R1406" s="200"/>
    </row>
    <row r="1407" spans="1:18" s="185" customFormat="1" ht="12.75" hidden="1">
      <c r="A1407" s="191">
        <v>4120</v>
      </c>
      <c r="B1407" s="198" t="s">
        <v>504</v>
      </c>
      <c r="C1407" s="128"/>
      <c r="D1407" s="104">
        <f t="shared" si="174"/>
        <v>0</v>
      </c>
      <c r="E1407" s="129">
        <f t="shared" si="178"/>
        <v>0</v>
      </c>
      <c r="F1407" s="105" t="e">
        <f t="shared" si="179"/>
        <v>#DIV/0!</v>
      </c>
      <c r="G1407" s="129"/>
      <c r="H1407" s="193"/>
      <c r="I1407" s="194"/>
      <c r="J1407" s="193"/>
      <c r="K1407" s="129"/>
      <c r="L1407" s="110"/>
      <c r="M1407" s="193"/>
      <c r="N1407" s="193"/>
      <c r="O1407" s="256" t="e">
        <f t="shared" si="177"/>
        <v>#DIV/0!</v>
      </c>
      <c r="P1407" s="129"/>
      <c r="Q1407" s="129"/>
      <c r="R1407" s="200"/>
    </row>
    <row r="1408" spans="1:18" s="185" customFormat="1" ht="24" hidden="1">
      <c r="A1408" s="191">
        <v>4210</v>
      </c>
      <c r="B1408" s="198" t="s">
        <v>356</v>
      </c>
      <c r="C1408" s="128"/>
      <c r="D1408" s="104">
        <f t="shared" si="174"/>
        <v>0</v>
      </c>
      <c r="E1408" s="129">
        <f t="shared" si="178"/>
        <v>0</v>
      </c>
      <c r="F1408" s="105" t="e">
        <f t="shared" si="179"/>
        <v>#DIV/0!</v>
      </c>
      <c r="G1408" s="129"/>
      <c r="H1408" s="193"/>
      <c r="I1408" s="194"/>
      <c r="J1408" s="193"/>
      <c r="K1408" s="129"/>
      <c r="L1408" s="110"/>
      <c r="M1408" s="193"/>
      <c r="N1408" s="193"/>
      <c r="O1408" s="256" t="e">
        <f t="shared" si="177"/>
        <v>#DIV/0!</v>
      </c>
      <c r="P1408" s="129"/>
      <c r="Q1408" s="129"/>
      <c r="R1408" s="200"/>
    </row>
    <row r="1409" spans="1:18" s="185" customFormat="1" ht="24" hidden="1">
      <c r="A1409" s="191">
        <v>4300</v>
      </c>
      <c r="B1409" s="198" t="s">
        <v>364</v>
      </c>
      <c r="C1409" s="128"/>
      <c r="D1409" s="104">
        <f t="shared" si="174"/>
        <v>0</v>
      </c>
      <c r="E1409" s="129">
        <f t="shared" si="178"/>
        <v>0</v>
      </c>
      <c r="F1409" s="105" t="e">
        <f t="shared" si="179"/>
        <v>#DIV/0!</v>
      </c>
      <c r="G1409" s="129"/>
      <c r="H1409" s="193"/>
      <c r="I1409" s="194"/>
      <c r="J1409" s="193"/>
      <c r="K1409" s="129"/>
      <c r="L1409" s="110"/>
      <c r="M1409" s="193"/>
      <c r="N1409" s="193"/>
      <c r="O1409" s="256" t="e">
        <f t="shared" si="177"/>
        <v>#DIV/0!</v>
      </c>
      <c r="P1409" s="129"/>
      <c r="Q1409" s="129"/>
      <c r="R1409" s="200"/>
    </row>
    <row r="1410" spans="1:18" s="221" customFormat="1" ht="48" hidden="1">
      <c r="A1410" s="209"/>
      <c r="B1410" s="371" t="s">
        <v>810</v>
      </c>
      <c r="C1410" s="211"/>
      <c r="D1410" s="213">
        <f t="shared" si="174"/>
        <v>0</v>
      </c>
      <c r="E1410" s="213">
        <f t="shared" si="178"/>
        <v>0</v>
      </c>
      <c r="F1410" s="163" t="e">
        <f t="shared" si="179"/>
        <v>#DIV/0!</v>
      </c>
      <c r="G1410" s="213"/>
      <c r="H1410" s="215"/>
      <c r="I1410" s="219"/>
      <c r="J1410" s="215"/>
      <c r="K1410" s="213"/>
      <c r="L1410" s="289"/>
      <c r="M1410" s="215">
        <f>SUM(M1411:M1415)</f>
        <v>0</v>
      </c>
      <c r="N1410" s="215">
        <f>SUM(N1411:N1415)</f>
        <v>0</v>
      </c>
      <c r="O1410" s="435" t="e">
        <f t="shared" si="177"/>
        <v>#DIV/0!</v>
      </c>
      <c r="P1410" s="213"/>
      <c r="Q1410" s="213"/>
      <c r="R1410" s="220"/>
    </row>
    <row r="1411" spans="1:18" s="185" customFormat="1" ht="24" hidden="1">
      <c r="A1411" s="191">
        <v>4010</v>
      </c>
      <c r="B1411" s="198" t="s">
        <v>346</v>
      </c>
      <c r="C1411" s="128"/>
      <c r="D1411" s="104">
        <f t="shared" si="174"/>
        <v>0</v>
      </c>
      <c r="E1411" s="129">
        <f t="shared" si="178"/>
        <v>0</v>
      </c>
      <c r="F1411" s="105" t="e">
        <f t="shared" si="179"/>
        <v>#DIV/0!</v>
      </c>
      <c r="G1411" s="129"/>
      <c r="H1411" s="193"/>
      <c r="I1411" s="194"/>
      <c r="J1411" s="193"/>
      <c r="K1411" s="129"/>
      <c r="L1411" s="110"/>
      <c r="M1411" s="193">
        <f>2900-2900</f>
        <v>0</v>
      </c>
      <c r="N1411" s="193"/>
      <c r="O1411" s="256" t="e">
        <f t="shared" si="177"/>
        <v>#DIV/0!</v>
      </c>
      <c r="P1411" s="129"/>
      <c r="Q1411" s="129"/>
      <c r="R1411" s="200"/>
    </row>
    <row r="1412" spans="1:18" s="185" customFormat="1" ht="24" hidden="1">
      <c r="A1412" s="191">
        <v>4110</v>
      </c>
      <c r="B1412" s="198" t="s">
        <v>352</v>
      </c>
      <c r="C1412" s="128"/>
      <c r="D1412" s="104">
        <f t="shared" si="174"/>
        <v>0</v>
      </c>
      <c r="E1412" s="129">
        <f t="shared" si="178"/>
        <v>0</v>
      </c>
      <c r="F1412" s="105" t="e">
        <f t="shared" si="179"/>
        <v>#DIV/0!</v>
      </c>
      <c r="G1412" s="129"/>
      <c r="H1412" s="193"/>
      <c r="I1412" s="194"/>
      <c r="J1412" s="193"/>
      <c r="K1412" s="129"/>
      <c r="L1412" s="110"/>
      <c r="M1412" s="193">
        <f>520-520</f>
        <v>0</v>
      </c>
      <c r="N1412" s="193"/>
      <c r="O1412" s="256" t="e">
        <f t="shared" si="177"/>
        <v>#DIV/0!</v>
      </c>
      <c r="P1412" s="129"/>
      <c r="Q1412" s="129"/>
      <c r="R1412" s="200"/>
    </row>
    <row r="1413" spans="1:18" s="185" customFormat="1" ht="12.75" hidden="1">
      <c r="A1413" s="191">
        <v>4120</v>
      </c>
      <c r="B1413" s="198" t="s">
        <v>504</v>
      </c>
      <c r="C1413" s="128"/>
      <c r="D1413" s="104">
        <f>G1413+J1413+P1413+M1413</f>
        <v>0</v>
      </c>
      <c r="E1413" s="129">
        <f>SUM(H1413+K1413+N1413+Q1413)</f>
        <v>0</v>
      </c>
      <c r="F1413" s="105" t="e">
        <f>E1413/D1413*100</f>
        <v>#DIV/0!</v>
      </c>
      <c r="G1413" s="129"/>
      <c r="H1413" s="193"/>
      <c r="I1413" s="194"/>
      <c r="J1413" s="193"/>
      <c r="K1413" s="129"/>
      <c r="L1413" s="110"/>
      <c r="M1413" s="193">
        <f>80-80</f>
        <v>0</v>
      </c>
      <c r="N1413" s="193"/>
      <c r="O1413" s="256" t="e">
        <f t="shared" si="177"/>
        <v>#DIV/0!</v>
      </c>
      <c r="P1413" s="129"/>
      <c r="Q1413" s="129"/>
      <c r="R1413" s="200"/>
    </row>
    <row r="1414" spans="1:18" s="185" customFormat="1" ht="36" hidden="1">
      <c r="A1414" s="191">
        <v>4240</v>
      </c>
      <c r="B1414" s="198" t="s">
        <v>489</v>
      </c>
      <c r="C1414" s="128"/>
      <c r="D1414" s="104">
        <f>G1414+J1414+P1414+M1414</f>
        <v>0</v>
      </c>
      <c r="E1414" s="129">
        <f>SUM(H1414+K1414+N1414+Q1414)</f>
        <v>0</v>
      </c>
      <c r="F1414" s="105" t="e">
        <f>E1414/D1414*100</f>
        <v>#DIV/0!</v>
      </c>
      <c r="G1414" s="129"/>
      <c r="H1414" s="193"/>
      <c r="I1414" s="194"/>
      <c r="J1414" s="193"/>
      <c r="K1414" s="129"/>
      <c r="L1414" s="110"/>
      <c r="M1414" s="193"/>
      <c r="N1414" s="193"/>
      <c r="O1414" s="256" t="e">
        <f t="shared" si="177"/>
        <v>#DIV/0!</v>
      </c>
      <c r="P1414" s="129"/>
      <c r="Q1414" s="129"/>
      <c r="R1414" s="200"/>
    </row>
    <row r="1415" spans="1:18" s="185" customFormat="1" ht="36" hidden="1">
      <c r="A1415" s="267">
        <v>4700</v>
      </c>
      <c r="B1415" s="291" t="s">
        <v>466</v>
      </c>
      <c r="C1415" s="128"/>
      <c r="D1415" s="104">
        <f t="shared" si="174"/>
        <v>0</v>
      </c>
      <c r="E1415" s="129">
        <f t="shared" si="178"/>
        <v>0</v>
      </c>
      <c r="F1415" s="105" t="e">
        <f t="shared" si="179"/>
        <v>#DIV/0!</v>
      </c>
      <c r="G1415" s="129"/>
      <c r="H1415" s="193"/>
      <c r="I1415" s="194"/>
      <c r="J1415" s="193"/>
      <c r="K1415" s="129"/>
      <c r="L1415" s="110"/>
      <c r="M1415" s="193"/>
      <c r="N1415" s="193"/>
      <c r="O1415" s="256" t="e">
        <f t="shared" si="177"/>
        <v>#DIV/0!</v>
      </c>
      <c r="P1415" s="129"/>
      <c r="Q1415" s="129"/>
      <c r="R1415" s="200"/>
    </row>
    <row r="1416" spans="1:18" s="221" customFormat="1" ht="24">
      <c r="A1416" s="239">
        <v>85407</v>
      </c>
      <c r="B1416" s="472" t="s">
        <v>811</v>
      </c>
      <c r="C1416" s="136">
        <f>SUM(C1417:C1439)</f>
        <v>1401400</v>
      </c>
      <c r="D1416" s="137">
        <f t="shared" si="174"/>
        <v>1403115</v>
      </c>
      <c r="E1416" s="137">
        <f>H1416+K1416+Q1416+N1416</f>
        <v>396980</v>
      </c>
      <c r="F1416" s="120">
        <f t="shared" si="179"/>
        <v>28.292762888287847</v>
      </c>
      <c r="G1416" s="137"/>
      <c r="H1416" s="137"/>
      <c r="I1416" s="190"/>
      <c r="J1416" s="140"/>
      <c r="K1416" s="137"/>
      <c r="L1416" s="125"/>
      <c r="M1416" s="140">
        <f>SUM(M1417:M1439)</f>
        <v>1403115</v>
      </c>
      <c r="N1416" s="140">
        <f>SUM(N1417:N1439)</f>
        <v>396980</v>
      </c>
      <c r="O1416" s="214">
        <f t="shared" si="177"/>
        <v>28.292762888287847</v>
      </c>
      <c r="P1416" s="137"/>
      <c r="Q1416" s="137"/>
      <c r="R1416" s="266"/>
    </row>
    <row r="1417" spans="1:18" s="185" customFormat="1" ht="36">
      <c r="A1417" s="191">
        <v>3020</v>
      </c>
      <c r="B1417" s="423" t="s">
        <v>677</v>
      </c>
      <c r="C1417" s="128">
        <v>5700</v>
      </c>
      <c r="D1417" s="104">
        <f t="shared" si="174"/>
        <v>5700</v>
      </c>
      <c r="E1417" s="129">
        <f aca="true" t="shared" si="180" ref="E1417:E1439">SUM(H1417+K1417+N1417+Q1417)</f>
        <v>0</v>
      </c>
      <c r="F1417" s="105">
        <f t="shared" si="179"/>
        <v>0</v>
      </c>
      <c r="G1417" s="129"/>
      <c r="H1417" s="193"/>
      <c r="I1417" s="194"/>
      <c r="J1417" s="193"/>
      <c r="K1417" s="129"/>
      <c r="L1417" s="110"/>
      <c r="M1417" s="128">
        <v>5700</v>
      </c>
      <c r="N1417" s="129"/>
      <c r="O1417" s="256">
        <f t="shared" si="177"/>
        <v>0</v>
      </c>
      <c r="P1417" s="129"/>
      <c r="Q1417" s="129"/>
      <c r="R1417" s="200"/>
    </row>
    <row r="1418" spans="1:18" s="185" customFormat="1" ht="24">
      <c r="A1418" s="191">
        <v>4010</v>
      </c>
      <c r="B1418" s="198" t="s">
        <v>346</v>
      </c>
      <c r="C1418" s="128">
        <v>940000</v>
      </c>
      <c r="D1418" s="104">
        <f t="shared" si="174"/>
        <v>940000</v>
      </c>
      <c r="E1418" s="129">
        <f t="shared" si="180"/>
        <v>240782</v>
      </c>
      <c r="F1418" s="105">
        <f t="shared" si="179"/>
        <v>25.615106382978723</v>
      </c>
      <c r="G1418" s="129"/>
      <c r="H1418" s="193"/>
      <c r="I1418" s="194"/>
      <c r="J1418" s="193"/>
      <c r="K1418" s="129"/>
      <c r="L1418" s="110"/>
      <c r="M1418" s="128">
        <v>940000</v>
      </c>
      <c r="N1418" s="129">
        <v>240782</v>
      </c>
      <c r="O1418" s="256">
        <f t="shared" si="177"/>
        <v>25.615106382978723</v>
      </c>
      <c r="P1418" s="129"/>
      <c r="Q1418" s="129"/>
      <c r="R1418" s="200"/>
    </row>
    <row r="1419" spans="1:18" s="185" customFormat="1" ht="24">
      <c r="A1419" s="191">
        <v>4040</v>
      </c>
      <c r="B1419" s="198" t="s">
        <v>350</v>
      </c>
      <c r="C1419" s="128">
        <v>61500</v>
      </c>
      <c r="D1419" s="104">
        <f t="shared" si="174"/>
        <v>63215</v>
      </c>
      <c r="E1419" s="129">
        <f t="shared" si="180"/>
        <v>44368</v>
      </c>
      <c r="F1419" s="105">
        <f t="shared" si="179"/>
        <v>70.18587360594796</v>
      </c>
      <c r="G1419" s="358"/>
      <c r="H1419" s="193"/>
      <c r="I1419" s="194"/>
      <c r="J1419" s="193"/>
      <c r="K1419" s="129"/>
      <c r="L1419" s="110"/>
      <c r="M1419" s="128">
        <f>61500+1715</f>
        <v>63215</v>
      </c>
      <c r="N1419" s="129">
        <v>44368</v>
      </c>
      <c r="O1419" s="256">
        <f t="shared" si="177"/>
        <v>70.18587360594796</v>
      </c>
      <c r="P1419" s="129"/>
      <c r="Q1419" s="129"/>
      <c r="R1419" s="200"/>
    </row>
    <row r="1420" spans="1:18" s="185" customFormat="1" ht="24">
      <c r="A1420" s="191">
        <v>4110</v>
      </c>
      <c r="B1420" s="198" t="s">
        <v>352</v>
      </c>
      <c r="C1420" s="128">
        <v>155000</v>
      </c>
      <c r="D1420" s="104">
        <f t="shared" si="174"/>
        <v>155000</v>
      </c>
      <c r="E1420" s="129">
        <f t="shared" si="180"/>
        <v>35735</v>
      </c>
      <c r="F1420" s="105">
        <f t="shared" si="179"/>
        <v>23.05483870967742</v>
      </c>
      <c r="G1420" s="129"/>
      <c r="H1420" s="193"/>
      <c r="I1420" s="194"/>
      <c r="J1420" s="193"/>
      <c r="K1420" s="129"/>
      <c r="L1420" s="110"/>
      <c r="M1420" s="128">
        <v>155000</v>
      </c>
      <c r="N1420" s="129">
        <v>35735</v>
      </c>
      <c r="O1420" s="256">
        <f t="shared" si="177"/>
        <v>23.05483870967742</v>
      </c>
      <c r="P1420" s="128"/>
      <c r="Q1420" s="129"/>
      <c r="R1420" s="200"/>
    </row>
    <row r="1421" spans="1:18" s="185" customFormat="1" ht="12.75">
      <c r="A1421" s="191">
        <v>4120</v>
      </c>
      <c r="B1421" s="198" t="s">
        <v>504</v>
      </c>
      <c r="C1421" s="128">
        <v>24000</v>
      </c>
      <c r="D1421" s="104">
        <f t="shared" si="174"/>
        <v>24000</v>
      </c>
      <c r="E1421" s="129">
        <f t="shared" si="180"/>
        <v>5306</v>
      </c>
      <c r="F1421" s="105">
        <f t="shared" si="179"/>
        <v>22.108333333333334</v>
      </c>
      <c r="G1421" s="129"/>
      <c r="H1421" s="193"/>
      <c r="I1421" s="194"/>
      <c r="J1421" s="193"/>
      <c r="K1421" s="129"/>
      <c r="L1421" s="110"/>
      <c r="M1421" s="128">
        <v>24000</v>
      </c>
      <c r="N1421" s="129">
        <v>5306</v>
      </c>
      <c r="O1421" s="256">
        <f t="shared" si="177"/>
        <v>22.108333333333334</v>
      </c>
      <c r="P1421" s="129"/>
      <c r="Q1421" s="129"/>
      <c r="R1421" s="200"/>
    </row>
    <row r="1422" spans="1:18" s="185" customFormat="1" ht="12.75">
      <c r="A1422" s="191">
        <v>4140</v>
      </c>
      <c r="B1422" s="423" t="s">
        <v>457</v>
      </c>
      <c r="C1422" s="128">
        <v>15600</v>
      </c>
      <c r="D1422" s="104">
        <f t="shared" si="174"/>
        <v>15600</v>
      </c>
      <c r="E1422" s="129">
        <f t="shared" si="180"/>
        <v>3452</v>
      </c>
      <c r="F1422" s="105">
        <f t="shared" si="179"/>
        <v>22.128205128205128</v>
      </c>
      <c r="G1422" s="129"/>
      <c r="H1422" s="193"/>
      <c r="I1422" s="194"/>
      <c r="J1422" s="193"/>
      <c r="K1422" s="129"/>
      <c r="L1422" s="110"/>
      <c r="M1422" s="128">
        <v>15600</v>
      </c>
      <c r="N1422" s="129">
        <v>3452</v>
      </c>
      <c r="O1422" s="256">
        <f t="shared" si="177"/>
        <v>22.128205128205128</v>
      </c>
      <c r="P1422" s="129"/>
      <c r="Q1422" s="129"/>
      <c r="R1422" s="200"/>
    </row>
    <row r="1423" spans="1:18" s="185" customFormat="1" ht="24" hidden="1">
      <c r="A1423" s="191">
        <v>4170</v>
      </c>
      <c r="B1423" s="198" t="s">
        <v>392</v>
      </c>
      <c r="C1423" s="128"/>
      <c r="D1423" s="104">
        <f t="shared" si="174"/>
        <v>0</v>
      </c>
      <c r="E1423" s="129">
        <f t="shared" si="180"/>
        <v>0</v>
      </c>
      <c r="F1423" s="105" t="e">
        <f t="shared" si="179"/>
        <v>#DIV/0!</v>
      </c>
      <c r="G1423" s="129"/>
      <c r="H1423" s="193"/>
      <c r="I1423" s="194"/>
      <c r="J1423" s="193"/>
      <c r="K1423" s="129"/>
      <c r="L1423" s="110"/>
      <c r="M1423" s="128"/>
      <c r="N1423" s="129"/>
      <c r="O1423" s="256" t="e">
        <f t="shared" si="177"/>
        <v>#DIV/0!</v>
      </c>
      <c r="P1423" s="129"/>
      <c r="Q1423" s="129"/>
      <c r="R1423" s="200"/>
    </row>
    <row r="1424" spans="1:18" s="185" customFormat="1" ht="24">
      <c r="A1424" s="191">
        <v>4210</v>
      </c>
      <c r="B1424" s="198" t="s">
        <v>356</v>
      </c>
      <c r="C1424" s="128">
        <v>23000</v>
      </c>
      <c r="D1424" s="104">
        <f t="shared" si="174"/>
        <v>23000</v>
      </c>
      <c r="E1424" s="129">
        <f t="shared" si="180"/>
        <v>5326</v>
      </c>
      <c r="F1424" s="105">
        <f t="shared" si="179"/>
        <v>23.156521739130433</v>
      </c>
      <c r="G1424" s="129"/>
      <c r="H1424" s="193"/>
      <c r="I1424" s="194"/>
      <c r="J1424" s="193"/>
      <c r="K1424" s="129"/>
      <c r="L1424" s="110"/>
      <c r="M1424" s="128">
        <v>23000</v>
      </c>
      <c r="N1424" s="129">
        <v>5326</v>
      </c>
      <c r="O1424" s="256">
        <f t="shared" si="177"/>
        <v>23.156521739130433</v>
      </c>
      <c r="P1424" s="129"/>
      <c r="Q1424" s="129"/>
      <c r="R1424" s="200"/>
    </row>
    <row r="1425" spans="1:18" s="185" customFormat="1" ht="36">
      <c r="A1425" s="191">
        <v>4240</v>
      </c>
      <c r="B1425" s="198" t="s">
        <v>489</v>
      </c>
      <c r="C1425" s="128">
        <v>9000</v>
      </c>
      <c r="D1425" s="104">
        <f t="shared" si="174"/>
        <v>9000</v>
      </c>
      <c r="E1425" s="129">
        <f t="shared" si="180"/>
        <v>2663</v>
      </c>
      <c r="F1425" s="105">
        <f t="shared" si="179"/>
        <v>29.58888888888889</v>
      </c>
      <c r="G1425" s="129"/>
      <c r="H1425" s="193"/>
      <c r="I1425" s="194"/>
      <c r="J1425" s="193"/>
      <c r="K1425" s="129"/>
      <c r="L1425" s="110"/>
      <c r="M1425" s="128">
        <v>9000</v>
      </c>
      <c r="N1425" s="129">
        <v>2663</v>
      </c>
      <c r="O1425" s="256">
        <f t="shared" si="177"/>
        <v>29.58888888888889</v>
      </c>
      <c r="P1425" s="129"/>
      <c r="Q1425" s="129"/>
      <c r="R1425" s="200"/>
    </row>
    <row r="1426" spans="1:18" s="185" customFormat="1" ht="12.75">
      <c r="A1426" s="191">
        <v>4260</v>
      </c>
      <c r="B1426" s="198" t="s">
        <v>360</v>
      </c>
      <c r="C1426" s="128">
        <v>54000</v>
      </c>
      <c r="D1426" s="104">
        <f t="shared" si="174"/>
        <v>54000</v>
      </c>
      <c r="E1426" s="129">
        <f t="shared" si="180"/>
        <v>21870</v>
      </c>
      <c r="F1426" s="105">
        <f t="shared" si="179"/>
        <v>40.5</v>
      </c>
      <c r="G1426" s="129"/>
      <c r="H1426" s="193"/>
      <c r="I1426" s="194"/>
      <c r="J1426" s="193"/>
      <c r="K1426" s="129"/>
      <c r="L1426" s="110"/>
      <c r="M1426" s="128">
        <v>54000</v>
      </c>
      <c r="N1426" s="129">
        <v>21870</v>
      </c>
      <c r="O1426" s="256">
        <f t="shared" si="177"/>
        <v>40.5</v>
      </c>
      <c r="P1426" s="129"/>
      <c r="Q1426" s="129"/>
      <c r="R1426" s="200"/>
    </row>
    <row r="1427" spans="1:18" s="185" customFormat="1" ht="24">
      <c r="A1427" s="191">
        <v>4270</v>
      </c>
      <c r="B1427" s="198" t="s">
        <v>362</v>
      </c>
      <c r="C1427" s="128">
        <v>4000</v>
      </c>
      <c r="D1427" s="104">
        <f>G1427+J1427+P1427+M1427</f>
        <v>4000</v>
      </c>
      <c r="E1427" s="129">
        <f>SUM(H1427+K1427+N1427+Q1427)</f>
        <v>512</v>
      </c>
      <c r="F1427" s="105">
        <f>E1427/D1427*100</f>
        <v>12.8</v>
      </c>
      <c r="G1427" s="129"/>
      <c r="H1427" s="193"/>
      <c r="I1427" s="194"/>
      <c r="J1427" s="193"/>
      <c r="K1427" s="129"/>
      <c r="L1427" s="110"/>
      <c r="M1427" s="128">
        <v>4000</v>
      </c>
      <c r="N1427" s="129">
        <v>512</v>
      </c>
      <c r="O1427" s="256">
        <f t="shared" si="177"/>
        <v>12.8</v>
      </c>
      <c r="P1427" s="129"/>
      <c r="Q1427" s="129"/>
      <c r="R1427" s="200"/>
    </row>
    <row r="1428" spans="1:18" s="185" customFormat="1" ht="24">
      <c r="A1428" s="191">
        <v>4280</v>
      </c>
      <c r="B1428" s="198" t="s">
        <v>458</v>
      </c>
      <c r="C1428" s="128">
        <v>1200</v>
      </c>
      <c r="D1428" s="104">
        <f t="shared" si="174"/>
        <v>1200</v>
      </c>
      <c r="E1428" s="129">
        <f t="shared" si="180"/>
        <v>0</v>
      </c>
      <c r="F1428" s="105">
        <f t="shared" si="179"/>
        <v>0</v>
      </c>
      <c r="G1428" s="129"/>
      <c r="H1428" s="193"/>
      <c r="I1428" s="194"/>
      <c r="J1428" s="193"/>
      <c r="K1428" s="129"/>
      <c r="L1428" s="110"/>
      <c r="M1428" s="128">
        <v>1200</v>
      </c>
      <c r="N1428" s="129"/>
      <c r="O1428" s="256">
        <f t="shared" si="177"/>
        <v>0</v>
      </c>
      <c r="P1428" s="129"/>
      <c r="Q1428" s="129"/>
      <c r="R1428" s="200"/>
    </row>
    <row r="1429" spans="1:18" s="185" customFormat="1" ht="24">
      <c r="A1429" s="191">
        <v>4300</v>
      </c>
      <c r="B1429" s="198" t="s">
        <v>364</v>
      </c>
      <c r="C1429" s="128">
        <v>15000</v>
      </c>
      <c r="D1429" s="104">
        <f t="shared" si="174"/>
        <v>15000</v>
      </c>
      <c r="E1429" s="129">
        <f t="shared" si="180"/>
        <v>2618</v>
      </c>
      <c r="F1429" s="105">
        <f t="shared" si="179"/>
        <v>17.453333333333333</v>
      </c>
      <c r="G1429" s="129"/>
      <c r="H1429" s="193"/>
      <c r="I1429" s="194"/>
      <c r="J1429" s="193"/>
      <c r="K1429" s="129"/>
      <c r="L1429" s="110"/>
      <c r="M1429" s="128">
        <v>15000</v>
      </c>
      <c r="N1429" s="129">
        <v>2618</v>
      </c>
      <c r="O1429" s="256">
        <f t="shared" si="177"/>
        <v>17.453333333333333</v>
      </c>
      <c r="P1429" s="129"/>
      <c r="Q1429" s="129"/>
      <c r="R1429" s="200"/>
    </row>
    <row r="1430" spans="1:18" s="185" customFormat="1" ht="24">
      <c r="A1430" s="191">
        <v>4350</v>
      </c>
      <c r="B1430" s="198" t="s">
        <v>460</v>
      </c>
      <c r="C1430" s="128">
        <v>2000</v>
      </c>
      <c r="D1430" s="104">
        <f t="shared" si="174"/>
        <v>2000</v>
      </c>
      <c r="E1430" s="129">
        <f t="shared" si="180"/>
        <v>644</v>
      </c>
      <c r="F1430" s="105">
        <f t="shared" si="179"/>
        <v>32.2</v>
      </c>
      <c r="G1430" s="129"/>
      <c r="H1430" s="193"/>
      <c r="I1430" s="194"/>
      <c r="J1430" s="193"/>
      <c r="K1430" s="129"/>
      <c r="L1430" s="110"/>
      <c r="M1430" s="128">
        <v>2000</v>
      </c>
      <c r="N1430" s="129">
        <v>644</v>
      </c>
      <c r="O1430" s="256">
        <f t="shared" si="177"/>
        <v>32.2</v>
      </c>
      <c r="P1430" s="129"/>
      <c r="Q1430" s="129"/>
      <c r="R1430" s="200"/>
    </row>
    <row r="1431" spans="1:18" s="185" customFormat="1" ht="48">
      <c r="A1431" s="267">
        <v>4370</v>
      </c>
      <c r="B1431" s="291" t="s">
        <v>577</v>
      </c>
      <c r="C1431" s="128">
        <v>8400</v>
      </c>
      <c r="D1431" s="104">
        <f>G1431+J1431+P1431+M1431</f>
        <v>8400</v>
      </c>
      <c r="E1431" s="129">
        <f>SUM(H1431+K1431+N1431+Q1431)</f>
        <v>2297</v>
      </c>
      <c r="F1431" s="105">
        <f>E1431/D1431*100</f>
        <v>27.345238095238095</v>
      </c>
      <c r="G1431" s="129"/>
      <c r="H1431" s="193"/>
      <c r="I1431" s="194"/>
      <c r="J1431" s="193"/>
      <c r="K1431" s="129"/>
      <c r="L1431" s="110"/>
      <c r="M1431" s="128">
        <v>8400</v>
      </c>
      <c r="N1431" s="129">
        <v>2297</v>
      </c>
      <c r="O1431" s="256">
        <f t="shared" si="177"/>
        <v>27.345238095238095</v>
      </c>
      <c r="P1431" s="129"/>
      <c r="Q1431" s="129"/>
      <c r="R1431" s="200"/>
    </row>
    <row r="1432" spans="1:18" s="185" customFormat="1" ht="36">
      <c r="A1432" s="191">
        <v>4390</v>
      </c>
      <c r="B1432" s="305" t="s">
        <v>393</v>
      </c>
      <c r="C1432" s="128">
        <v>3000</v>
      </c>
      <c r="D1432" s="104">
        <f>G1432+J1432+P1432+M1432</f>
        <v>3000</v>
      </c>
      <c r="E1432" s="129">
        <f>SUM(H1432+K1432+N1432+Q1432)</f>
        <v>244</v>
      </c>
      <c r="F1432" s="105">
        <f>E1432/D1432*100</f>
        <v>8.133333333333333</v>
      </c>
      <c r="G1432" s="129"/>
      <c r="H1432" s="193"/>
      <c r="I1432" s="194"/>
      <c r="J1432" s="193"/>
      <c r="K1432" s="129"/>
      <c r="L1432" s="110"/>
      <c r="M1432" s="128">
        <v>3000</v>
      </c>
      <c r="N1432" s="129">
        <v>244</v>
      </c>
      <c r="O1432" s="256">
        <f t="shared" si="177"/>
        <v>8.133333333333333</v>
      </c>
      <c r="P1432" s="129"/>
      <c r="Q1432" s="129"/>
      <c r="R1432" s="200"/>
    </row>
    <row r="1433" spans="1:18" s="185" customFormat="1" ht="24">
      <c r="A1433" s="191">
        <v>4410</v>
      </c>
      <c r="B1433" s="198" t="s">
        <v>338</v>
      </c>
      <c r="C1433" s="128">
        <v>4200</v>
      </c>
      <c r="D1433" s="104">
        <f t="shared" si="174"/>
        <v>3900</v>
      </c>
      <c r="E1433" s="129">
        <f t="shared" si="180"/>
        <v>970</v>
      </c>
      <c r="F1433" s="105">
        <f t="shared" si="179"/>
        <v>24.871794871794872</v>
      </c>
      <c r="G1433" s="129"/>
      <c r="H1433" s="193"/>
      <c r="I1433" s="194"/>
      <c r="J1433" s="193"/>
      <c r="K1433" s="129"/>
      <c r="L1433" s="110"/>
      <c r="M1433" s="128">
        <f>4200-300</f>
        <v>3900</v>
      </c>
      <c r="N1433" s="129">
        <v>970</v>
      </c>
      <c r="O1433" s="256">
        <f t="shared" si="177"/>
        <v>24.871794871794872</v>
      </c>
      <c r="P1433" s="129"/>
      <c r="Q1433" s="129"/>
      <c r="R1433" s="200"/>
    </row>
    <row r="1434" spans="1:18" s="185" customFormat="1" ht="24">
      <c r="A1434" s="191">
        <v>4420</v>
      </c>
      <c r="B1434" s="198" t="s">
        <v>477</v>
      </c>
      <c r="C1434" s="128"/>
      <c r="D1434" s="104">
        <f>G1434+J1434+P1434+M1434</f>
        <v>300</v>
      </c>
      <c r="E1434" s="129">
        <f>SUM(H1434+K1434+N1434+Q1434)</f>
        <v>294</v>
      </c>
      <c r="F1434" s="105">
        <f>E1434/D1434*100</f>
        <v>98</v>
      </c>
      <c r="G1434" s="129"/>
      <c r="H1434" s="193"/>
      <c r="I1434" s="194"/>
      <c r="J1434" s="193"/>
      <c r="K1434" s="129"/>
      <c r="L1434" s="110"/>
      <c r="M1434" s="128">
        <v>300</v>
      </c>
      <c r="N1434" s="129">
        <v>294</v>
      </c>
      <c r="O1434" s="256">
        <f t="shared" si="177"/>
        <v>98</v>
      </c>
      <c r="P1434" s="129"/>
      <c r="Q1434" s="129"/>
      <c r="R1434" s="200"/>
    </row>
    <row r="1435" spans="1:18" s="185" customFormat="1" ht="12.75">
      <c r="A1435" s="191">
        <v>4440</v>
      </c>
      <c r="B1435" s="198" t="s">
        <v>368</v>
      </c>
      <c r="C1435" s="128">
        <v>62800</v>
      </c>
      <c r="D1435" s="104">
        <f>G1435+J1435+P1435+M1435</f>
        <v>62800</v>
      </c>
      <c r="E1435" s="129">
        <f>SUM(H1435+K1435+N1435+Q1435)</f>
        <v>28000</v>
      </c>
      <c r="F1435" s="105">
        <f>E1435/D1435*100</f>
        <v>44.5859872611465</v>
      </c>
      <c r="G1435" s="129"/>
      <c r="H1435" s="193"/>
      <c r="I1435" s="194"/>
      <c r="J1435" s="193"/>
      <c r="K1435" s="129"/>
      <c r="L1435" s="110"/>
      <c r="M1435" s="128">
        <v>62800</v>
      </c>
      <c r="N1435" s="129">
        <v>28000</v>
      </c>
      <c r="O1435" s="256">
        <f t="shared" si="177"/>
        <v>44.5859872611465</v>
      </c>
      <c r="P1435" s="129"/>
      <c r="Q1435" s="129"/>
      <c r="R1435" s="200"/>
    </row>
    <row r="1436" spans="1:18" s="185" customFormat="1" ht="36">
      <c r="A1436" s="267">
        <v>4700</v>
      </c>
      <c r="B1436" s="291" t="s">
        <v>466</v>
      </c>
      <c r="C1436" s="128">
        <v>2500</v>
      </c>
      <c r="D1436" s="104">
        <f t="shared" si="174"/>
        <v>2500</v>
      </c>
      <c r="E1436" s="129">
        <f t="shared" si="180"/>
        <v>188</v>
      </c>
      <c r="F1436" s="105">
        <f t="shared" si="179"/>
        <v>7.5200000000000005</v>
      </c>
      <c r="G1436" s="129"/>
      <c r="H1436" s="193"/>
      <c r="I1436" s="194"/>
      <c r="J1436" s="193"/>
      <c r="K1436" s="129"/>
      <c r="L1436" s="110"/>
      <c r="M1436" s="128">
        <v>2500</v>
      </c>
      <c r="N1436" s="129">
        <v>188</v>
      </c>
      <c r="O1436" s="256">
        <f t="shared" si="177"/>
        <v>7.5200000000000005</v>
      </c>
      <c r="P1436" s="129"/>
      <c r="Q1436" s="129"/>
      <c r="R1436" s="200"/>
    </row>
    <row r="1437" spans="1:18" s="185" customFormat="1" ht="60">
      <c r="A1437" s="267">
        <v>4740</v>
      </c>
      <c r="B1437" s="291" t="s">
        <v>380</v>
      </c>
      <c r="C1437" s="193">
        <v>500</v>
      </c>
      <c r="D1437" s="104">
        <f t="shared" si="174"/>
        <v>500</v>
      </c>
      <c r="E1437" s="129">
        <f t="shared" si="180"/>
        <v>249</v>
      </c>
      <c r="F1437" s="105">
        <f t="shared" si="179"/>
        <v>49.8</v>
      </c>
      <c r="G1437" s="129"/>
      <c r="H1437" s="193"/>
      <c r="I1437" s="194"/>
      <c r="J1437" s="193"/>
      <c r="K1437" s="129"/>
      <c r="L1437" s="110"/>
      <c r="M1437" s="193">
        <v>500</v>
      </c>
      <c r="N1437" s="129">
        <v>249</v>
      </c>
      <c r="O1437" s="256">
        <f t="shared" si="177"/>
        <v>49.8</v>
      </c>
      <c r="P1437" s="129"/>
      <c r="Q1437" s="129"/>
      <c r="R1437" s="200"/>
    </row>
    <row r="1438" spans="1:18" s="185" customFormat="1" ht="36">
      <c r="A1438" s="267">
        <v>4750</v>
      </c>
      <c r="B1438" s="291" t="s">
        <v>467</v>
      </c>
      <c r="C1438" s="193">
        <v>3000</v>
      </c>
      <c r="D1438" s="104">
        <f t="shared" si="174"/>
        <v>3000</v>
      </c>
      <c r="E1438" s="129">
        <f t="shared" si="180"/>
        <v>1462</v>
      </c>
      <c r="F1438" s="105">
        <f t="shared" si="179"/>
        <v>48.733333333333334</v>
      </c>
      <c r="G1438" s="129"/>
      <c r="H1438" s="193"/>
      <c r="I1438" s="194"/>
      <c r="J1438" s="193"/>
      <c r="K1438" s="129"/>
      <c r="L1438" s="110"/>
      <c r="M1438" s="193">
        <v>3000</v>
      </c>
      <c r="N1438" s="129">
        <v>1462</v>
      </c>
      <c r="O1438" s="256">
        <f t="shared" si="177"/>
        <v>48.733333333333334</v>
      </c>
      <c r="P1438" s="129"/>
      <c r="Q1438" s="129"/>
      <c r="R1438" s="200"/>
    </row>
    <row r="1439" spans="1:18" s="185" customFormat="1" ht="36">
      <c r="A1439" s="267">
        <v>6060</v>
      </c>
      <c r="B1439" s="291" t="s">
        <v>515</v>
      </c>
      <c r="C1439" s="193">
        <v>7000</v>
      </c>
      <c r="D1439" s="104">
        <f t="shared" si="174"/>
        <v>7000</v>
      </c>
      <c r="E1439" s="129">
        <f t="shared" si="180"/>
        <v>0</v>
      </c>
      <c r="F1439" s="105">
        <f t="shared" si="179"/>
        <v>0</v>
      </c>
      <c r="G1439" s="129"/>
      <c r="H1439" s="193"/>
      <c r="I1439" s="194"/>
      <c r="J1439" s="193"/>
      <c r="K1439" s="129"/>
      <c r="L1439" s="110"/>
      <c r="M1439" s="193">
        <v>7000</v>
      </c>
      <c r="N1439" s="129"/>
      <c r="O1439" s="256">
        <f t="shared" si="177"/>
        <v>0</v>
      </c>
      <c r="P1439" s="129"/>
      <c r="Q1439" s="129"/>
      <c r="R1439" s="200"/>
    </row>
    <row r="1440" spans="1:18" s="185" customFormat="1" ht="24">
      <c r="A1440" s="186">
        <v>85410</v>
      </c>
      <c r="B1440" s="422" t="s">
        <v>812</v>
      </c>
      <c r="C1440" s="188">
        <f>SUM(C1441:C1462)</f>
        <v>2446800</v>
      </c>
      <c r="D1440" s="137">
        <f t="shared" si="174"/>
        <v>2445085</v>
      </c>
      <c r="E1440" s="119">
        <f>H1440+K1440+Q1440+N1440</f>
        <v>643776</v>
      </c>
      <c r="F1440" s="120">
        <f t="shared" si="179"/>
        <v>26.329391411750514</v>
      </c>
      <c r="G1440" s="345"/>
      <c r="H1440" s="346"/>
      <c r="I1440" s="190"/>
      <c r="J1440" s="346"/>
      <c r="K1440" s="345"/>
      <c r="L1440" s="347"/>
      <c r="M1440" s="119">
        <f>SUM(M1441:M1463)</f>
        <v>2445085</v>
      </c>
      <c r="N1440" s="119">
        <f>SUM(N1441:N1463)</f>
        <v>643776</v>
      </c>
      <c r="O1440" s="214">
        <f t="shared" si="177"/>
        <v>26.329391411750514</v>
      </c>
      <c r="P1440" s="119"/>
      <c r="Q1440" s="119"/>
      <c r="R1440" s="283"/>
    </row>
    <row r="1441" spans="1:18" s="185" customFormat="1" ht="36">
      <c r="A1441" s="172">
        <v>3020</v>
      </c>
      <c r="B1441" s="423" t="s">
        <v>677</v>
      </c>
      <c r="C1441" s="132">
        <v>8000</v>
      </c>
      <c r="D1441" s="149">
        <f t="shared" si="174"/>
        <v>8000</v>
      </c>
      <c r="E1441" s="150">
        <f aca="true" t="shared" si="181" ref="E1441:E1484">SUM(H1441+K1441+N1441+Q1441)</f>
        <v>1288</v>
      </c>
      <c r="F1441" s="130">
        <f t="shared" si="179"/>
        <v>16.1</v>
      </c>
      <c r="G1441" s="150"/>
      <c r="H1441" s="223"/>
      <c r="I1441" s="225"/>
      <c r="J1441" s="223"/>
      <c r="K1441" s="150"/>
      <c r="L1441" s="154"/>
      <c r="M1441" s="132">
        <v>8000</v>
      </c>
      <c r="N1441" s="150">
        <v>1288</v>
      </c>
      <c r="O1441" s="222">
        <f t="shared" si="177"/>
        <v>16.1</v>
      </c>
      <c r="P1441" s="150"/>
      <c r="Q1441" s="150"/>
      <c r="R1441" s="226"/>
    </row>
    <row r="1442" spans="1:18" s="185" customFormat="1" ht="24">
      <c r="A1442" s="191">
        <v>4010</v>
      </c>
      <c r="B1442" s="423" t="s">
        <v>346</v>
      </c>
      <c r="C1442" s="128">
        <v>1320000</v>
      </c>
      <c r="D1442" s="104">
        <f aca="true" t="shared" si="182" ref="D1442:D1505">G1442+J1442+P1442+M1442</f>
        <v>1320000</v>
      </c>
      <c r="E1442" s="129">
        <f t="shared" si="181"/>
        <v>307496</v>
      </c>
      <c r="F1442" s="105">
        <f t="shared" si="179"/>
        <v>23.295151515151517</v>
      </c>
      <c r="G1442" s="129"/>
      <c r="H1442" s="193"/>
      <c r="I1442" s="194"/>
      <c r="J1442" s="193"/>
      <c r="K1442" s="129"/>
      <c r="L1442" s="110"/>
      <c r="M1442" s="128">
        <v>1320000</v>
      </c>
      <c r="N1442" s="129">
        <v>307496</v>
      </c>
      <c r="O1442" s="256">
        <f t="shared" si="177"/>
        <v>23.295151515151517</v>
      </c>
      <c r="P1442" s="129"/>
      <c r="Q1442" s="129"/>
      <c r="R1442" s="200"/>
    </row>
    <row r="1443" spans="1:18" s="185" customFormat="1" ht="24">
      <c r="A1443" s="191">
        <v>4040</v>
      </c>
      <c r="B1443" s="423" t="s">
        <v>350</v>
      </c>
      <c r="C1443" s="128">
        <v>109500</v>
      </c>
      <c r="D1443" s="104">
        <f t="shared" si="182"/>
        <v>104655</v>
      </c>
      <c r="E1443" s="129">
        <f t="shared" si="181"/>
        <v>72107</v>
      </c>
      <c r="F1443" s="105">
        <f t="shared" si="179"/>
        <v>68.89971812144667</v>
      </c>
      <c r="G1443" s="129"/>
      <c r="H1443" s="193"/>
      <c r="I1443" s="194"/>
      <c r="J1443" s="193"/>
      <c r="K1443" s="129"/>
      <c r="L1443" s="110"/>
      <c r="M1443" s="128">
        <f>109500-4845</f>
        <v>104655</v>
      </c>
      <c r="N1443" s="129">
        <v>72107</v>
      </c>
      <c r="O1443" s="256">
        <f t="shared" si="177"/>
        <v>68.89971812144667</v>
      </c>
      <c r="P1443" s="129"/>
      <c r="Q1443" s="129"/>
      <c r="R1443" s="200"/>
    </row>
    <row r="1444" spans="1:18" s="185" customFormat="1" ht="24">
      <c r="A1444" s="191">
        <v>4110</v>
      </c>
      <c r="B1444" s="423" t="s">
        <v>352</v>
      </c>
      <c r="C1444" s="128">
        <v>216000</v>
      </c>
      <c r="D1444" s="104">
        <f t="shared" si="182"/>
        <v>216000</v>
      </c>
      <c r="E1444" s="129">
        <f t="shared" si="181"/>
        <v>43692</v>
      </c>
      <c r="F1444" s="105">
        <f t="shared" si="179"/>
        <v>20.227777777777778</v>
      </c>
      <c r="G1444" s="129"/>
      <c r="H1444" s="193"/>
      <c r="I1444" s="194"/>
      <c r="J1444" s="193"/>
      <c r="K1444" s="129"/>
      <c r="L1444" s="110"/>
      <c r="M1444" s="128">
        <v>216000</v>
      </c>
      <c r="N1444" s="129">
        <v>43692</v>
      </c>
      <c r="O1444" s="256">
        <f t="shared" si="177"/>
        <v>20.227777777777778</v>
      </c>
      <c r="P1444" s="129"/>
      <c r="Q1444" s="129"/>
      <c r="R1444" s="200"/>
    </row>
    <row r="1445" spans="1:18" s="185" customFormat="1" ht="12.75">
      <c r="A1445" s="191">
        <v>4120</v>
      </c>
      <c r="B1445" s="423" t="s">
        <v>504</v>
      </c>
      <c r="C1445" s="128">
        <v>34600</v>
      </c>
      <c r="D1445" s="104">
        <f t="shared" si="182"/>
        <v>34600</v>
      </c>
      <c r="E1445" s="129">
        <f t="shared" si="181"/>
        <v>6151</v>
      </c>
      <c r="F1445" s="105">
        <f t="shared" si="179"/>
        <v>17.777456647398843</v>
      </c>
      <c r="G1445" s="129"/>
      <c r="H1445" s="193"/>
      <c r="I1445" s="194"/>
      <c r="J1445" s="193"/>
      <c r="K1445" s="129"/>
      <c r="L1445" s="110"/>
      <c r="M1445" s="128">
        <v>34600</v>
      </c>
      <c r="N1445" s="129">
        <v>6151</v>
      </c>
      <c r="O1445" s="256">
        <f t="shared" si="177"/>
        <v>17.777456647398843</v>
      </c>
      <c r="P1445" s="129"/>
      <c r="Q1445" s="129"/>
      <c r="R1445" s="200"/>
    </row>
    <row r="1446" spans="1:18" s="185" customFormat="1" ht="12.75">
      <c r="A1446" s="191">
        <v>4140</v>
      </c>
      <c r="B1446" s="423" t="s">
        <v>457</v>
      </c>
      <c r="C1446" s="128">
        <v>12300</v>
      </c>
      <c r="D1446" s="104">
        <f t="shared" si="182"/>
        <v>12300</v>
      </c>
      <c r="E1446" s="129">
        <f t="shared" si="181"/>
        <v>2059</v>
      </c>
      <c r="F1446" s="105">
        <f t="shared" si="179"/>
        <v>16.739837398373982</v>
      </c>
      <c r="G1446" s="129"/>
      <c r="H1446" s="193"/>
      <c r="I1446" s="194"/>
      <c r="J1446" s="193"/>
      <c r="K1446" s="129"/>
      <c r="L1446" s="110"/>
      <c r="M1446" s="128">
        <v>12300</v>
      </c>
      <c r="N1446" s="129">
        <v>2059</v>
      </c>
      <c r="O1446" s="256">
        <f t="shared" si="177"/>
        <v>16.739837398373982</v>
      </c>
      <c r="P1446" s="129"/>
      <c r="Q1446" s="129"/>
      <c r="R1446" s="200"/>
    </row>
    <row r="1447" spans="1:18" s="185" customFormat="1" ht="24">
      <c r="A1447" s="191">
        <v>4170</v>
      </c>
      <c r="B1447" s="423" t="s">
        <v>392</v>
      </c>
      <c r="C1447" s="128">
        <v>25000</v>
      </c>
      <c r="D1447" s="104">
        <f t="shared" si="182"/>
        <v>25000</v>
      </c>
      <c r="E1447" s="129">
        <f t="shared" si="181"/>
        <v>3802</v>
      </c>
      <c r="F1447" s="105">
        <f t="shared" si="179"/>
        <v>15.207999999999998</v>
      </c>
      <c r="G1447" s="129"/>
      <c r="H1447" s="193"/>
      <c r="I1447" s="194"/>
      <c r="J1447" s="193"/>
      <c r="K1447" s="129"/>
      <c r="L1447" s="110"/>
      <c r="M1447" s="128">
        <v>25000</v>
      </c>
      <c r="N1447" s="129">
        <v>3802</v>
      </c>
      <c r="O1447" s="256">
        <f t="shared" si="177"/>
        <v>15.207999999999998</v>
      </c>
      <c r="P1447" s="129"/>
      <c r="Q1447" s="129"/>
      <c r="R1447" s="200"/>
    </row>
    <row r="1448" spans="1:18" s="185" customFormat="1" ht="24">
      <c r="A1448" s="191">
        <v>4210</v>
      </c>
      <c r="B1448" s="423" t="s">
        <v>356</v>
      </c>
      <c r="C1448" s="128">
        <v>65000</v>
      </c>
      <c r="D1448" s="104">
        <f t="shared" si="182"/>
        <v>65000</v>
      </c>
      <c r="E1448" s="129">
        <f t="shared" si="181"/>
        <v>6794</v>
      </c>
      <c r="F1448" s="105">
        <f t="shared" si="179"/>
        <v>10.452307692307693</v>
      </c>
      <c r="G1448" s="129"/>
      <c r="H1448" s="193"/>
      <c r="I1448" s="194"/>
      <c r="J1448" s="193"/>
      <c r="K1448" s="129"/>
      <c r="L1448" s="110"/>
      <c r="M1448" s="128">
        <v>65000</v>
      </c>
      <c r="N1448" s="129">
        <v>6794</v>
      </c>
      <c r="O1448" s="256">
        <f t="shared" si="177"/>
        <v>10.452307692307693</v>
      </c>
      <c r="P1448" s="129"/>
      <c r="Q1448" s="129"/>
      <c r="R1448" s="200"/>
    </row>
    <row r="1449" spans="1:18" s="185" customFormat="1" ht="36">
      <c r="A1449" s="191">
        <v>4240</v>
      </c>
      <c r="B1449" s="423" t="s">
        <v>808</v>
      </c>
      <c r="C1449" s="128">
        <v>1000</v>
      </c>
      <c r="D1449" s="104">
        <f t="shared" si="182"/>
        <v>1000</v>
      </c>
      <c r="E1449" s="129">
        <f t="shared" si="181"/>
        <v>0</v>
      </c>
      <c r="F1449" s="105">
        <f>E1449/D1449*100</f>
        <v>0</v>
      </c>
      <c r="G1449" s="129"/>
      <c r="H1449" s="193"/>
      <c r="I1449" s="194"/>
      <c r="J1449" s="193"/>
      <c r="K1449" s="129"/>
      <c r="L1449" s="110"/>
      <c r="M1449" s="128">
        <v>1000</v>
      </c>
      <c r="N1449" s="129"/>
      <c r="O1449" s="256">
        <f t="shared" si="177"/>
        <v>0</v>
      </c>
      <c r="P1449" s="129"/>
      <c r="Q1449" s="129"/>
      <c r="R1449" s="200"/>
    </row>
    <row r="1450" spans="1:18" s="185" customFormat="1" ht="12.75">
      <c r="A1450" s="191">
        <v>4260</v>
      </c>
      <c r="B1450" s="423" t="s">
        <v>360</v>
      </c>
      <c r="C1450" s="128">
        <v>300000</v>
      </c>
      <c r="D1450" s="104">
        <f t="shared" si="182"/>
        <v>300000</v>
      </c>
      <c r="E1450" s="129">
        <f t="shared" si="181"/>
        <v>140142</v>
      </c>
      <c r="F1450" s="105">
        <f t="shared" si="179"/>
        <v>46.714</v>
      </c>
      <c r="G1450" s="129"/>
      <c r="H1450" s="193"/>
      <c r="I1450" s="194"/>
      <c r="J1450" s="193"/>
      <c r="K1450" s="129"/>
      <c r="L1450" s="110"/>
      <c r="M1450" s="128">
        <v>300000</v>
      </c>
      <c r="N1450" s="129">
        <v>140142</v>
      </c>
      <c r="O1450" s="256">
        <f t="shared" si="177"/>
        <v>46.714</v>
      </c>
      <c r="P1450" s="129"/>
      <c r="Q1450" s="129"/>
      <c r="R1450" s="200"/>
    </row>
    <row r="1451" spans="1:18" s="185" customFormat="1" ht="15.75" customHeight="1">
      <c r="A1451" s="191">
        <v>4270</v>
      </c>
      <c r="B1451" s="423" t="s">
        <v>362</v>
      </c>
      <c r="C1451" s="128">
        <v>18000</v>
      </c>
      <c r="D1451" s="104">
        <f t="shared" si="182"/>
        <v>18000</v>
      </c>
      <c r="E1451" s="129">
        <f t="shared" si="181"/>
        <v>4608</v>
      </c>
      <c r="F1451" s="105">
        <f t="shared" si="179"/>
        <v>25.6</v>
      </c>
      <c r="G1451" s="129"/>
      <c r="H1451" s="193"/>
      <c r="I1451" s="194"/>
      <c r="J1451" s="193"/>
      <c r="K1451" s="129"/>
      <c r="L1451" s="110"/>
      <c r="M1451" s="128">
        <v>18000</v>
      </c>
      <c r="N1451" s="129">
        <v>4608</v>
      </c>
      <c r="O1451" s="256">
        <f t="shared" si="177"/>
        <v>25.6</v>
      </c>
      <c r="P1451" s="129"/>
      <c r="Q1451" s="129"/>
      <c r="R1451" s="200"/>
    </row>
    <row r="1452" spans="1:18" s="185" customFormat="1" ht="15.75" customHeight="1">
      <c r="A1452" s="191">
        <v>4280</v>
      </c>
      <c r="B1452" s="423" t="s">
        <v>458</v>
      </c>
      <c r="C1452" s="128">
        <v>2600</v>
      </c>
      <c r="D1452" s="104">
        <f t="shared" si="182"/>
        <v>2600</v>
      </c>
      <c r="E1452" s="129">
        <f t="shared" si="181"/>
        <v>250</v>
      </c>
      <c r="F1452" s="105">
        <f t="shared" si="179"/>
        <v>9.615384615384617</v>
      </c>
      <c r="G1452" s="129"/>
      <c r="H1452" s="193"/>
      <c r="I1452" s="194"/>
      <c r="J1452" s="193"/>
      <c r="K1452" s="129"/>
      <c r="L1452" s="110"/>
      <c r="M1452" s="128">
        <v>2600</v>
      </c>
      <c r="N1452" s="129">
        <v>250</v>
      </c>
      <c r="O1452" s="256">
        <f t="shared" si="177"/>
        <v>9.615384615384617</v>
      </c>
      <c r="P1452" s="129"/>
      <c r="Q1452" s="129"/>
      <c r="R1452" s="200"/>
    </row>
    <row r="1453" spans="1:18" s="185" customFormat="1" ht="12.75" customHeight="1">
      <c r="A1453" s="191">
        <v>4300</v>
      </c>
      <c r="B1453" s="423" t="s">
        <v>364</v>
      </c>
      <c r="C1453" s="128">
        <v>99000</v>
      </c>
      <c r="D1453" s="104">
        <f t="shared" si="182"/>
        <v>99000</v>
      </c>
      <c r="E1453" s="129">
        <f t="shared" si="181"/>
        <v>24601</v>
      </c>
      <c r="F1453" s="105">
        <f t="shared" si="179"/>
        <v>24.84949494949495</v>
      </c>
      <c r="G1453" s="129"/>
      <c r="H1453" s="193"/>
      <c r="I1453" s="194"/>
      <c r="J1453" s="193"/>
      <c r="K1453" s="129"/>
      <c r="L1453" s="110"/>
      <c r="M1453" s="128">
        <v>99000</v>
      </c>
      <c r="N1453" s="129">
        <v>24601</v>
      </c>
      <c r="O1453" s="256">
        <f t="shared" si="177"/>
        <v>24.84949494949495</v>
      </c>
      <c r="P1453" s="129"/>
      <c r="Q1453" s="129"/>
      <c r="R1453" s="200"/>
    </row>
    <row r="1454" spans="1:18" s="185" customFormat="1" ht="24">
      <c r="A1454" s="191">
        <v>4350</v>
      </c>
      <c r="B1454" s="423" t="s">
        <v>460</v>
      </c>
      <c r="C1454" s="128">
        <v>5000</v>
      </c>
      <c r="D1454" s="104">
        <f t="shared" si="182"/>
        <v>5000</v>
      </c>
      <c r="E1454" s="129">
        <f t="shared" si="181"/>
        <v>554</v>
      </c>
      <c r="F1454" s="105">
        <f t="shared" si="179"/>
        <v>11.08</v>
      </c>
      <c r="G1454" s="129"/>
      <c r="H1454" s="193"/>
      <c r="I1454" s="194"/>
      <c r="J1454" s="193"/>
      <c r="K1454" s="129"/>
      <c r="L1454" s="110"/>
      <c r="M1454" s="128">
        <v>5000</v>
      </c>
      <c r="N1454" s="129">
        <v>554</v>
      </c>
      <c r="O1454" s="256">
        <f t="shared" si="177"/>
        <v>11.08</v>
      </c>
      <c r="P1454" s="129"/>
      <c r="Q1454" s="129"/>
      <c r="R1454" s="200"/>
    </row>
    <row r="1455" spans="1:18" s="185" customFormat="1" ht="48">
      <c r="A1455" s="267">
        <v>4370</v>
      </c>
      <c r="B1455" s="291" t="s">
        <v>577</v>
      </c>
      <c r="C1455" s="128">
        <v>10000</v>
      </c>
      <c r="D1455" s="104">
        <f t="shared" si="182"/>
        <v>10000</v>
      </c>
      <c r="E1455" s="129">
        <f>SUM(H1455+K1455+N1455+Q1455)</f>
        <v>2751</v>
      </c>
      <c r="F1455" s="105">
        <f>E1455/D1455*100</f>
        <v>27.51</v>
      </c>
      <c r="G1455" s="129"/>
      <c r="H1455" s="193"/>
      <c r="I1455" s="194"/>
      <c r="J1455" s="193"/>
      <c r="K1455" s="129"/>
      <c r="L1455" s="110"/>
      <c r="M1455" s="128">
        <v>10000</v>
      </c>
      <c r="N1455" s="129">
        <v>2751</v>
      </c>
      <c r="O1455" s="256">
        <f t="shared" si="177"/>
        <v>27.51</v>
      </c>
      <c r="P1455" s="129"/>
      <c r="Q1455" s="129"/>
      <c r="R1455" s="200"/>
    </row>
    <row r="1456" spans="1:18" s="185" customFormat="1" ht="36">
      <c r="A1456" s="191">
        <v>4390</v>
      </c>
      <c r="B1456" s="305" t="s">
        <v>393</v>
      </c>
      <c r="C1456" s="128">
        <v>3000</v>
      </c>
      <c r="D1456" s="104">
        <f t="shared" si="182"/>
        <v>3000</v>
      </c>
      <c r="E1456" s="129">
        <f>SUM(H1456+K1456+N1456+Q1456)</f>
        <v>99</v>
      </c>
      <c r="F1456" s="105">
        <f>E1456/D1456*100</f>
        <v>3.3000000000000003</v>
      </c>
      <c r="G1456" s="129"/>
      <c r="H1456" s="193"/>
      <c r="I1456" s="194"/>
      <c r="J1456" s="193"/>
      <c r="K1456" s="129"/>
      <c r="L1456" s="110"/>
      <c r="M1456" s="128">
        <v>3000</v>
      </c>
      <c r="N1456" s="129">
        <v>99</v>
      </c>
      <c r="O1456" s="256">
        <f t="shared" si="177"/>
        <v>3.3000000000000003</v>
      </c>
      <c r="P1456" s="129"/>
      <c r="Q1456" s="129"/>
      <c r="R1456" s="200"/>
    </row>
    <row r="1457" spans="1:18" s="185" customFormat="1" ht="16.5" customHeight="1">
      <c r="A1457" s="191">
        <v>4410</v>
      </c>
      <c r="B1457" s="423" t="s">
        <v>338</v>
      </c>
      <c r="C1457" s="128">
        <v>3500</v>
      </c>
      <c r="D1457" s="104">
        <f t="shared" si="182"/>
        <v>3500</v>
      </c>
      <c r="E1457" s="129">
        <f t="shared" si="181"/>
        <v>677</v>
      </c>
      <c r="F1457" s="105">
        <f t="shared" si="179"/>
        <v>19.34285714285714</v>
      </c>
      <c r="G1457" s="129"/>
      <c r="H1457" s="193"/>
      <c r="I1457" s="194"/>
      <c r="J1457" s="193"/>
      <c r="K1457" s="129"/>
      <c r="L1457" s="110"/>
      <c r="M1457" s="128">
        <v>3500</v>
      </c>
      <c r="N1457" s="129">
        <v>677</v>
      </c>
      <c r="O1457" s="256">
        <f t="shared" si="177"/>
        <v>19.34285714285714</v>
      </c>
      <c r="P1457" s="129"/>
      <c r="Q1457" s="129"/>
      <c r="R1457" s="200"/>
    </row>
    <row r="1458" spans="1:18" s="185" customFormat="1" ht="12.75">
      <c r="A1458" s="191">
        <v>4440</v>
      </c>
      <c r="B1458" s="423" t="s">
        <v>368</v>
      </c>
      <c r="C1458" s="128">
        <v>72100</v>
      </c>
      <c r="D1458" s="104">
        <f t="shared" si="182"/>
        <v>75230</v>
      </c>
      <c r="E1458" s="129">
        <f>SUM(H1458+K1458+N1458+Q1458)</f>
        <v>25478</v>
      </c>
      <c r="F1458" s="105">
        <f>E1458/D1458*100</f>
        <v>33.866808454074175</v>
      </c>
      <c r="G1458" s="129"/>
      <c r="H1458" s="193"/>
      <c r="I1458" s="194"/>
      <c r="J1458" s="193"/>
      <c r="K1458" s="129"/>
      <c r="L1458" s="110"/>
      <c r="M1458" s="128">
        <f>72100+3130</f>
        <v>75230</v>
      </c>
      <c r="N1458" s="129">
        <v>25478</v>
      </c>
      <c r="O1458" s="256">
        <f t="shared" si="177"/>
        <v>33.866808454074175</v>
      </c>
      <c r="P1458" s="129"/>
      <c r="Q1458" s="129"/>
      <c r="R1458" s="200"/>
    </row>
    <row r="1459" spans="1:18" s="185" customFormat="1" ht="36">
      <c r="A1459" s="267">
        <v>4700</v>
      </c>
      <c r="B1459" s="291" t="s">
        <v>466</v>
      </c>
      <c r="C1459" s="128">
        <v>4000</v>
      </c>
      <c r="D1459" s="104">
        <f t="shared" si="182"/>
        <v>4000</v>
      </c>
      <c r="E1459" s="129">
        <f>SUM(H1459+K1459+N1459+Q1459)</f>
        <v>676</v>
      </c>
      <c r="F1459" s="105">
        <f>E1459/D1459*100</f>
        <v>16.900000000000002</v>
      </c>
      <c r="G1459" s="129"/>
      <c r="H1459" s="193"/>
      <c r="I1459" s="194"/>
      <c r="J1459" s="193"/>
      <c r="K1459" s="129"/>
      <c r="L1459" s="110"/>
      <c r="M1459" s="128">
        <v>4000</v>
      </c>
      <c r="N1459" s="129">
        <v>676</v>
      </c>
      <c r="O1459" s="256">
        <f t="shared" si="177"/>
        <v>16.900000000000002</v>
      </c>
      <c r="P1459" s="129"/>
      <c r="Q1459" s="129"/>
      <c r="R1459" s="200"/>
    </row>
    <row r="1460" spans="1:18" s="185" customFormat="1" ht="60">
      <c r="A1460" s="267">
        <v>4740</v>
      </c>
      <c r="B1460" s="291" t="s">
        <v>380</v>
      </c>
      <c r="C1460" s="128">
        <v>2200</v>
      </c>
      <c r="D1460" s="104">
        <f t="shared" si="182"/>
        <v>2200</v>
      </c>
      <c r="E1460" s="129">
        <f>SUM(H1460+K1460+N1460+Q1460)</f>
        <v>22</v>
      </c>
      <c r="F1460" s="105">
        <f>E1460/D1460*100</f>
        <v>1</v>
      </c>
      <c r="G1460" s="129"/>
      <c r="H1460" s="193"/>
      <c r="I1460" s="194"/>
      <c r="J1460" s="193"/>
      <c r="K1460" s="129"/>
      <c r="L1460" s="110"/>
      <c r="M1460" s="128">
        <v>2200</v>
      </c>
      <c r="N1460" s="129">
        <v>22</v>
      </c>
      <c r="O1460" s="256">
        <f t="shared" si="177"/>
        <v>1</v>
      </c>
      <c r="P1460" s="129"/>
      <c r="Q1460" s="129"/>
      <c r="R1460" s="200"/>
    </row>
    <row r="1461" spans="1:18" s="185" customFormat="1" ht="36">
      <c r="A1461" s="267">
        <v>4750</v>
      </c>
      <c r="B1461" s="291" t="s">
        <v>467</v>
      </c>
      <c r="C1461" s="128">
        <v>7500</v>
      </c>
      <c r="D1461" s="104">
        <f t="shared" si="182"/>
        <v>7500</v>
      </c>
      <c r="E1461" s="129">
        <f>SUM(H1461+K1461+N1461+Q1461)</f>
        <v>529</v>
      </c>
      <c r="F1461" s="105">
        <f>E1461/D1461*100</f>
        <v>7.053333333333334</v>
      </c>
      <c r="G1461" s="129"/>
      <c r="H1461" s="193"/>
      <c r="I1461" s="194"/>
      <c r="J1461" s="193"/>
      <c r="K1461" s="129"/>
      <c r="L1461" s="110"/>
      <c r="M1461" s="128">
        <v>7500</v>
      </c>
      <c r="N1461" s="129">
        <v>529</v>
      </c>
      <c r="O1461" s="256">
        <f t="shared" si="177"/>
        <v>7.053333333333334</v>
      </c>
      <c r="P1461" s="129"/>
      <c r="Q1461" s="129"/>
      <c r="R1461" s="200"/>
    </row>
    <row r="1462" spans="1:18" s="185" customFormat="1" ht="24">
      <c r="A1462" s="191">
        <v>6050</v>
      </c>
      <c r="B1462" s="423" t="s">
        <v>396</v>
      </c>
      <c r="C1462" s="128">
        <v>128500</v>
      </c>
      <c r="D1462" s="104">
        <f t="shared" si="182"/>
        <v>128500</v>
      </c>
      <c r="E1462" s="129">
        <f t="shared" si="181"/>
        <v>0</v>
      </c>
      <c r="F1462" s="105">
        <f t="shared" si="179"/>
        <v>0</v>
      </c>
      <c r="G1462" s="129"/>
      <c r="H1462" s="193"/>
      <c r="I1462" s="194"/>
      <c r="J1462" s="193"/>
      <c r="K1462" s="129"/>
      <c r="L1462" s="110"/>
      <c r="M1462" s="128">
        <v>128500</v>
      </c>
      <c r="N1462" s="129"/>
      <c r="O1462" s="256">
        <f t="shared" si="177"/>
        <v>0</v>
      </c>
      <c r="P1462" s="129"/>
      <c r="Q1462" s="129"/>
      <c r="R1462" s="200"/>
    </row>
    <row r="1463" spans="1:18" s="185" customFormat="1" ht="24" hidden="1">
      <c r="A1463" s="227">
        <v>4480</v>
      </c>
      <c r="B1463" s="445" t="s">
        <v>370</v>
      </c>
      <c r="C1463" s="128"/>
      <c r="D1463" s="104">
        <f t="shared" si="182"/>
        <v>0</v>
      </c>
      <c r="E1463" s="129">
        <f t="shared" si="181"/>
        <v>0</v>
      </c>
      <c r="F1463" s="105"/>
      <c r="G1463" s="236"/>
      <c r="H1463" s="233"/>
      <c r="I1463" s="237"/>
      <c r="J1463" s="233"/>
      <c r="K1463" s="236"/>
      <c r="L1463" s="319"/>
      <c r="M1463" s="128">
        <f>1296-1296</f>
        <v>0</v>
      </c>
      <c r="N1463" s="129"/>
      <c r="O1463" s="108"/>
      <c r="P1463" s="236"/>
      <c r="Q1463" s="236"/>
      <c r="R1463" s="238"/>
    </row>
    <row r="1464" spans="1:18" s="221" customFormat="1" ht="26.25" customHeight="1" hidden="1">
      <c r="A1464" s="239">
        <v>85415</v>
      </c>
      <c r="B1464" s="472" t="s">
        <v>813</v>
      </c>
      <c r="C1464" s="136"/>
      <c r="D1464" s="137">
        <f t="shared" si="182"/>
        <v>0</v>
      </c>
      <c r="E1464" s="129">
        <f t="shared" si="181"/>
        <v>0</v>
      </c>
      <c r="F1464" s="138" t="e">
        <f aca="true" t="shared" si="183" ref="F1464:F1512">E1464/D1464*100</f>
        <v>#DIV/0!</v>
      </c>
      <c r="G1464" s="137">
        <f>SUM(G1465)</f>
        <v>0</v>
      </c>
      <c r="H1464" s="137">
        <f>SUM(H1465)</f>
        <v>0</v>
      </c>
      <c r="I1464" s="127" t="e">
        <f aca="true" t="shared" si="184" ref="I1464:I1527">H1464/G1464*100</f>
        <v>#DIV/0!</v>
      </c>
      <c r="J1464" s="140"/>
      <c r="K1464" s="137"/>
      <c r="L1464" s="125"/>
      <c r="M1464" s="137">
        <f>SUM(M1465)</f>
        <v>0</v>
      </c>
      <c r="N1464" s="137">
        <f>SUM(N1465)</f>
        <v>0</v>
      </c>
      <c r="O1464" s="243" t="e">
        <f aca="true" t="shared" si="185" ref="O1464:O1484">N1464/M1464*100</f>
        <v>#DIV/0!</v>
      </c>
      <c r="P1464" s="137"/>
      <c r="Q1464" s="137"/>
      <c r="R1464" s="266"/>
    </row>
    <row r="1465" spans="1:18" s="185" customFormat="1" ht="36" hidden="1">
      <c r="A1465" s="191">
        <v>3240</v>
      </c>
      <c r="B1465" s="423" t="s">
        <v>814</v>
      </c>
      <c r="C1465" s="128"/>
      <c r="D1465" s="104">
        <f t="shared" si="182"/>
        <v>0</v>
      </c>
      <c r="E1465" s="129">
        <f t="shared" si="181"/>
        <v>0</v>
      </c>
      <c r="F1465" s="163" t="e">
        <f t="shared" si="183"/>
        <v>#DIV/0!</v>
      </c>
      <c r="G1465" s="129">
        <v>0</v>
      </c>
      <c r="H1465" s="109">
        <v>0</v>
      </c>
      <c r="I1465" s="108" t="e">
        <f t="shared" si="184"/>
        <v>#DIV/0!</v>
      </c>
      <c r="J1465" s="193"/>
      <c r="K1465" s="129"/>
      <c r="L1465" s="110"/>
      <c r="M1465" s="129">
        <v>0</v>
      </c>
      <c r="N1465" s="129">
        <v>0</v>
      </c>
      <c r="O1465" s="217" t="e">
        <f t="shared" si="185"/>
        <v>#DIV/0!</v>
      </c>
      <c r="P1465" s="129"/>
      <c r="Q1465" s="129"/>
      <c r="R1465" s="200"/>
    </row>
    <row r="1466" spans="1:18" s="185" customFormat="1" ht="24">
      <c r="A1466" s="239">
        <v>85415</v>
      </c>
      <c r="B1466" s="472" t="s">
        <v>813</v>
      </c>
      <c r="C1466" s="136">
        <f>SUM(C1469:C1476)</f>
        <v>44100</v>
      </c>
      <c r="D1466" s="137">
        <f t="shared" si="182"/>
        <v>44100</v>
      </c>
      <c r="E1466" s="137">
        <f t="shared" si="181"/>
        <v>0</v>
      </c>
      <c r="F1466" s="138">
        <f t="shared" si="183"/>
        <v>0</v>
      </c>
      <c r="G1466" s="137">
        <f>SUM(G1469:G1472)</f>
        <v>20000</v>
      </c>
      <c r="H1466" s="137">
        <f>SUM(H1469:H1472)</f>
        <v>0</v>
      </c>
      <c r="I1466" s="127">
        <f t="shared" si="184"/>
        <v>0</v>
      </c>
      <c r="J1466" s="140"/>
      <c r="K1466" s="137"/>
      <c r="L1466" s="125"/>
      <c r="M1466" s="137">
        <f>SUM(M1467:M1472)+M1476</f>
        <v>24100</v>
      </c>
      <c r="N1466" s="137">
        <f>SUM(N1467:N1472)+N1476</f>
        <v>0</v>
      </c>
      <c r="O1466" s="214">
        <f t="shared" si="185"/>
        <v>0</v>
      </c>
      <c r="P1466" s="137"/>
      <c r="Q1466" s="137"/>
      <c r="R1466" s="266"/>
    </row>
    <row r="1467" spans="1:18" s="269" customFormat="1" ht="72" hidden="1">
      <c r="A1467" s="267">
        <v>2910</v>
      </c>
      <c r="B1467" s="458" t="s">
        <v>775</v>
      </c>
      <c r="C1467" s="160"/>
      <c r="D1467" s="104">
        <f t="shared" si="182"/>
        <v>0</v>
      </c>
      <c r="E1467" s="129">
        <f>SUM(H1467+K1467+N1467+Q1467)</f>
        <v>0</v>
      </c>
      <c r="F1467" s="105"/>
      <c r="G1467" s="104"/>
      <c r="H1467" s="109"/>
      <c r="I1467" s="108"/>
      <c r="J1467" s="109"/>
      <c r="K1467" s="104"/>
      <c r="L1467" s="110"/>
      <c r="M1467" s="104"/>
      <c r="N1467" s="104"/>
      <c r="O1467" s="256" t="e">
        <f t="shared" si="185"/>
        <v>#DIV/0!</v>
      </c>
      <c r="P1467" s="104"/>
      <c r="Q1467" s="104"/>
      <c r="R1467" s="200"/>
    </row>
    <row r="1468" spans="1:18" s="269" customFormat="1" ht="72" hidden="1">
      <c r="A1468" s="267">
        <v>4560</v>
      </c>
      <c r="B1468" s="458" t="s">
        <v>815</v>
      </c>
      <c r="C1468" s="160"/>
      <c r="D1468" s="104">
        <f t="shared" si="182"/>
        <v>0</v>
      </c>
      <c r="E1468" s="129">
        <f>SUM(H1468+K1468+N1468+Q1468)</f>
        <v>0</v>
      </c>
      <c r="F1468" s="105"/>
      <c r="G1468" s="104"/>
      <c r="H1468" s="109"/>
      <c r="I1468" s="108"/>
      <c r="J1468" s="109"/>
      <c r="K1468" s="104"/>
      <c r="L1468" s="110"/>
      <c r="M1468" s="104"/>
      <c r="N1468" s="104"/>
      <c r="O1468" s="256" t="e">
        <f t="shared" si="185"/>
        <v>#DIV/0!</v>
      </c>
      <c r="P1468" s="104"/>
      <c r="Q1468" s="104"/>
      <c r="R1468" s="200"/>
    </row>
    <row r="1469" spans="1:18" s="185" customFormat="1" ht="12.75">
      <c r="A1469" s="191">
        <v>3240</v>
      </c>
      <c r="B1469" s="423" t="s">
        <v>816</v>
      </c>
      <c r="C1469" s="128">
        <v>44100</v>
      </c>
      <c r="D1469" s="104">
        <f t="shared" si="182"/>
        <v>44100</v>
      </c>
      <c r="E1469" s="129">
        <f t="shared" si="181"/>
        <v>0</v>
      </c>
      <c r="F1469" s="105">
        <f t="shared" si="183"/>
        <v>0</v>
      </c>
      <c r="G1469" s="129">
        <v>20000</v>
      </c>
      <c r="H1469" s="109"/>
      <c r="I1469" s="256">
        <f t="shared" si="184"/>
        <v>0</v>
      </c>
      <c r="J1469" s="193"/>
      <c r="K1469" s="129"/>
      <c r="L1469" s="110"/>
      <c r="M1469" s="129">
        <v>24100</v>
      </c>
      <c r="N1469" s="129"/>
      <c r="O1469" s="256">
        <f t="shared" si="185"/>
        <v>0</v>
      </c>
      <c r="P1469" s="129"/>
      <c r="Q1469" s="129"/>
      <c r="R1469" s="200"/>
    </row>
    <row r="1470" spans="1:18" s="185" customFormat="1" ht="24" hidden="1">
      <c r="A1470" s="191">
        <v>4210</v>
      </c>
      <c r="B1470" s="423" t="s">
        <v>356</v>
      </c>
      <c r="C1470" s="128"/>
      <c r="D1470" s="104">
        <f t="shared" si="182"/>
        <v>0</v>
      </c>
      <c r="E1470" s="129">
        <f t="shared" si="181"/>
        <v>0</v>
      </c>
      <c r="F1470" s="105" t="e">
        <f t="shared" si="183"/>
        <v>#DIV/0!</v>
      </c>
      <c r="G1470" s="129"/>
      <c r="H1470" s="109"/>
      <c r="I1470" s="256" t="e">
        <f t="shared" si="184"/>
        <v>#DIV/0!</v>
      </c>
      <c r="J1470" s="193"/>
      <c r="K1470" s="129"/>
      <c r="L1470" s="110"/>
      <c r="M1470" s="129"/>
      <c r="N1470" s="129"/>
      <c r="O1470" s="108"/>
      <c r="P1470" s="129"/>
      <c r="Q1470" s="129"/>
      <c r="R1470" s="200"/>
    </row>
    <row r="1471" spans="1:18" s="185" customFormat="1" ht="36" hidden="1">
      <c r="A1471" s="191">
        <v>4240</v>
      </c>
      <c r="B1471" s="423" t="s">
        <v>808</v>
      </c>
      <c r="C1471" s="128"/>
      <c r="D1471" s="104">
        <f t="shared" si="182"/>
        <v>0</v>
      </c>
      <c r="E1471" s="129">
        <f t="shared" si="181"/>
        <v>0</v>
      </c>
      <c r="F1471" s="105" t="e">
        <f t="shared" si="183"/>
        <v>#DIV/0!</v>
      </c>
      <c r="G1471" s="129"/>
      <c r="H1471" s="109"/>
      <c r="I1471" s="256" t="e">
        <f t="shared" si="184"/>
        <v>#DIV/0!</v>
      </c>
      <c r="J1471" s="193"/>
      <c r="K1471" s="129"/>
      <c r="L1471" s="110"/>
      <c r="M1471" s="129"/>
      <c r="N1471" s="129"/>
      <c r="O1471" s="108"/>
      <c r="P1471" s="129"/>
      <c r="Q1471" s="129"/>
      <c r="R1471" s="200"/>
    </row>
    <row r="1472" spans="1:18" s="221" customFormat="1" ht="24" hidden="1">
      <c r="A1472" s="209"/>
      <c r="B1472" s="498" t="s">
        <v>817</v>
      </c>
      <c r="C1472" s="211"/>
      <c r="D1472" s="213">
        <f t="shared" si="182"/>
        <v>0</v>
      </c>
      <c r="E1472" s="213">
        <f t="shared" si="181"/>
        <v>0</v>
      </c>
      <c r="F1472" s="163" t="e">
        <f t="shared" si="183"/>
        <v>#DIV/0!</v>
      </c>
      <c r="G1472" s="213">
        <f>SUM(G1473:G1475)</f>
        <v>0</v>
      </c>
      <c r="H1472" s="215">
        <f>SUM(H1473:H1475)</f>
        <v>0</v>
      </c>
      <c r="I1472" s="256" t="e">
        <f t="shared" si="184"/>
        <v>#DIV/0!</v>
      </c>
      <c r="J1472" s="215"/>
      <c r="K1472" s="213"/>
      <c r="L1472" s="289"/>
      <c r="M1472" s="213">
        <f>SUM(M1473:M1475)</f>
        <v>0</v>
      </c>
      <c r="N1472" s="213">
        <f>SUM(N1473:N1475)</f>
        <v>0</v>
      </c>
      <c r="O1472" s="256" t="e">
        <f t="shared" si="185"/>
        <v>#DIV/0!</v>
      </c>
      <c r="P1472" s="213"/>
      <c r="Q1472" s="213"/>
      <c r="R1472" s="220"/>
    </row>
    <row r="1473" spans="1:18" s="185" customFormat="1" ht="24" hidden="1">
      <c r="A1473" s="191">
        <v>4010</v>
      </c>
      <c r="B1473" s="259" t="s">
        <v>346</v>
      </c>
      <c r="C1473" s="128"/>
      <c r="D1473" s="104">
        <f t="shared" si="182"/>
        <v>0</v>
      </c>
      <c r="E1473" s="129">
        <f t="shared" si="181"/>
        <v>0</v>
      </c>
      <c r="F1473" s="105" t="e">
        <f t="shared" si="183"/>
        <v>#DIV/0!</v>
      </c>
      <c r="G1473" s="129"/>
      <c r="H1473" s="109"/>
      <c r="I1473" s="256" t="e">
        <f t="shared" si="184"/>
        <v>#DIV/0!</v>
      </c>
      <c r="J1473" s="193"/>
      <c r="K1473" s="129"/>
      <c r="L1473" s="110"/>
      <c r="M1473" s="129"/>
      <c r="N1473" s="129"/>
      <c r="O1473" s="256" t="e">
        <f t="shared" si="185"/>
        <v>#DIV/0!</v>
      </c>
      <c r="P1473" s="129"/>
      <c r="Q1473" s="129"/>
      <c r="R1473" s="200"/>
    </row>
    <row r="1474" spans="1:18" s="185" customFormat="1" ht="24" hidden="1">
      <c r="A1474" s="191">
        <v>4110</v>
      </c>
      <c r="B1474" s="423" t="s">
        <v>352</v>
      </c>
      <c r="C1474" s="128"/>
      <c r="D1474" s="104">
        <f t="shared" si="182"/>
        <v>0</v>
      </c>
      <c r="E1474" s="129">
        <f t="shared" si="181"/>
        <v>0</v>
      </c>
      <c r="F1474" s="105" t="e">
        <f t="shared" si="183"/>
        <v>#DIV/0!</v>
      </c>
      <c r="G1474" s="129"/>
      <c r="H1474" s="109"/>
      <c r="I1474" s="256" t="e">
        <f t="shared" si="184"/>
        <v>#DIV/0!</v>
      </c>
      <c r="J1474" s="193"/>
      <c r="K1474" s="129"/>
      <c r="L1474" s="110"/>
      <c r="M1474" s="129"/>
      <c r="N1474" s="129"/>
      <c r="O1474" s="256" t="e">
        <f t="shared" si="185"/>
        <v>#DIV/0!</v>
      </c>
      <c r="P1474" s="129"/>
      <c r="Q1474" s="129"/>
      <c r="R1474" s="200"/>
    </row>
    <row r="1475" spans="1:18" s="185" customFormat="1" ht="12.75" hidden="1">
      <c r="A1475" s="191">
        <v>4120</v>
      </c>
      <c r="B1475" s="423" t="s">
        <v>504</v>
      </c>
      <c r="C1475" s="128"/>
      <c r="D1475" s="104">
        <f t="shared" si="182"/>
        <v>0</v>
      </c>
      <c r="E1475" s="129">
        <f t="shared" si="181"/>
        <v>0</v>
      </c>
      <c r="F1475" s="105" t="e">
        <f t="shared" si="183"/>
        <v>#DIV/0!</v>
      </c>
      <c r="G1475" s="129"/>
      <c r="H1475" s="109"/>
      <c r="I1475" s="256" t="e">
        <f t="shared" si="184"/>
        <v>#DIV/0!</v>
      </c>
      <c r="J1475" s="193"/>
      <c r="K1475" s="129"/>
      <c r="L1475" s="110"/>
      <c r="M1475" s="129"/>
      <c r="N1475" s="129"/>
      <c r="O1475" s="256" t="e">
        <f t="shared" si="185"/>
        <v>#DIV/0!</v>
      </c>
      <c r="P1475" s="129"/>
      <c r="Q1475" s="129"/>
      <c r="R1475" s="200"/>
    </row>
    <row r="1476" spans="1:18" s="221" customFormat="1" ht="60" hidden="1">
      <c r="A1476" s="209"/>
      <c r="B1476" s="466" t="s">
        <v>818</v>
      </c>
      <c r="C1476" s="211">
        <f>SUM(C1479:C1484)</f>
        <v>0</v>
      </c>
      <c r="D1476" s="213">
        <f t="shared" si="182"/>
        <v>0</v>
      </c>
      <c r="E1476" s="213">
        <f t="shared" si="181"/>
        <v>0</v>
      </c>
      <c r="F1476" s="105" t="e">
        <f t="shared" si="183"/>
        <v>#DIV/0!</v>
      </c>
      <c r="G1476" s="213"/>
      <c r="H1476" s="215"/>
      <c r="I1476" s="256"/>
      <c r="J1476" s="215"/>
      <c r="K1476" s="213"/>
      <c r="L1476" s="289"/>
      <c r="M1476" s="213">
        <f>SUM(M1477:M1484)</f>
        <v>0</v>
      </c>
      <c r="N1476" s="213">
        <f>SUM(N1477:N1484)</f>
        <v>0</v>
      </c>
      <c r="O1476" s="435" t="e">
        <f t="shared" si="185"/>
        <v>#DIV/0!</v>
      </c>
      <c r="P1476" s="213"/>
      <c r="Q1476" s="213"/>
      <c r="R1476" s="220"/>
    </row>
    <row r="1477" spans="1:18" s="269" customFormat="1" ht="24" hidden="1">
      <c r="A1477" s="267">
        <v>3218</v>
      </c>
      <c r="B1477" s="458" t="s">
        <v>732</v>
      </c>
      <c r="C1477" s="160"/>
      <c r="D1477" s="104">
        <f t="shared" si="182"/>
        <v>0</v>
      </c>
      <c r="E1477" s="129">
        <f>SUM(H1477+K1477+N1477+Q1477)</f>
        <v>0</v>
      </c>
      <c r="F1477" s="105" t="e">
        <f>E1477/D1477*100</f>
        <v>#DIV/0!</v>
      </c>
      <c r="G1477" s="104"/>
      <c r="H1477" s="109"/>
      <c r="I1477" s="108"/>
      <c r="J1477" s="109"/>
      <c r="K1477" s="104"/>
      <c r="L1477" s="110"/>
      <c r="M1477" s="109">
        <f>1067-1067</f>
        <v>0</v>
      </c>
      <c r="N1477" s="104"/>
      <c r="O1477" s="256"/>
      <c r="P1477" s="104"/>
      <c r="Q1477" s="104"/>
      <c r="R1477" s="200"/>
    </row>
    <row r="1478" spans="1:18" s="269" customFormat="1" ht="24" hidden="1">
      <c r="A1478" s="267">
        <v>3219</v>
      </c>
      <c r="B1478" s="458" t="s">
        <v>732</v>
      </c>
      <c r="C1478" s="160"/>
      <c r="D1478" s="104">
        <f t="shared" si="182"/>
        <v>0</v>
      </c>
      <c r="E1478" s="129">
        <f>SUM(H1478+K1478+N1478+Q1478)</f>
        <v>0</v>
      </c>
      <c r="F1478" s="105" t="e">
        <f>E1478/D1478*100</f>
        <v>#DIV/0!</v>
      </c>
      <c r="G1478" s="104"/>
      <c r="H1478" s="109"/>
      <c r="I1478" s="108"/>
      <c r="J1478" s="109"/>
      <c r="K1478" s="104"/>
      <c r="L1478" s="110"/>
      <c r="M1478" s="109"/>
      <c r="N1478" s="104"/>
      <c r="O1478" s="256"/>
      <c r="P1478" s="104"/>
      <c r="Q1478" s="104"/>
      <c r="R1478" s="200"/>
    </row>
    <row r="1479" spans="1:18" s="185" customFormat="1" ht="12.75" hidden="1">
      <c r="A1479" s="191">
        <v>3248</v>
      </c>
      <c r="B1479" s="423" t="s">
        <v>816</v>
      </c>
      <c r="C1479" s="128"/>
      <c r="D1479" s="104">
        <f t="shared" si="182"/>
        <v>0</v>
      </c>
      <c r="E1479" s="129">
        <f t="shared" si="181"/>
        <v>0</v>
      </c>
      <c r="F1479" s="105" t="e">
        <f t="shared" si="183"/>
        <v>#DIV/0!</v>
      </c>
      <c r="G1479" s="129"/>
      <c r="H1479" s="109"/>
      <c r="I1479" s="108"/>
      <c r="J1479" s="193"/>
      <c r="K1479" s="129"/>
      <c r="L1479" s="110"/>
      <c r="M1479" s="128"/>
      <c r="N1479" s="129"/>
      <c r="O1479" s="256" t="e">
        <f t="shared" si="185"/>
        <v>#DIV/0!</v>
      </c>
      <c r="P1479" s="129"/>
      <c r="Q1479" s="129"/>
      <c r="R1479" s="200"/>
    </row>
    <row r="1480" spans="1:18" s="185" customFormat="1" ht="12.75" hidden="1">
      <c r="A1480" s="191">
        <v>3249</v>
      </c>
      <c r="B1480" s="423" t="s">
        <v>816</v>
      </c>
      <c r="C1480" s="128"/>
      <c r="D1480" s="104">
        <f t="shared" si="182"/>
        <v>0</v>
      </c>
      <c r="E1480" s="129">
        <f t="shared" si="181"/>
        <v>0</v>
      </c>
      <c r="F1480" s="105" t="e">
        <f t="shared" si="183"/>
        <v>#DIV/0!</v>
      </c>
      <c r="G1480" s="129"/>
      <c r="H1480" s="109"/>
      <c r="I1480" s="108"/>
      <c r="J1480" s="193"/>
      <c r="K1480" s="129"/>
      <c r="L1480" s="110"/>
      <c r="M1480" s="128"/>
      <c r="N1480" s="129"/>
      <c r="O1480" s="256" t="e">
        <f t="shared" si="185"/>
        <v>#DIV/0!</v>
      </c>
      <c r="P1480" s="129"/>
      <c r="Q1480" s="129"/>
      <c r="R1480" s="200"/>
    </row>
    <row r="1481" spans="1:18" s="185" customFormat="1" ht="24" hidden="1">
      <c r="A1481" s="191">
        <v>4218</v>
      </c>
      <c r="B1481" s="423" t="s">
        <v>356</v>
      </c>
      <c r="C1481" s="128"/>
      <c r="D1481" s="104">
        <f t="shared" si="182"/>
        <v>0</v>
      </c>
      <c r="E1481" s="129">
        <f t="shared" si="181"/>
        <v>0</v>
      </c>
      <c r="F1481" s="105" t="e">
        <f t="shared" si="183"/>
        <v>#DIV/0!</v>
      </c>
      <c r="G1481" s="129"/>
      <c r="H1481" s="109"/>
      <c r="I1481" s="108"/>
      <c r="J1481" s="193"/>
      <c r="K1481" s="129"/>
      <c r="L1481" s="110"/>
      <c r="M1481" s="128"/>
      <c r="N1481" s="129"/>
      <c r="O1481" s="256" t="e">
        <f t="shared" si="185"/>
        <v>#DIV/0!</v>
      </c>
      <c r="P1481" s="129"/>
      <c r="Q1481" s="129"/>
      <c r="R1481" s="200"/>
    </row>
    <row r="1482" spans="1:18" s="185" customFormat="1" ht="24" hidden="1">
      <c r="A1482" s="191">
        <v>4219</v>
      </c>
      <c r="B1482" s="423" t="s">
        <v>356</v>
      </c>
      <c r="C1482" s="128"/>
      <c r="D1482" s="104">
        <f t="shared" si="182"/>
        <v>0</v>
      </c>
      <c r="E1482" s="129">
        <f>SUM(H1482+K1482+N1482+Q1482)</f>
        <v>0</v>
      </c>
      <c r="F1482" s="105" t="e">
        <f t="shared" si="183"/>
        <v>#DIV/0!</v>
      </c>
      <c r="G1482" s="129"/>
      <c r="H1482" s="109"/>
      <c r="I1482" s="108"/>
      <c r="J1482" s="193"/>
      <c r="K1482" s="129"/>
      <c r="L1482" s="110"/>
      <c r="M1482" s="128"/>
      <c r="N1482" s="129"/>
      <c r="O1482" s="256" t="e">
        <f t="shared" si="185"/>
        <v>#DIV/0!</v>
      </c>
      <c r="P1482" s="129"/>
      <c r="Q1482" s="129"/>
      <c r="R1482" s="200"/>
    </row>
    <row r="1483" spans="1:18" s="185" customFormat="1" ht="24" hidden="1">
      <c r="A1483" s="191">
        <v>4308</v>
      </c>
      <c r="B1483" s="423" t="s">
        <v>364</v>
      </c>
      <c r="C1483" s="128"/>
      <c r="D1483" s="104">
        <f t="shared" si="182"/>
        <v>0</v>
      </c>
      <c r="E1483" s="129">
        <f>SUM(H1483+K1483+N1483+Q1483)</f>
        <v>0</v>
      </c>
      <c r="F1483" s="105" t="e">
        <f t="shared" si="183"/>
        <v>#DIV/0!</v>
      </c>
      <c r="G1483" s="129"/>
      <c r="H1483" s="109"/>
      <c r="I1483" s="108"/>
      <c r="J1483" s="193"/>
      <c r="K1483" s="129"/>
      <c r="L1483" s="110"/>
      <c r="M1483" s="128"/>
      <c r="N1483" s="129"/>
      <c r="O1483" s="108" t="e">
        <f t="shared" si="185"/>
        <v>#DIV/0!</v>
      </c>
      <c r="P1483" s="129"/>
      <c r="Q1483" s="129"/>
      <c r="R1483" s="200"/>
    </row>
    <row r="1484" spans="1:18" s="185" customFormat="1" ht="24" hidden="1">
      <c r="A1484" s="191">
        <v>4309</v>
      </c>
      <c r="B1484" s="423" t="s">
        <v>364</v>
      </c>
      <c r="C1484" s="128"/>
      <c r="D1484" s="104">
        <f t="shared" si="182"/>
        <v>0</v>
      </c>
      <c r="E1484" s="129">
        <f t="shared" si="181"/>
        <v>0</v>
      </c>
      <c r="F1484" s="105" t="e">
        <f t="shared" si="183"/>
        <v>#DIV/0!</v>
      </c>
      <c r="G1484" s="236"/>
      <c r="H1484" s="231"/>
      <c r="I1484" s="108"/>
      <c r="J1484" s="233"/>
      <c r="K1484" s="129"/>
      <c r="L1484" s="110"/>
      <c r="M1484" s="128"/>
      <c r="N1484" s="236"/>
      <c r="O1484" s="108" t="e">
        <f t="shared" si="185"/>
        <v>#DIV/0!</v>
      </c>
      <c r="P1484" s="236"/>
      <c r="Q1484" s="236"/>
      <c r="R1484" s="238"/>
    </row>
    <row r="1485" spans="1:18" s="221" customFormat="1" ht="24">
      <c r="A1485" s="239">
        <v>85417</v>
      </c>
      <c r="B1485" s="472" t="s">
        <v>819</v>
      </c>
      <c r="C1485" s="136">
        <f>SUM(C1486:C1505)</f>
        <v>264000</v>
      </c>
      <c r="D1485" s="137">
        <f t="shared" si="182"/>
        <v>264000</v>
      </c>
      <c r="E1485" s="137">
        <f>H1485+K1485+Q1485+N1485</f>
        <v>55128</v>
      </c>
      <c r="F1485" s="138">
        <f t="shared" si="183"/>
        <v>20.881818181818183</v>
      </c>
      <c r="G1485" s="137">
        <f>SUM(G1486:G1505)</f>
        <v>264000</v>
      </c>
      <c r="H1485" s="137">
        <f>SUM(H1486:H1505)</f>
        <v>55128</v>
      </c>
      <c r="I1485" s="484">
        <f t="shared" si="184"/>
        <v>20.881818181818183</v>
      </c>
      <c r="J1485" s="140"/>
      <c r="K1485" s="137"/>
      <c r="L1485" s="125"/>
      <c r="M1485" s="137"/>
      <c r="N1485" s="137"/>
      <c r="O1485" s="243"/>
      <c r="P1485" s="137"/>
      <c r="Q1485" s="137"/>
      <c r="R1485" s="266"/>
    </row>
    <row r="1486" spans="1:18" s="185" customFormat="1" ht="24">
      <c r="A1486" s="172">
        <v>4010</v>
      </c>
      <c r="B1486" s="443" t="s">
        <v>346</v>
      </c>
      <c r="C1486" s="132">
        <v>116200</v>
      </c>
      <c r="D1486" s="149">
        <f t="shared" si="182"/>
        <v>116200</v>
      </c>
      <c r="E1486" s="150">
        <f aca="true" t="shared" si="186" ref="E1486:E1512">SUM(H1486+K1486+N1486+Q1486)</f>
        <v>29807</v>
      </c>
      <c r="F1486" s="130">
        <f t="shared" si="183"/>
        <v>25.65146299483649</v>
      </c>
      <c r="G1486" s="132">
        <v>116200</v>
      </c>
      <c r="H1486" s="150">
        <v>29807</v>
      </c>
      <c r="I1486" s="426">
        <f t="shared" si="184"/>
        <v>25.65146299483649</v>
      </c>
      <c r="J1486" s="223"/>
      <c r="K1486" s="150"/>
      <c r="L1486" s="154"/>
      <c r="M1486" s="132"/>
      <c r="N1486" s="150"/>
      <c r="O1486" s="113"/>
      <c r="P1486" s="150"/>
      <c r="Q1486" s="150"/>
      <c r="R1486" s="225"/>
    </row>
    <row r="1487" spans="1:18" s="185" customFormat="1" ht="36" hidden="1">
      <c r="A1487" s="191">
        <v>3020</v>
      </c>
      <c r="B1487" s="423" t="s">
        <v>593</v>
      </c>
      <c r="C1487" s="128"/>
      <c r="D1487" s="104">
        <f t="shared" si="182"/>
        <v>0</v>
      </c>
      <c r="E1487" s="129">
        <f t="shared" si="186"/>
        <v>0</v>
      </c>
      <c r="F1487" s="105" t="e">
        <f t="shared" si="183"/>
        <v>#DIV/0!</v>
      </c>
      <c r="G1487" s="128"/>
      <c r="H1487" s="129"/>
      <c r="I1487" s="416" t="e">
        <f t="shared" si="184"/>
        <v>#DIV/0!</v>
      </c>
      <c r="J1487" s="193"/>
      <c r="K1487" s="129"/>
      <c r="L1487" s="110"/>
      <c r="M1487" s="128"/>
      <c r="N1487" s="129"/>
      <c r="O1487" s="108"/>
      <c r="P1487" s="129"/>
      <c r="Q1487" s="129"/>
      <c r="R1487" s="194"/>
    </row>
    <row r="1488" spans="1:18" s="185" customFormat="1" ht="24">
      <c r="A1488" s="191">
        <v>4040</v>
      </c>
      <c r="B1488" s="423" t="s">
        <v>350</v>
      </c>
      <c r="C1488" s="128">
        <v>9700</v>
      </c>
      <c r="D1488" s="104">
        <f t="shared" si="182"/>
        <v>9350</v>
      </c>
      <c r="E1488" s="129">
        <f t="shared" si="186"/>
        <v>9309</v>
      </c>
      <c r="F1488" s="105">
        <f t="shared" si="183"/>
        <v>99.56149732620321</v>
      </c>
      <c r="G1488" s="128">
        <f>9700-350</f>
        <v>9350</v>
      </c>
      <c r="H1488" s="129">
        <v>9309</v>
      </c>
      <c r="I1488" s="416">
        <f t="shared" si="184"/>
        <v>99.56149732620321</v>
      </c>
      <c r="J1488" s="193"/>
      <c r="K1488" s="129"/>
      <c r="L1488" s="110"/>
      <c r="M1488" s="128"/>
      <c r="N1488" s="129"/>
      <c r="O1488" s="108"/>
      <c r="P1488" s="129"/>
      <c r="Q1488" s="129"/>
      <c r="R1488" s="194"/>
    </row>
    <row r="1489" spans="1:18" s="185" customFormat="1" ht="24">
      <c r="A1489" s="191">
        <v>4110</v>
      </c>
      <c r="B1489" s="423" t="s">
        <v>352</v>
      </c>
      <c r="C1489" s="128">
        <v>21000</v>
      </c>
      <c r="D1489" s="104">
        <f t="shared" si="182"/>
        <v>21000</v>
      </c>
      <c r="E1489" s="129">
        <f t="shared" si="186"/>
        <v>4127</v>
      </c>
      <c r="F1489" s="105">
        <f t="shared" si="183"/>
        <v>19.652380952380952</v>
      </c>
      <c r="G1489" s="128">
        <v>21000</v>
      </c>
      <c r="H1489" s="129">
        <v>4127</v>
      </c>
      <c r="I1489" s="416">
        <f t="shared" si="184"/>
        <v>19.652380952380952</v>
      </c>
      <c r="J1489" s="193"/>
      <c r="K1489" s="129"/>
      <c r="L1489" s="110"/>
      <c r="M1489" s="128"/>
      <c r="N1489" s="129"/>
      <c r="O1489" s="108"/>
      <c r="P1489" s="129"/>
      <c r="Q1489" s="129"/>
      <c r="R1489" s="194"/>
    </row>
    <row r="1490" spans="1:18" s="185" customFormat="1" ht="13.5" customHeight="1">
      <c r="A1490" s="191">
        <v>4120</v>
      </c>
      <c r="B1490" s="423" t="s">
        <v>504</v>
      </c>
      <c r="C1490" s="128">
        <v>3200</v>
      </c>
      <c r="D1490" s="104">
        <f t="shared" si="182"/>
        <v>3200</v>
      </c>
      <c r="E1490" s="129">
        <f t="shared" si="186"/>
        <v>464</v>
      </c>
      <c r="F1490" s="105">
        <f t="shared" si="183"/>
        <v>14.499999999999998</v>
      </c>
      <c r="G1490" s="128">
        <v>3200</v>
      </c>
      <c r="H1490" s="129">
        <v>464</v>
      </c>
      <c r="I1490" s="416">
        <f t="shared" si="184"/>
        <v>14.499999999999998</v>
      </c>
      <c r="J1490" s="193"/>
      <c r="K1490" s="129"/>
      <c r="L1490" s="110"/>
      <c r="M1490" s="128"/>
      <c r="N1490" s="129"/>
      <c r="O1490" s="108"/>
      <c r="P1490" s="129"/>
      <c r="Q1490" s="129"/>
      <c r="R1490" s="194"/>
    </row>
    <row r="1491" spans="1:18" s="185" customFormat="1" ht="24">
      <c r="A1491" s="191">
        <v>4170</v>
      </c>
      <c r="B1491" s="423" t="s">
        <v>392</v>
      </c>
      <c r="C1491" s="128">
        <v>5500</v>
      </c>
      <c r="D1491" s="104">
        <f t="shared" si="182"/>
        <v>5500</v>
      </c>
      <c r="E1491" s="129">
        <f t="shared" si="186"/>
        <v>1085</v>
      </c>
      <c r="F1491" s="105">
        <f t="shared" si="183"/>
        <v>19.727272727272727</v>
      </c>
      <c r="G1491" s="128">
        <v>5500</v>
      </c>
      <c r="H1491" s="129">
        <v>1085</v>
      </c>
      <c r="I1491" s="416">
        <f t="shared" si="184"/>
        <v>19.727272727272727</v>
      </c>
      <c r="J1491" s="193"/>
      <c r="K1491" s="129"/>
      <c r="L1491" s="110"/>
      <c r="M1491" s="128"/>
      <c r="N1491" s="129"/>
      <c r="O1491" s="108"/>
      <c r="P1491" s="129"/>
      <c r="Q1491" s="129"/>
      <c r="R1491" s="194"/>
    </row>
    <row r="1492" spans="1:18" s="185" customFormat="1" ht="24">
      <c r="A1492" s="191">
        <v>4210</v>
      </c>
      <c r="B1492" s="423" t="s">
        <v>356</v>
      </c>
      <c r="C1492" s="128">
        <v>16000</v>
      </c>
      <c r="D1492" s="104">
        <f t="shared" si="182"/>
        <v>16000</v>
      </c>
      <c r="E1492" s="129">
        <f t="shared" si="186"/>
        <v>1633</v>
      </c>
      <c r="F1492" s="105">
        <f t="shared" si="183"/>
        <v>10.20625</v>
      </c>
      <c r="G1492" s="128">
        <v>16000</v>
      </c>
      <c r="H1492" s="129">
        <v>1633</v>
      </c>
      <c r="I1492" s="416">
        <f t="shared" si="184"/>
        <v>10.20625</v>
      </c>
      <c r="J1492" s="193"/>
      <c r="K1492" s="129"/>
      <c r="L1492" s="110"/>
      <c r="M1492" s="128"/>
      <c r="N1492" s="129"/>
      <c r="O1492" s="108"/>
      <c r="P1492" s="129"/>
      <c r="Q1492" s="129"/>
      <c r="R1492" s="194"/>
    </row>
    <row r="1493" spans="1:18" s="185" customFormat="1" ht="12.75">
      <c r="A1493" s="191">
        <v>4260</v>
      </c>
      <c r="B1493" s="423" t="s">
        <v>360</v>
      </c>
      <c r="C1493" s="128">
        <v>22200</v>
      </c>
      <c r="D1493" s="104">
        <f t="shared" si="182"/>
        <v>22200</v>
      </c>
      <c r="E1493" s="129">
        <f t="shared" si="186"/>
        <v>3502</v>
      </c>
      <c r="F1493" s="105">
        <f t="shared" si="183"/>
        <v>15.774774774774775</v>
      </c>
      <c r="G1493" s="128">
        <v>22200</v>
      </c>
      <c r="H1493" s="129">
        <v>3502</v>
      </c>
      <c r="I1493" s="416">
        <f t="shared" si="184"/>
        <v>15.774774774774775</v>
      </c>
      <c r="J1493" s="193"/>
      <c r="K1493" s="129"/>
      <c r="L1493" s="110"/>
      <c r="M1493" s="128"/>
      <c r="N1493" s="129"/>
      <c r="O1493" s="108"/>
      <c r="P1493" s="129"/>
      <c r="Q1493" s="129"/>
      <c r="R1493" s="194"/>
    </row>
    <row r="1494" spans="1:18" s="185" customFormat="1" ht="24">
      <c r="A1494" s="191">
        <v>4270</v>
      </c>
      <c r="B1494" s="423" t="s">
        <v>362</v>
      </c>
      <c r="C1494" s="128">
        <v>3200</v>
      </c>
      <c r="D1494" s="104">
        <f>G1494+J1494+P1494+M1494</f>
        <v>3200</v>
      </c>
      <c r="E1494" s="129">
        <f>SUM(H1494+K1494+N1494+Q1494)</f>
        <v>0</v>
      </c>
      <c r="F1494" s="105">
        <f>E1494/D1494*100</f>
        <v>0</v>
      </c>
      <c r="G1494" s="128">
        <v>3200</v>
      </c>
      <c r="H1494" s="129"/>
      <c r="I1494" s="416">
        <f t="shared" si="184"/>
        <v>0</v>
      </c>
      <c r="J1494" s="193"/>
      <c r="K1494" s="129"/>
      <c r="L1494" s="110"/>
      <c r="M1494" s="128"/>
      <c r="N1494" s="129"/>
      <c r="O1494" s="108"/>
      <c r="P1494" s="129"/>
      <c r="Q1494" s="129"/>
      <c r="R1494" s="194"/>
    </row>
    <row r="1495" spans="1:18" s="185" customFormat="1" ht="24" hidden="1">
      <c r="A1495" s="191">
        <v>4280</v>
      </c>
      <c r="B1495" s="423" t="s">
        <v>458</v>
      </c>
      <c r="C1495" s="128"/>
      <c r="D1495" s="104">
        <f>G1495+J1495+P1495+M1495</f>
        <v>0</v>
      </c>
      <c r="E1495" s="129">
        <f>SUM(H1495+K1495+N1495+Q1495)</f>
        <v>0</v>
      </c>
      <c r="F1495" s="105" t="e">
        <f>E1495/D1495*100</f>
        <v>#DIV/0!</v>
      </c>
      <c r="G1495" s="128"/>
      <c r="H1495" s="129"/>
      <c r="I1495" s="416" t="e">
        <f t="shared" si="184"/>
        <v>#DIV/0!</v>
      </c>
      <c r="J1495" s="193"/>
      <c r="K1495" s="129"/>
      <c r="L1495" s="110"/>
      <c r="M1495" s="128"/>
      <c r="N1495" s="129"/>
      <c r="O1495" s="108"/>
      <c r="P1495" s="129"/>
      <c r="Q1495" s="129"/>
      <c r="R1495" s="194"/>
    </row>
    <row r="1496" spans="1:18" s="185" customFormat="1" ht="24">
      <c r="A1496" s="191">
        <v>4300</v>
      </c>
      <c r="B1496" s="423" t="s">
        <v>364</v>
      </c>
      <c r="C1496" s="128">
        <v>7900</v>
      </c>
      <c r="D1496" s="104">
        <f t="shared" si="182"/>
        <v>7900</v>
      </c>
      <c r="E1496" s="129">
        <f t="shared" si="186"/>
        <v>1180</v>
      </c>
      <c r="F1496" s="105">
        <f t="shared" si="183"/>
        <v>14.936708860759493</v>
      </c>
      <c r="G1496" s="128">
        <v>7900</v>
      </c>
      <c r="H1496" s="129">
        <v>1180</v>
      </c>
      <c r="I1496" s="416">
        <f t="shared" si="184"/>
        <v>14.936708860759493</v>
      </c>
      <c r="J1496" s="193"/>
      <c r="K1496" s="129"/>
      <c r="L1496" s="110"/>
      <c r="M1496" s="128"/>
      <c r="N1496" s="129"/>
      <c r="O1496" s="108"/>
      <c r="P1496" s="129"/>
      <c r="Q1496" s="129"/>
      <c r="R1496" s="194"/>
    </row>
    <row r="1497" spans="1:18" s="185" customFormat="1" ht="24">
      <c r="A1497" s="191">
        <v>4350</v>
      </c>
      <c r="B1497" s="423" t="s">
        <v>460</v>
      </c>
      <c r="C1497" s="128">
        <v>2100</v>
      </c>
      <c r="D1497" s="104">
        <f t="shared" si="182"/>
        <v>2100</v>
      </c>
      <c r="E1497" s="129">
        <f t="shared" si="186"/>
        <v>599</v>
      </c>
      <c r="F1497" s="105">
        <f t="shared" si="183"/>
        <v>28.523809523809522</v>
      </c>
      <c r="G1497" s="128">
        <v>2100</v>
      </c>
      <c r="H1497" s="129">
        <v>599</v>
      </c>
      <c r="I1497" s="416">
        <f t="shared" si="184"/>
        <v>28.523809523809522</v>
      </c>
      <c r="J1497" s="193"/>
      <c r="K1497" s="129"/>
      <c r="L1497" s="110"/>
      <c r="M1497" s="128"/>
      <c r="N1497" s="129"/>
      <c r="O1497" s="108"/>
      <c r="P1497" s="129"/>
      <c r="Q1497" s="129"/>
      <c r="R1497" s="194"/>
    </row>
    <row r="1498" spans="1:18" s="185" customFormat="1" ht="48">
      <c r="A1498" s="267">
        <v>4360</v>
      </c>
      <c r="B1498" s="291" t="s">
        <v>635</v>
      </c>
      <c r="C1498" s="128">
        <v>800</v>
      </c>
      <c r="D1498" s="104">
        <f>G1498+J1498+P1498+M1498</f>
        <v>800</v>
      </c>
      <c r="E1498" s="129">
        <f>SUM(H1498+K1498+N1498+Q1498)</f>
        <v>129</v>
      </c>
      <c r="F1498" s="105">
        <f>E1498/D1498*100</f>
        <v>16.125</v>
      </c>
      <c r="G1498" s="128">
        <v>800</v>
      </c>
      <c r="H1498" s="129">
        <v>129</v>
      </c>
      <c r="I1498" s="416">
        <f t="shared" si="184"/>
        <v>16.125</v>
      </c>
      <c r="J1498" s="193"/>
      <c r="K1498" s="129"/>
      <c r="L1498" s="110"/>
      <c r="M1498" s="128"/>
      <c r="N1498" s="129"/>
      <c r="O1498" s="108"/>
      <c r="P1498" s="129"/>
      <c r="Q1498" s="129"/>
      <c r="R1498" s="194"/>
    </row>
    <row r="1499" spans="1:18" s="185" customFormat="1" ht="48">
      <c r="A1499" s="267">
        <v>4370</v>
      </c>
      <c r="B1499" s="291" t="s">
        <v>577</v>
      </c>
      <c r="C1499" s="128">
        <v>2000</v>
      </c>
      <c r="D1499" s="104">
        <f>G1499+J1499+P1499+M1499</f>
        <v>2000</v>
      </c>
      <c r="E1499" s="129">
        <f>SUM(H1499+K1499+N1499+Q1499)</f>
        <v>379</v>
      </c>
      <c r="F1499" s="105">
        <f>E1499/D1499*100</f>
        <v>18.95</v>
      </c>
      <c r="G1499" s="128">
        <v>2000</v>
      </c>
      <c r="H1499" s="129">
        <v>379</v>
      </c>
      <c r="I1499" s="416">
        <f t="shared" si="184"/>
        <v>18.95</v>
      </c>
      <c r="J1499" s="193"/>
      <c r="K1499" s="129"/>
      <c r="L1499" s="110"/>
      <c r="M1499" s="128"/>
      <c r="N1499" s="129"/>
      <c r="O1499" s="108"/>
      <c r="P1499" s="129"/>
      <c r="Q1499" s="129"/>
      <c r="R1499" s="194"/>
    </row>
    <row r="1500" spans="1:18" s="185" customFormat="1" ht="24">
      <c r="A1500" s="191">
        <v>4410</v>
      </c>
      <c r="B1500" s="423" t="s">
        <v>338</v>
      </c>
      <c r="C1500" s="128">
        <v>2800</v>
      </c>
      <c r="D1500" s="104">
        <f>G1500+J1500+P1500+M1500</f>
        <v>2800</v>
      </c>
      <c r="E1500" s="129">
        <f>SUM(H1500+K1500+N1500+Q1500)</f>
        <v>752</v>
      </c>
      <c r="F1500" s="105">
        <f>E1500/D1500*100</f>
        <v>26.857142857142858</v>
      </c>
      <c r="G1500" s="128">
        <v>2800</v>
      </c>
      <c r="H1500" s="129">
        <v>752</v>
      </c>
      <c r="I1500" s="416">
        <f t="shared" si="184"/>
        <v>26.857142857142858</v>
      </c>
      <c r="J1500" s="193"/>
      <c r="K1500" s="129"/>
      <c r="L1500" s="110"/>
      <c r="M1500" s="128"/>
      <c r="N1500" s="129"/>
      <c r="O1500" s="108"/>
      <c r="P1500" s="129"/>
      <c r="Q1500" s="129"/>
      <c r="R1500" s="194"/>
    </row>
    <row r="1501" spans="1:18" s="185" customFormat="1" ht="12.75">
      <c r="A1501" s="191">
        <v>4430</v>
      </c>
      <c r="B1501" s="423" t="s">
        <v>366</v>
      </c>
      <c r="C1501" s="128">
        <v>900</v>
      </c>
      <c r="D1501" s="104">
        <f>G1501+J1501+P1501+M1501</f>
        <v>900</v>
      </c>
      <c r="E1501" s="129">
        <f>SUM(H1501+K1501+N1501+Q1501)</f>
        <v>850</v>
      </c>
      <c r="F1501" s="105">
        <f>E1501/D1501*100</f>
        <v>94.44444444444444</v>
      </c>
      <c r="G1501" s="128">
        <v>900</v>
      </c>
      <c r="H1501" s="129">
        <v>850</v>
      </c>
      <c r="I1501" s="416">
        <f t="shared" si="184"/>
        <v>94.44444444444444</v>
      </c>
      <c r="J1501" s="193"/>
      <c r="K1501" s="129"/>
      <c r="L1501" s="110"/>
      <c r="M1501" s="128"/>
      <c r="N1501" s="129"/>
      <c r="O1501" s="108"/>
      <c r="P1501" s="129"/>
      <c r="Q1501" s="129"/>
      <c r="R1501" s="194"/>
    </row>
    <row r="1502" spans="1:18" s="185" customFormat="1" ht="12.75">
      <c r="A1502" s="191">
        <v>4440</v>
      </c>
      <c r="B1502" s="259" t="s">
        <v>368</v>
      </c>
      <c r="C1502" s="128">
        <v>5000</v>
      </c>
      <c r="D1502" s="104">
        <f>G1502+J1502+P1502+M1502</f>
        <v>5350</v>
      </c>
      <c r="E1502" s="129">
        <f>SUM(H1502+K1502+N1502+Q1502)</f>
        <v>1251</v>
      </c>
      <c r="F1502" s="105">
        <f>E1502/D1502*100</f>
        <v>23.38317757009346</v>
      </c>
      <c r="G1502" s="128">
        <f>5000+350</f>
        <v>5350</v>
      </c>
      <c r="H1502" s="129">
        <v>1251</v>
      </c>
      <c r="I1502" s="416">
        <f t="shared" si="184"/>
        <v>23.38317757009346</v>
      </c>
      <c r="J1502" s="193"/>
      <c r="K1502" s="129"/>
      <c r="L1502" s="110"/>
      <c r="M1502" s="128"/>
      <c r="N1502" s="129"/>
      <c r="O1502" s="108"/>
      <c r="P1502" s="129"/>
      <c r="Q1502" s="129"/>
      <c r="R1502" s="194"/>
    </row>
    <row r="1503" spans="1:18" s="185" customFormat="1" ht="60">
      <c r="A1503" s="267">
        <v>4740</v>
      </c>
      <c r="B1503" s="291" t="s">
        <v>380</v>
      </c>
      <c r="C1503" s="128">
        <v>2000</v>
      </c>
      <c r="D1503" s="104">
        <f t="shared" si="182"/>
        <v>2000</v>
      </c>
      <c r="E1503" s="129">
        <f t="shared" si="186"/>
        <v>41</v>
      </c>
      <c r="F1503" s="105">
        <f t="shared" si="183"/>
        <v>2.0500000000000003</v>
      </c>
      <c r="G1503" s="128">
        <v>2000</v>
      </c>
      <c r="H1503" s="129">
        <v>41</v>
      </c>
      <c r="I1503" s="416">
        <f t="shared" si="184"/>
        <v>2.0500000000000003</v>
      </c>
      <c r="J1503" s="193"/>
      <c r="K1503" s="129"/>
      <c r="L1503" s="110"/>
      <c r="M1503" s="128"/>
      <c r="N1503" s="129"/>
      <c r="O1503" s="108"/>
      <c r="P1503" s="129"/>
      <c r="Q1503" s="129"/>
      <c r="R1503" s="194"/>
    </row>
    <row r="1504" spans="1:18" s="185" customFormat="1" ht="36">
      <c r="A1504" s="267">
        <v>4750</v>
      </c>
      <c r="B1504" s="291" t="s">
        <v>467</v>
      </c>
      <c r="C1504" s="128">
        <v>500</v>
      </c>
      <c r="D1504" s="104">
        <f>G1504+J1504+P1504+M1504</f>
        <v>500</v>
      </c>
      <c r="E1504" s="129">
        <f>SUM(H1504+K1504+N1504+Q1504)</f>
        <v>20</v>
      </c>
      <c r="F1504" s="105">
        <f>E1504/D1504*100</f>
        <v>4</v>
      </c>
      <c r="G1504" s="128">
        <v>500</v>
      </c>
      <c r="H1504" s="129">
        <v>20</v>
      </c>
      <c r="I1504" s="416">
        <f t="shared" si="184"/>
        <v>4</v>
      </c>
      <c r="J1504" s="193"/>
      <c r="K1504" s="129"/>
      <c r="L1504" s="110"/>
      <c r="M1504" s="128"/>
      <c r="N1504" s="129"/>
      <c r="O1504" s="108"/>
      <c r="P1504" s="129"/>
      <c r="Q1504" s="129"/>
      <c r="R1504" s="194"/>
    </row>
    <row r="1505" spans="1:18" s="185" customFormat="1" ht="24">
      <c r="A1505" s="191">
        <v>6050</v>
      </c>
      <c r="B1505" s="259" t="s">
        <v>396</v>
      </c>
      <c r="C1505" s="128">
        <v>43000</v>
      </c>
      <c r="D1505" s="104">
        <f t="shared" si="182"/>
        <v>43000</v>
      </c>
      <c r="E1505" s="129">
        <f t="shared" si="186"/>
        <v>0</v>
      </c>
      <c r="F1505" s="105">
        <f t="shared" si="183"/>
        <v>0</v>
      </c>
      <c r="G1505" s="128">
        <v>43000</v>
      </c>
      <c r="H1505" s="129"/>
      <c r="I1505" s="416">
        <f t="shared" si="184"/>
        <v>0</v>
      </c>
      <c r="J1505" s="193"/>
      <c r="K1505" s="129"/>
      <c r="L1505" s="110"/>
      <c r="M1505" s="128"/>
      <c r="N1505" s="129"/>
      <c r="O1505" s="108"/>
      <c r="P1505" s="129"/>
      <c r="Q1505" s="129"/>
      <c r="R1505" s="194"/>
    </row>
    <row r="1506" spans="1:18" s="185" customFormat="1" ht="24">
      <c r="A1506" s="239">
        <v>85419</v>
      </c>
      <c r="B1506" s="296" t="s">
        <v>820</v>
      </c>
      <c r="C1506" s="136">
        <f>SUM(C1507)</f>
        <v>275000</v>
      </c>
      <c r="D1506" s="137">
        <f aca="true" t="shared" si="187" ref="D1506:D1513">G1506+J1506+P1506+M1506</f>
        <v>275000</v>
      </c>
      <c r="E1506" s="137">
        <f>SUM(H1506+K1506+N1506+Q1506)</f>
        <v>177622</v>
      </c>
      <c r="F1506" s="138">
        <f>E1506/D1506*100</f>
        <v>64.58981818181819</v>
      </c>
      <c r="G1506" s="140"/>
      <c r="H1506" s="137"/>
      <c r="I1506" s="427"/>
      <c r="J1506" s="338"/>
      <c r="K1506" s="137"/>
      <c r="L1506" s="125"/>
      <c r="M1506" s="136">
        <f>SUM(M1507)</f>
        <v>275000</v>
      </c>
      <c r="N1506" s="137">
        <f>SUM(N1507)</f>
        <v>177622</v>
      </c>
      <c r="O1506" s="477">
        <f aca="true" t="shared" si="188" ref="O1506:O1513">N1506/M1506*100</f>
        <v>64.58981818181819</v>
      </c>
      <c r="P1506" s="137"/>
      <c r="Q1506" s="137"/>
      <c r="R1506" s="265"/>
    </row>
    <row r="1507" spans="1:18" s="185" customFormat="1" ht="36">
      <c r="A1507" s="227">
        <v>2540</v>
      </c>
      <c r="B1507" s="228" t="s">
        <v>821</v>
      </c>
      <c r="C1507" s="229">
        <v>275000</v>
      </c>
      <c r="D1507" s="375">
        <f t="shared" si="187"/>
        <v>275000</v>
      </c>
      <c r="E1507" s="345">
        <f>SUM(H1507+K1507+N1507+Q1507)</f>
        <v>177622</v>
      </c>
      <c r="F1507" s="105">
        <f>E1507/D1507*100</f>
        <v>64.58981818181819</v>
      </c>
      <c r="G1507" s="233"/>
      <c r="H1507" s="236"/>
      <c r="I1507" s="424"/>
      <c r="J1507" s="365"/>
      <c r="K1507" s="236"/>
      <c r="L1507" s="319"/>
      <c r="M1507" s="128">
        <v>275000</v>
      </c>
      <c r="N1507" s="129">
        <v>177622</v>
      </c>
      <c r="O1507" s="484">
        <f t="shared" si="188"/>
        <v>64.58981818181819</v>
      </c>
      <c r="P1507" s="236"/>
      <c r="Q1507" s="236"/>
      <c r="R1507" s="237"/>
    </row>
    <row r="1508" spans="1:18" s="221" customFormat="1" ht="36">
      <c r="A1508" s="272">
        <v>85446</v>
      </c>
      <c r="B1508" s="273" t="s">
        <v>706</v>
      </c>
      <c r="C1508" s="274">
        <f>SUM(C1509:C1512)</f>
        <v>25600</v>
      </c>
      <c r="D1508" s="189">
        <f t="shared" si="187"/>
        <v>25600</v>
      </c>
      <c r="E1508" s="189">
        <f>SUM(H1508+K1508+N1508+Q1508)</f>
        <v>1626</v>
      </c>
      <c r="F1508" s="214">
        <f t="shared" si="183"/>
        <v>6.351562500000001</v>
      </c>
      <c r="G1508" s="276"/>
      <c r="H1508" s="189"/>
      <c r="I1508" s="237"/>
      <c r="J1508" s="499"/>
      <c r="K1508" s="189"/>
      <c r="L1508" s="313"/>
      <c r="M1508" s="136">
        <f>SUM(M1509:M1512)</f>
        <v>25600</v>
      </c>
      <c r="N1508" s="137">
        <f>SUM(N1509:N1512)</f>
        <v>1626</v>
      </c>
      <c r="O1508" s="484">
        <f t="shared" si="188"/>
        <v>6.351562500000001</v>
      </c>
      <c r="P1508" s="189"/>
      <c r="Q1508" s="189"/>
      <c r="R1508" s="279"/>
    </row>
    <row r="1509" spans="1:18" s="269" customFormat="1" ht="24">
      <c r="A1509" s="267">
        <v>4210</v>
      </c>
      <c r="B1509" s="423" t="s">
        <v>356</v>
      </c>
      <c r="C1509" s="160"/>
      <c r="D1509" s="104">
        <f t="shared" si="187"/>
        <v>750</v>
      </c>
      <c r="E1509" s="129">
        <f t="shared" si="186"/>
        <v>0</v>
      </c>
      <c r="F1509" s="105">
        <f t="shared" si="183"/>
        <v>0</v>
      </c>
      <c r="G1509" s="109"/>
      <c r="H1509" s="104"/>
      <c r="I1509" s="194"/>
      <c r="J1509" s="348"/>
      <c r="K1509" s="104"/>
      <c r="L1509" s="110"/>
      <c r="M1509" s="148">
        <v>750</v>
      </c>
      <c r="N1509" s="104"/>
      <c r="O1509" s="500">
        <f t="shared" si="188"/>
        <v>0</v>
      </c>
      <c r="P1509" s="104"/>
      <c r="Q1509" s="104"/>
      <c r="R1509" s="194"/>
    </row>
    <row r="1510" spans="1:18" s="269" customFormat="1" ht="24">
      <c r="A1510" s="191">
        <v>4300</v>
      </c>
      <c r="B1510" s="198" t="s">
        <v>364</v>
      </c>
      <c r="C1510" s="160">
        <v>25600</v>
      </c>
      <c r="D1510" s="104">
        <f t="shared" si="187"/>
        <v>5000</v>
      </c>
      <c r="E1510" s="129">
        <f t="shared" si="186"/>
        <v>0</v>
      </c>
      <c r="F1510" s="105">
        <f t="shared" si="183"/>
        <v>0</v>
      </c>
      <c r="G1510" s="109"/>
      <c r="H1510" s="104"/>
      <c r="I1510" s="194"/>
      <c r="J1510" s="348"/>
      <c r="K1510" s="104"/>
      <c r="L1510" s="110"/>
      <c r="M1510" s="160">
        <f>25600-25600+5000</f>
        <v>5000</v>
      </c>
      <c r="N1510" s="104"/>
      <c r="O1510" s="343">
        <f t="shared" si="188"/>
        <v>0</v>
      </c>
      <c r="P1510" s="104"/>
      <c r="Q1510" s="104"/>
      <c r="R1510" s="194"/>
    </row>
    <row r="1511" spans="1:18" s="185" customFormat="1" ht="24">
      <c r="A1511" s="191">
        <v>4410</v>
      </c>
      <c r="B1511" s="423" t="s">
        <v>338</v>
      </c>
      <c r="C1511" s="128"/>
      <c r="D1511" s="104">
        <f t="shared" si="187"/>
        <v>4900</v>
      </c>
      <c r="E1511" s="129">
        <f t="shared" si="186"/>
        <v>376</v>
      </c>
      <c r="F1511" s="105">
        <f t="shared" si="183"/>
        <v>7.673469387755103</v>
      </c>
      <c r="G1511" s="193"/>
      <c r="H1511" s="129"/>
      <c r="I1511" s="194"/>
      <c r="J1511" s="337"/>
      <c r="K1511" s="129"/>
      <c r="L1511" s="110"/>
      <c r="M1511" s="128">
        <v>4900</v>
      </c>
      <c r="N1511" s="129">
        <v>376</v>
      </c>
      <c r="O1511" s="343">
        <f t="shared" si="188"/>
        <v>7.673469387755103</v>
      </c>
      <c r="P1511" s="129"/>
      <c r="Q1511" s="129"/>
      <c r="R1511" s="194"/>
    </row>
    <row r="1512" spans="1:18" s="185" customFormat="1" ht="36">
      <c r="A1512" s="267">
        <v>4700</v>
      </c>
      <c r="B1512" s="291" t="s">
        <v>466</v>
      </c>
      <c r="C1512" s="229"/>
      <c r="D1512" s="230">
        <f t="shared" si="187"/>
        <v>14950</v>
      </c>
      <c r="E1512" s="129">
        <f t="shared" si="186"/>
        <v>1250</v>
      </c>
      <c r="F1512" s="105">
        <f t="shared" si="183"/>
        <v>8.361204013377927</v>
      </c>
      <c r="G1512" s="233"/>
      <c r="H1512" s="236"/>
      <c r="I1512" s="237"/>
      <c r="J1512" s="365"/>
      <c r="K1512" s="236"/>
      <c r="L1512" s="319"/>
      <c r="M1512" s="229">
        <v>14950</v>
      </c>
      <c r="N1512" s="236">
        <v>1250</v>
      </c>
      <c r="O1512" s="501">
        <f t="shared" si="188"/>
        <v>8.361204013377927</v>
      </c>
      <c r="P1512" s="236"/>
      <c r="Q1512" s="236"/>
      <c r="R1512" s="237"/>
    </row>
    <row r="1513" spans="1:18" s="185" customFormat="1" ht="12.75">
      <c r="A1513" s="186">
        <v>85495</v>
      </c>
      <c r="B1513" s="294" t="s">
        <v>378</v>
      </c>
      <c r="C1513" s="188">
        <f>SUM(C1514+C1527+C1535)</f>
        <v>247900</v>
      </c>
      <c r="D1513" s="137">
        <f t="shared" si="187"/>
        <v>247900</v>
      </c>
      <c r="E1513" s="137">
        <f>H1513+K1513+Q1513+N1513</f>
        <v>7934</v>
      </c>
      <c r="F1513" s="120">
        <f>E1513/D1513*100</f>
        <v>3.200484066155708</v>
      </c>
      <c r="G1513" s="119">
        <f>SUM(G1514+G1527+G1535)</f>
        <v>149900</v>
      </c>
      <c r="H1513" s="119">
        <f>SUM(H1514+H1527+H1535)</f>
        <v>4433</v>
      </c>
      <c r="I1513" s="214">
        <f t="shared" si="184"/>
        <v>2.957304869913276</v>
      </c>
      <c r="J1513" s="502"/>
      <c r="K1513" s="119"/>
      <c r="L1513" s="125"/>
      <c r="M1513" s="119">
        <f>SUM(M1514+M1527+M1535)</f>
        <v>98000</v>
      </c>
      <c r="N1513" s="119">
        <f>SUM(N1514+N1527+N1535)</f>
        <v>3501</v>
      </c>
      <c r="O1513" s="484">
        <f t="shared" si="188"/>
        <v>3.5724489795918366</v>
      </c>
      <c r="P1513" s="119"/>
      <c r="Q1513" s="119"/>
      <c r="R1513" s="190"/>
    </row>
    <row r="1514" spans="1:18" s="185" customFormat="1" ht="12.75" hidden="1">
      <c r="A1514" s="186"/>
      <c r="B1514" s="296"/>
      <c r="C1514" s="188"/>
      <c r="D1514" s="137"/>
      <c r="E1514" s="137"/>
      <c r="F1514" s="120"/>
      <c r="G1514" s="188"/>
      <c r="H1514" s="119"/>
      <c r="I1514" s="214"/>
      <c r="J1514" s="503"/>
      <c r="K1514" s="119"/>
      <c r="L1514" s="125"/>
      <c r="M1514" s="119"/>
      <c r="N1514" s="119"/>
      <c r="O1514" s="190"/>
      <c r="P1514" s="119"/>
      <c r="Q1514" s="119"/>
      <c r="R1514" s="190"/>
    </row>
    <row r="1515" spans="1:18" s="185" customFormat="1" ht="12.75" hidden="1">
      <c r="A1515" s="191"/>
      <c r="B1515" s="198"/>
      <c r="C1515" s="160"/>
      <c r="D1515" s="104"/>
      <c r="E1515" s="129"/>
      <c r="F1515" s="105"/>
      <c r="G1515" s="160"/>
      <c r="H1515" s="104"/>
      <c r="I1515" s="256"/>
      <c r="J1515" s="429"/>
      <c r="K1515" s="287"/>
      <c r="L1515" s="289"/>
      <c r="M1515" s="287"/>
      <c r="N1515" s="287"/>
      <c r="O1515" s="194"/>
      <c r="P1515" s="287"/>
      <c r="Q1515" s="287"/>
      <c r="R1515" s="194"/>
    </row>
    <row r="1516" spans="1:18" s="185" customFormat="1" ht="12.75" hidden="1">
      <c r="A1516" s="191"/>
      <c r="B1516" s="198"/>
      <c r="C1516" s="160"/>
      <c r="D1516" s="104"/>
      <c r="E1516" s="129"/>
      <c r="F1516" s="105"/>
      <c r="G1516" s="160"/>
      <c r="H1516" s="104"/>
      <c r="I1516" s="256"/>
      <c r="J1516" s="193"/>
      <c r="K1516" s="129"/>
      <c r="L1516" s="110"/>
      <c r="M1516" s="129"/>
      <c r="N1516" s="129"/>
      <c r="O1516" s="108"/>
      <c r="P1516" s="129"/>
      <c r="Q1516" s="129"/>
      <c r="R1516" s="194"/>
    </row>
    <row r="1517" spans="1:18" s="185" customFormat="1" ht="12.75" hidden="1">
      <c r="A1517" s="191"/>
      <c r="B1517" s="198"/>
      <c r="C1517" s="160"/>
      <c r="D1517" s="104"/>
      <c r="E1517" s="129"/>
      <c r="F1517" s="105"/>
      <c r="G1517" s="160"/>
      <c r="H1517" s="104"/>
      <c r="I1517" s="256"/>
      <c r="J1517" s="429"/>
      <c r="K1517" s="287"/>
      <c r="L1517" s="289"/>
      <c r="M1517" s="287"/>
      <c r="N1517" s="287"/>
      <c r="O1517" s="194"/>
      <c r="P1517" s="287"/>
      <c r="Q1517" s="287"/>
      <c r="R1517" s="194"/>
    </row>
    <row r="1518" spans="1:18" s="185" customFormat="1" ht="14.25" customHeight="1" hidden="1">
      <c r="A1518" s="191"/>
      <c r="B1518" s="198"/>
      <c r="C1518" s="160"/>
      <c r="D1518" s="104"/>
      <c r="E1518" s="129"/>
      <c r="F1518" s="105"/>
      <c r="G1518" s="160"/>
      <c r="H1518" s="104"/>
      <c r="I1518" s="256"/>
      <c r="J1518" s="429"/>
      <c r="K1518" s="287"/>
      <c r="L1518" s="289"/>
      <c r="M1518" s="287"/>
      <c r="N1518" s="287"/>
      <c r="O1518" s="194"/>
      <c r="P1518" s="287"/>
      <c r="Q1518" s="287"/>
      <c r="R1518" s="194"/>
    </row>
    <row r="1519" spans="1:18" s="185" customFormat="1" ht="12.75" hidden="1">
      <c r="A1519" s="191"/>
      <c r="B1519" s="198"/>
      <c r="C1519" s="160"/>
      <c r="D1519" s="104"/>
      <c r="E1519" s="129"/>
      <c r="F1519" s="105"/>
      <c r="G1519" s="160"/>
      <c r="H1519" s="104"/>
      <c r="I1519" s="256"/>
      <c r="J1519" s="429"/>
      <c r="K1519" s="287"/>
      <c r="L1519" s="289"/>
      <c r="M1519" s="287"/>
      <c r="N1519" s="287"/>
      <c r="O1519" s="194"/>
      <c r="P1519" s="287"/>
      <c r="Q1519" s="287"/>
      <c r="R1519" s="194"/>
    </row>
    <row r="1520" spans="1:18" s="185" customFormat="1" ht="15" customHeight="1" hidden="1">
      <c r="A1520" s="191"/>
      <c r="B1520" s="198"/>
      <c r="C1520" s="160"/>
      <c r="D1520" s="104"/>
      <c r="E1520" s="129"/>
      <c r="F1520" s="105"/>
      <c r="G1520" s="160"/>
      <c r="H1520" s="104"/>
      <c r="I1520" s="256"/>
      <c r="J1520" s="429"/>
      <c r="K1520" s="287"/>
      <c r="L1520" s="289"/>
      <c r="M1520" s="287"/>
      <c r="N1520" s="287"/>
      <c r="O1520" s="194"/>
      <c r="P1520" s="287"/>
      <c r="Q1520" s="287"/>
      <c r="R1520" s="194"/>
    </row>
    <row r="1521" spans="1:18" s="185" customFormat="1" ht="14.25" customHeight="1" hidden="1">
      <c r="A1521" s="191"/>
      <c r="B1521" s="198"/>
      <c r="C1521" s="160"/>
      <c r="D1521" s="104"/>
      <c r="E1521" s="129"/>
      <c r="F1521" s="105"/>
      <c r="G1521" s="160"/>
      <c r="H1521" s="104"/>
      <c r="I1521" s="256"/>
      <c r="J1521" s="429"/>
      <c r="K1521" s="287"/>
      <c r="L1521" s="289"/>
      <c r="M1521" s="287"/>
      <c r="N1521" s="287"/>
      <c r="O1521" s="194"/>
      <c r="P1521" s="287"/>
      <c r="Q1521" s="287"/>
      <c r="R1521" s="194"/>
    </row>
    <row r="1522" spans="1:18" s="185" customFormat="1" ht="14.25" customHeight="1" hidden="1">
      <c r="A1522" s="191"/>
      <c r="B1522" s="198"/>
      <c r="C1522" s="160"/>
      <c r="D1522" s="104"/>
      <c r="E1522" s="129"/>
      <c r="F1522" s="105"/>
      <c r="G1522" s="160"/>
      <c r="H1522" s="104"/>
      <c r="I1522" s="256"/>
      <c r="J1522" s="429"/>
      <c r="K1522" s="287"/>
      <c r="L1522" s="289"/>
      <c r="M1522" s="104"/>
      <c r="N1522" s="287"/>
      <c r="O1522" s="194"/>
      <c r="P1522" s="287"/>
      <c r="Q1522" s="287"/>
      <c r="R1522" s="194"/>
    </row>
    <row r="1523" spans="1:18" s="185" customFormat="1" ht="14.25" customHeight="1" hidden="1">
      <c r="A1523" s="191"/>
      <c r="B1523" s="198"/>
      <c r="C1523" s="160"/>
      <c r="D1523" s="104"/>
      <c r="E1523" s="129"/>
      <c r="F1523" s="105"/>
      <c r="G1523" s="160"/>
      <c r="H1523" s="104"/>
      <c r="I1523" s="256"/>
      <c r="J1523" s="429"/>
      <c r="K1523" s="287"/>
      <c r="L1523" s="289"/>
      <c r="M1523" s="287"/>
      <c r="N1523" s="287"/>
      <c r="O1523" s="194"/>
      <c r="P1523" s="287"/>
      <c r="Q1523" s="287"/>
      <c r="R1523" s="194"/>
    </row>
    <row r="1524" spans="1:18" s="185" customFormat="1" ht="14.25" customHeight="1" hidden="1">
      <c r="A1524" s="191"/>
      <c r="B1524" s="198"/>
      <c r="C1524" s="160"/>
      <c r="D1524" s="104"/>
      <c r="E1524" s="129"/>
      <c r="F1524" s="105"/>
      <c r="G1524" s="160"/>
      <c r="H1524" s="104"/>
      <c r="I1524" s="256"/>
      <c r="J1524" s="429"/>
      <c r="K1524" s="287"/>
      <c r="L1524" s="289"/>
      <c r="M1524" s="287"/>
      <c r="N1524" s="287"/>
      <c r="O1524" s="194"/>
      <c r="P1524" s="287"/>
      <c r="Q1524" s="287"/>
      <c r="R1524" s="194"/>
    </row>
    <row r="1525" spans="1:18" s="185" customFormat="1" ht="14.25" customHeight="1" hidden="1">
      <c r="A1525" s="191"/>
      <c r="B1525" s="198"/>
      <c r="C1525" s="160"/>
      <c r="D1525" s="104"/>
      <c r="E1525" s="129"/>
      <c r="F1525" s="105"/>
      <c r="G1525" s="160"/>
      <c r="H1525" s="104"/>
      <c r="I1525" s="256"/>
      <c r="J1525" s="429"/>
      <c r="K1525" s="287"/>
      <c r="L1525" s="289"/>
      <c r="M1525" s="104"/>
      <c r="N1525" s="104"/>
      <c r="O1525" s="194"/>
      <c r="P1525" s="287"/>
      <c r="Q1525" s="287"/>
      <c r="R1525" s="194"/>
    </row>
    <row r="1526" spans="1:18" s="185" customFormat="1" ht="36.75" customHeight="1" hidden="1">
      <c r="A1526" s="227"/>
      <c r="B1526" s="445"/>
      <c r="C1526" s="270"/>
      <c r="D1526" s="230"/>
      <c r="E1526" s="236"/>
      <c r="F1526" s="168"/>
      <c r="G1526" s="270"/>
      <c r="H1526" s="230"/>
      <c r="I1526" s="232"/>
      <c r="J1526" s="504"/>
      <c r="K1526" s="311"/>
      <c r="L1526" s="313"/>
      <c r="M1526" s="230"/>
      <c r="N1526" s="230"/>
      <c r="O1526" s="237"/>
      <c r="P1526" s="311"/>
      <c r="Q1526" s="311"/>
      <c r="R1526" s="237"/>
    </row>
    <row r="1527" spans="1:18" s="185" customFormat="1" ht="18.75" customHeight="1" hidden="1">
      <c r="A1527" s="284"/>
      <c r="B1527" s="285" t="s">
        <v>822</v>
      </c>
      <c r="C1527" s="286">
        <f>SUM(C1528:C1534)</f>
        <v>0</v>
      </c>
      <c r="D1527" s="213">
        <f aca="true" t="shared" si="189" ref="D1527:D1559">G1527+J1527+P1527+M1527</f>
        <v>0</v>
      </c>
      <c r="E1527" s="213">
        <f aca="true" t="shared" si="190" ref="E1527:E1535">SUM(H1527+K1527+N1527+Q1527)</f>
        <v>0</v>
      </c>
      <c r="F1527" s="105" t="e">
        <f aca="true" t="shared" si="191" ref="F1527:F1590">E1527/D1527*100</f>
        <v>#DIV/0!</v>
      </c>
      <c r="G1527" s="286">
        <f>SUM(G1528:G1534)</f>
        <v>0</v>
      </c>
      <c r="H1527" s="287">
        <f>SUM(H1528:H1534)</f>
        <v>0</v>
      </c>
      <c r="I1527" s="256" t="e">
        <f t="shared" si="184"/>
        <v>#DIV/0!</v>
      </c>
      <c r="J1527" s="429"/>
      <c r="K1527" s="287"/>
      <c r="L1527" s="289"/>
      <c r="M1527" s="287"/>
      <c r="N1527" s="287"/>
      <c r="O1527" s="194"/>
      <c r="P1527" s="287"/>
      <c r="Q1527" s="287"/>
      <c r="R1527" s="194"/>
    </row>
    <row r="1528" spans="1:18" s="185" customFormat="1" ht="40.5" customHeight="1" hidden="1">
      <c r="A1528" s="191">
        <v>3020</v>
      </c>
      <c r="B1528" s="198" t="s">
        <v>593</v>
      </c>
      <c r="C1528" s="160"/>
      <c r="D1528" s="104">
        <f t="shared" si="189"/>
        <v>0</v>
      </c>
      <c r="E1528" s="129">
        <f t="shared" si="190"/>
        <v>0</v>
      </c>
      <c r="F1528" s="105" t="e">
        <f t="shared" si="191"/>
        <v>#DIV/0!</v>
      </c>
      <c r="G1528" s="160"/>
      <c r="H1528" s="104"/>
      <c r="I1528" s="256" t="e">
        <f aca="true" t="shared" si="192" ref="I1528:I1536">H1528/G1528*100</f>
        <v>#DIV/0!</v>
      </c>
      <c r="J1528" s="429"/>
      <c r="K1528" s="287"/>
      <c r="L1528" s="289"/>
      <c r="M1528" s="287"/>
      <c r="N1528" s="287"/>
      <c r="O1528" s="194"/>
      <c r="P1528" s="287"/>
      <c r="Q1528" s="287"/>
      <c r="R1528" s="194"/>
    </row>
    <row r="1529" spans="1:18" s="185" customFormat="1" ht="27" customHeight="1" hidden="1">
      <c r="A1529" s="191">
        <v>4010</v>
      </c>
      <c r="B1529" s="198" t="s">
        <v>346</v>
      </c>
      <c r="C1529" s="160"/>
      <c r="D1529" s="104">
        <f t="shared" si="189"/>
        <v>0</v>
      </c>
      <c r="E1529" s="129">
        <f t="shared" si="190"/>
        <v>0</v>
      </c>
      <c r="F1529" s="105" t="e">
        <f t="shared" si="191"/>
        <v>#DIV/0!</v>
      </c>
      <c r="G1529" s="160"/>
      <c r="H1529" s="104"/>
      <c r="I1529" s="256" t="e">
        <f t="shared" si="192"/>
        <v>#DIV/0!</v>
      </c>
      <c r="J1529" s="429"/>
      <c r="K1529" s="287"/>
      <c r="L1529" s="289"/>
      <c r="M1529" s="287"/>
      <c r="N1529" s="287"/>
      <c r="O1529" s="194"/>
      <c r="P1529" s="287"/>
      <c r="Q1529" s="287"/>
      <c r="R1529" s="194"/>
    </row>
    <row r="1530" spans="1:18" s="185" customFormat="1" ht="29.25" customHeight="1" hidden="1">
      <c r="A1530" s="191">
        <v>4040</v>
      </c>
      <c r="B1530" s="198" t="s">
        <v>454</v>
      </c>
      <c r="C1530" s="160"/>
      <c r="D1530" s="104">
        <f t="shared" si="189"/>
        <v>0</v>
      </c>
      <c r="E1530" s="129">
        <f t="shared" si="190"/>
        <v>0</v>
      </c>
      <c r="F1530" s="105" t="e">
        <f t="shared" si="191"/>
        <v>#DIV/0!</v>
      </c>
      <c r="G1530" s="160"/>
      <c r="H1530" s="104"/>
      <c r="I1530" s="256" t="e">
        <f t="shared" si="192"/>
        <v>#DIV/0!</v>
      </c>
      <c r="J1530" s="429"/>
      <c r="K1530" s="287"/>
      <c r="L1530" s="289"/>
      <c r="M1530" s="287"/>
      <c r="N1530" s="287"/>
      <c r="O1530" s="194"/>
      <c r="P1530" s="287"/>
      <c r="Q1530" s="287"/>
      <c r="R1530" s="194"/>
    </row>
    <row r="1531" spans="1:18" s="185" customFormat="1" ht="24" hidden="1">
      <c r="A1531" s="191">
        <v>4110</v>
      </c>
      <c r="B1531" s="198" t="s">
        <v>352</v>
      </c>
      <c r="C1531" s="160"/>
      <c r="D1531" s="104">
        <f t="shared" si="189"/>
        <v>0</v>
      </c>
      <c r="E1531" s="129">
        <f t="shared" si="190"/>
        <v>0</v>
      </c>
      <c r="F1531" s="105" t="e">
        <f t="shared" si="191"/>
        <v>#DIV/0!</v>
      </c>
      <c r="G1531" s="160"/>
      <c r="H1531" s="104"/>
      <c r="I1531" s="256" t="e">
        <f t="shared" si="192"/>
        <v>#DIV/0!</v>
      </c>
      <c r="J1531" s="429"/>
      <c r="K1531" s="287"/>
      <c r="L1531" s="289"/>
      <c r="M1531" s="287"/>
      <c r="N1531" s="287"/>
      <c r="O1531" s="194"/>
      <c r="P1531" s="287"/>
      <c r="Q1531" s="287"/>
      <c r="R1531" s="194"/>
    </row>
    <row r="1532" spans="1:18" s="185" customFormat="1" ht="15.75" customHeight="1" hidden="1">
      <c r="A1532" s="191">
        <v>4120</v>
      </c>
      <c r="B1532" s="198" t="s">
        <v>504</v>
      </c>
      <c r="C1532" s="160"/>
      <c r="D1532" s="104">
        <f t="shared" si="189"/>
        <v>0</v>
      </c>
      <c r="E1532" s="129">
        <f t="shared" si="190"/>
        <v>0</v>
      </c>
      <c r="F1532" s="105" t="e">
        <f t="shared" si="191"/>
        <v>#DIV/0!</v>
      </c>
      <c r="G1532" s="160"/>
      <c r="H1532" s="104"/>
      <c r="I1532" s="256" t="e">
        <f t="shared" si="192"/>
        <v>#DIV/0!</v>
      </c>
      <c r="J1532" s="429"/>
      <c r="K1532" s="287"/>
      <c r="L1532" s="289"/>
      <c r="M1532" s="287"/>
      <c r="N1532" s="287"/>
      <c r="O1532" s="194"/>
      <c r="P1532" s="287"/>
      <c r="Q1532" s="287"/>
      <c r="R1532" s="194"/>
    </row>
    <row r="1533" spans="1:18" s="185" customFormat="1" ht="15" customHeight="1" hidden="1">
      <c r="A1533" s="191">
        <v>4140</v>
      </c>
      <c r="B1533" s="198" t="s">
        <v>457</v>
      </c>
      <c r="C1533" s="160"/>
      <c r="D1533" s="104">
        <f t="shared" si="189"/>
        <v>0</v>
      </c>
      <c r="E1533" s="129">
        <f t="shared" si="190"/>
        <v>0</v>
      </c>
      <c r="F1533" s="105" t="e">
        <f t="shared" si="191"/>
        <v>#DIV/0!</v>
      </c>
      <c r="G1533" s="160"/>
      <c r="H1533" s="104"/>
      <c r="I1533" s="256" t="e">
        <f t="shared" si="192"/>
        <v>#DIV/0!</v>
      </c>
      <c r="J1533" s="429"/>
      <c r="K1533" s="287"/>
      <c r="L1533" s="289"/>
      <c r="M1533" s="287"/>
      <c r="N1533" s="287"/>
      <c r="O1533" s="194"/>
      <c r="P1533" s="287"/>
      <c r="Q1533" s="287"/>
      <c r="R1533" s="194"/>
    </row>
    <row r="1534" spans="1:18" s="185" customFormat="1" ht="18" customHeight="1" hidden="1">
      <c r="A1534" s="227">
        <v>4440</v>
      </c>
      <c r="B1534" s="228" t="s">
        <v>368</v>
      </c>
      <c r="C1534" s="270"/>
      <c r="D1534" s="230">
        <f t="shared" si="189"/>
        <v>0</v>
      </c>
      <c r="E1534" s="236">
        <f t="shared" si="190"/>
        <v>0</v>
      </c>
      <c r="F1534" s="168" t="e">
        <f t="shared" si="191"/>
        <v>#DIV/0!</v>
      </c>
      <c r="G1534" s="270"/>
      <c r="H1534" s="230"/>
      <c r="I1534" s="232" t="e">
        <f t="shared" si="192"/>
        <v>#DIV/0!</v>
      </c>
      <c r="J1534" s="504"/>
      <c r="K1534" s="311"/>
      <c r="L1534" s="313"/>
      <c r="M1534" s="311"/>
      <c r="N1534" s="311"/>
      <c r="O1534" s="237"/>
      <c r="P1534" s="311"/>
      <c r="Q1534" s="311"/>
      <c r="R1534" s="237"/>
    </row>
    <row r="1535" spans="1:18" s="185" customFormat="1" ht="30.75" customHeight="1" hidden="1">
      <c r="A1535" s="307"/>
      <c r="B1535" s="308" t="s">
        <v>823</v>
      </c>
      <c r="C1535" s="309">
        <f>SUM(C1536:C1548)</f>
        <v>247900</v>
      </c>
      <c r="D1535" s="189">
        <f t="shared" si="189"/>
        <v>247900</v>
      </c>
      <c r="E1535" s="189">
        <f t="shared" si="190"/>
        <v>7934</v>
      </c>
      <c r="F1535" s="168">
        <f t="shared" si="191"/>
        <v>3.200484066155708</v>
      </c>
      <c r="G1535" s="309">
        <f>SUM(G1536:G1548)</f>
        <v>149900</v>
      </c>
      <c r="H1535" s="311">
        <f>SUM(H1536:H1548)</f>
        <v>4433</v>
      </c>
      <c r="I1535" s="232">
        <f t="shared" si="192"/>
        <v>2.957304869913276</v>
      </c>
      <c r="J1535" s="504"/>
      <c r="K1535" s="311"/>
      <c r="L1535" s="313"/>
      <c r="M1535" s="311">
        <f>SUM(M1536:M1548)</f>
        <v>98000</v>
      </c>
      <c r="N1535" s="311">
        <f>SUM(N1536:N1548)</f>
        <v>3501</v>
      </c>
      <c r="O1535" s="170">
        <f>N1535/M1535*100</f>
        <v>3.5724489795918366</v>
      </c>
      <c r="P1535" s="311"/>
      <c r="Q1535" s="311"/>
      <c r="R1535" s="237"/>
    </row>
    <row r="1536" spans="1:18" s="185" customFormat="1" ht="84">
      <c r="A1536" s="191">
        <v>2820</v>
      </c>
      <c r="B1536" s="198" t="s">
        <v>824</v>
      </c>
      <c r="C1536" s="128">
        <v>30000</v>
      </c>
      <c r="D1536" s="104">
        <f t="shared" si="189"/>
        <v>30000</v>
      </c>
      <c r="E1536" s="104">
        <f>H1536+K1536+Q1536+N1536</f>
        <v>3000</v>
      </c>
      <c r="F1536" s="105">
        <f t="shared" si="191"/>
        <v>10</v>
      </c>
      <c r="G1536" s="128">
        <v>30000</v>
      </c>
      <c r="H1536" s="129">
        <v>3000</v>
      </c>
      <c r="I1536" s="256">
        <f t="shared" si="192"/>
        <v>10</v>
      </c>
      <c r="J1536" s="193"/>
      <c r="K1536" s="129"/>
      <c r="L1536" s="110"/>
      <c r="M1536" s="129"/>
      <c r="N1536" s="129"/>
      <c r="O1536" s="194"/>
      <c r="P1536" s="129"/>
      <c r="Q1536" s="129"/>
      <c r="R1536" s="194"/>
    </row>
    <row r="1537" spans="1:18" s="185" customFormat="1" ht="48">
      <c r="A1537" s="191">
        <v>3040</v>
      </c>
      <c r="B1537" s="198" t="s">
        <v>734</v>
      </c>
      <c r="C1537" s="128">
        <v>3100</v>
      </c>
      <c r="D1537" s="104">
        <f t="shared" si="189"/>
        <v>3100</v>
      </c>
      <c r="E1537" s="104">
        <f>H1537+K1537+Q1537+N1537</f>
        <v>0</v>
      </c>
      <c r="F1537" s="105">
        <f>E1537/D1537*100</f>
        <v>0</v>
      </c>
      <c r="G1537" s="128"/>
      <c r="H1537" s="129"/>
      <c r="I1537" s="256"/>
      <c r="J1537" s="337"/>
      <c r="K1537" s="129"/>
      <c r="L1537" s="110"/>
      <c r="M1537" s="129">
        <v>3100</v>
      </c>
      <c r="N1537" s="129"/>
      <c r="O1537" s="256">
        <f>N1537/M1537*100</f>
        <v>0</v>
      </c>
      <c r="P1537" s="129"/>
      <c r="Q1537" s="129"/>
      <c r="R1537" s="194"/>
    </row>
    <row r="1538" spans="1:18" s="185" customFormat="1" ht="48" hidden="1">
      <c r="A1538" s="191">
        <v>4010</v>
      </c>
      <c r="B1538" s="198" t="s">
        <v>825</v>
      </c>
      <c r="C1538" s="128"/>
      <c r="D1538" s="104">
        <f t="shared" si="189"/>
        <v>0</v>
      </c>
      <c r="E1538" s="104">
        <f>H1538+K1538+Q1538+N1538</f>
        <v>0</v>
      </c>
      <c r="F1538" s="105" t="e">
        <f>E1538/D1538*100</f>
        <v>#DIV/0!</v>
      </c>
      <c r="G1538" s="128">
        <f>16040+750-4050+400+7800-11790-9150</f>
        <v>0</v>
      </c>
      <c r="H1538" s="129"/>
      <c r="I1538" s="256"/>
      <c r="J1538" s="337"/>
      <c r="K1538" s="129"/>
      <c r="L1538" s="110"/>
      <c r="M1538" s="129"/>
      <c r="N1538" s="129"/>
      <c r="O1538" s="256" t="e">
        <f>N1538/M1538*100</f>
        <v>#DIV/0!</v>
      </c>
      <c r="P1538" s="129"/>
      <c r="Q1538" s="129"/>
      <c r="R1538" s="194"/>
    </row>
    <row r="1539" spans="1:18" s="185" customFormat="1" ht="24">
      <c r="A1539" s="191">
        <v>4110</v>
      </c>
      <c r="B1539" s="198" t="s">
        <v>352</v>
      </c>
      <c r="C1539" s="128">
        <v>1000</v>
      </c>
      <c r="D1539" s="104">
        <f>G1539+J1539+P1539+M1539</f>
        <v>1000</v>
      </c>
      <c r="E1539" s="104">
        <f>H1539+K1539+Q1539+N1539</f>
        <v>0</v>
      </c>
      <c r="F1539" s="105">
        <f>E1539/D1539*100</f>
        <v>0</v>
      </c>
      <c r="G1539" s="128"/>
      <c r="H1539" s="129"/>
      <c r="I1539" s="108"/>
      <c r="J1539" s="337"/>
      <c r="K1539" s="129"/>
      <c r="L1539" s="110"/>
      <c r="M1539" s="129">
        <v>1000</v>
      </c>
      <c r="N1539" s="129"/>
      <c r="O1539" s="256">
        <f aca="true" t="shared" si="193" ref="O1539:O1548">N1539/M1539*100</f>
        <v>0</v>
      </c>
      <c r="P1539" s="129"/>
      <c r="Q1539" s="129"/>
      <c r="R1539" s="194"/>
    </row>
    <row r="1540" spans="1:18" s="185" customFormat="1" ht="24">
      <c r="A1540" s="191">
        <v>4170</v>
      </c>
      <c r="B1540" s="198" t="s">
        <v>392</v>
      </c>
      <c r="C1540" s="128">
        <v>8700</v>
      </c>
      <c r="D1540" s="104">
        <f>G1540+J1540+P1540+M1540</f>
        <v>8700</v>
      </c>
      <c r="E1540" s="104">
        <f>H1540+K1540+Q1540+N1540</f>
        <v>0</v>
      </c>
      <c r="F1540" s="105">
        <f>E1540/D1540*100</f>
        <v>0</v>
      </c>
      <c r="G1540" s="128"/>
      <c r="H1540" s="129"/>
      <c r="I1540" s="108"/>
      <c r="J1540" s="337"/>
      <c r="K1540" s="129"/>
      <c r="L1540" s="110"/>
      <c r="M1540" s="129">
        <v>8700</v>
      </c>
      <c r="N1540" s="129"/>
      <c r="O1540" s="256">
        <f t="shared" si="193"/>
        <v>0</v>
      </c>
      <c r="P1540" s="129"/>
      <c r="Q1540" s="129"/>
      <c r="R1540" s="194"/>
    </row>
    <row r="1541" spans="1:18" s="185" customFormat="1" ht="23.25" customHeight="1">
      <c r="A1541" s="191">
        <v>4210</v>
      </c>
      <c r="B1541" s="198" t="s">
        <v>826</v>
      </c>
      <c r="C1541" s="128">
        <v>7650</v>
      </c>
      <c r="D1541" s="104">
        <f t="shared" si="189"/>
        <v>7650</v>
      </c>
      <c r="E1541" s="129">
        <f aca="true" t="shared" si="194" ref="E1541:E1548">SUM(H1541+K1541+N1541+Q1541)</f>
        <v>1433</v>
      </c>
      <c r="F1541" s="105">
        <f t="shared" si="191"/>
        <v>18.73202614379085</v>
      </c>
      <c r="G1541" s="128">
        <v>7650</v>
      </c>
      <c r="H1541" s="129">
        <v>1433</v>
      </c>
      <c r="I1541" s="256">
        <f>H1541/G1541*100</f>
        <v>18.73202614379085</v>
      </c>
      <c r="J1541" s="337"/>
      <c r="K1541" s="129"/>
      <c r="L1541" s="110"/>
      <c r="M1541" s="129"/>
      <c r="N1541" s="129"/>
      <c r="O1541" s="256"/>
      <c r="P1541" s="129"/>
      <c r="Q1541" s="129"/>
      <c r="R1541" s="194"/>
    </row>
    <row r="1542" spans="1:18" s="185" customFormat="1" ht="23.25" customHeight="1">
      <c r="A1542" s="191">
        <v>4210</v>
      </c>
      <c r="B1542" s="198" t="s">
        <v>827</v>
      </c>
      <c r="C1542" s="128">
        <v>10000</v>
      </c>
      <c r="D1542" s="104">
        <f>G1542+J1542+P1542+M1542</f>
        <v>10000</v>
      </c>
      <c r="E1542" s="129">
        <f t="shared" si="194"/>
        <v>522</v>
      </c>
      <c r="F1542" s="105">
        <f>E1542/D1542*100</f>
        <v>5.220000000000001</v>
      </c>
      <c r="G1542" s="128"/>
      <c r="H1542" s="129"/>
      <c r="I1542" s="256"/>
      <c r="J1542" s="337"/>
      <c r="K1542" s="129"/>
      <c r="L1542" s="110"/>
      <c r="M1542" s="129">
        <v>10000</v>
      </c>
      <c r="N1542" s="129">
        <f>523-1</f>
        <v>522</v>
      </c>
      <c r="O1542" s="256">
        <f t="shared" si="193"/>
        <v>5.220000000000001</v>
      </c>
      <c r="P1542" s="129"/>
      <c r="Q1542" s="129"/>
      <c r="R1542" s="194"/>
    </row>
    <row r="1543" spans="1:18" s="185" customFormat="1" ht="24">
      <c r="A1543" s="191">
        <v>4300</v>
      </c>
      <c r="B1543" s="198" t="s">
        <v>364</v>
      </c>
      <c r="C1543" s="128">
        <v>30000</v>
      </c>
      <c r="D1543" s="104">
        <f t="shared" si="189"/>
        <v>30000</v>
      </c>
      <c r="E1543" s="129">
        <f t="shared" si="194"/>
        <v>2979</v>
      </c>
      <c r="F1543" s="105">
        <f t="shared" si="191"/>
        <v>9.93</v>
      </c>
      <c r="G1543" s="128"/>
      <c r="H1543" s="129"/>
      <c r="I1543" s="256"/>
      <c r="J1543" s="337"/>
      <c r="K1543" s="129"/>
      <c r="L1543" s="110"/>
      <c r="M1543" s="129">
        <v>30000</v>
      </c>
      <c r="N1543" s="129">
        <v>2979</v>
      </c>
      <c r="O1543" s="256">
        <f t="shared" si="193"/>
        <v>9.93</v>
      </c>
      <c r="P1543" s="129"/>
      <c r="Q1543" s="129"/>
      <c r="R1543" s="194"/>
    </row>
    <row r="1544" spans="1:18" s="185" customFormat="1" ht="23.25" customHeight="1">
      <c r="A1544" s="191">
        <v>4300</v>
      </c>
      <c r="B1544" s="198" t="s">
        <v>828</v>
      </c>
      <c r="C1544" s="128">
        <v>6250</v>
      </c>
      <c r="D1544" s="104">
        <f t="shared" si="189"/>
        <v>6250</v>
      </c>
      <c r="E1544" s="129">
        <f t="shared" si="194"/>
        <v>0</v>
      </c>
      <c r="F1544" s="105">
        <f t="shared" si="191"/>
        <v>0</v>
      </c>
      <c r="G1544" s="128">
        <v>6250</v>
      </c>
      <c r="H1544" s="129"/>
      <c r="I1544" s="256">
        <f>H1544/G1544*100</f>
        <v>0</v>
      </c>
      <c r="J1544" s="337"/>
      <c r="K1544" s="129"/>
      <c r="L1544" s="110"/>
      <c r="M1544" s="129"/>
      <c r="N1544" s="129"/>
      <c r="O1544" s="256"/>
      <c r="P1544" s="129"/>
      <c r="Q1544" s="129"/>
      <c r="R1544" s="194"/>
    </row>
    <row r="1545" spans="1:18" s="185" customFormat="1" ht="24" hidden="1">
      <c r="A1545" s="191">
        <v>4430</v>
      </c>
      <c r="B1545" s="198" t="s">
        <v>829</v>
      </c>
      <c r="C1545" s="128"/>
      <c r="D1545" s="104">
        <f t="shared" si="189"/>
        <v>0</v>
      </c>
      <c r="E1545" s="129">
        <f t="shared" si="194"/>
        <v>0</v>
      </c>
      <c r="F1545" s="105" t="e">
        <f t="shared" si="191"/>
        <v>#DIV/0!</v>
      </c>
      <c r="G1545" s="128"/>
      <c r="H1545" s="129"/>
      <c r="I1545" s="256" t="e">
        <f>H1545/G1545*100</f>
        <v>#DIV/0!</v>
      </c>
      <c r="J1545" s="337"/>
      <c r="K1545" s="129"/>
      <c r="L1545" s="110"/>
      <c r="M1545" s="129"/>
      <c r="N1545" s="129"/>
      <c r="O1545" s="256"/>
      <c r="P1545" s="129"/>
      <c r="Q1545" s="129"/>
      <c r="R1545" s="194"/>
    </row>
    <row r="1546" spans="1:18" s="185" customFormat="1" ht="12.75">
      <c r="A1546" s="191">
        <v>4440</v>
      </c>
      <c r="B1546" s="198" t="s">
        <v>368</v>
      </c>
      <c r="C1546" s="128">
        <v>151000</v>
      </c>
      <c r="D1546" s="104">
        <f>G1546+J1546+P1546+M1546</f>
        <v>151000</v>
      </c>
      <c r="E1546" s="104">
        <f>H1546+K1546+Q1546+N1546</f>
        <v>0</v>
      </c>
      <c r="F1546" s="105">
        <f>E1546/D1546*100</f>
        <v>0</v>
      </c>
      <c r="G1546" s="128">
        <v>106000</v>
      </c>
      <c r="H1546" s="104"/>
      <c r="I1546" s="256">
        <f>H1546/G1546*100</f>
        <v>0</v>
      </c>
      <c r="J1546" s="337"/>
      <c r="K1546" s="129"/>
      <c r="L1546" s="110"/>
      <c r="M1546" s="129">
        <v>45000</v>
      </c>
      <c r="N1546" s="129"/>
      <c r="O1546" s="256">
        <f t="shared" si="193"/>
        <v>0</v>
      </c>
      <c r="P1546" s="129"/>
      <c r="Q1546" s="129"/>
      <c r="R1546" s="194"/>
    </row>
    <row r="1547" spans="1:18" s="185" customFormat="1" ht="60.75" thickBot="1">
      <c r="A1547" s="267">
        <v>4740</v>
      </c>
      <c r="B1547" s="291" t="s">
        <v>380</v>
      </c>
      <c r="C1547" s="128">
        <v>200</v>
      </c>
      <c r="D1547" s="104">
        <f>G1547+J1547+P1547+M1547</f>
        <v>200</v>
      </c>
      <c r="E1547" s="104">
        <f>H1547+K1547+Q1547+N1547</f>
        <v>0</v>
      </c>
      <c r="F1547" s="105">
        <f>E1547/D1547*100</f>
        <v>0</v>
      </c>
      <c r="G1547" s="128"/>
      <c r="H1547" s="104"/>
      <c r="I1547" s="256"/>
      <c r="J1547" s="337"/>
      <c r="K1547" s="129"/>
      <c r="L1547" s="110"/>
      <c r="M1547" s="129">
        <v>200</v>
      </c>
      <c r="N1547" s="129"/>
      <c r="O1547" s="256">
        <f t="shared" si="193"/>
        <v>0</v>
      </c>
      <c r="P1547" s="129"/>
      <c r="Q1547" s="129"/>
      <c r="R1547" s="194"/>
    </row>
    <row r="1548" spans="1:18" s="185" customFormat="1" ht="24.75" hidden="1" thickBot="1">
      <c r="A1548" s="191">
        <v>6050</v>
      </c>
      <c r="B1548" s="198" t="s">
        <v>396</v>
      </c>
      <c r="C1548" s="128"/>
      <c r="D1548" s="104">
        <f>G1548+J1548+P1548+M1548</f>
        <v>0</v>
      </c>
      <c r="E1548" s="129">
        <f t="shared" si="194"/>
        <v>0</v>
      </c>
      <c r="F1548" s="105" t="e">
        <f t="shared" si="191"/>
        <v>#DIV/0!</v>
      </c>
      <c r="G1548" s="128"/>
      <c r="H1548" s="129"/>
      <c r="I1548" s="108"/>
      <c r="J1548" s="337"/>
      <c r="K1548" s="129"/>
      <c r="L1548" s="110"/>
      <c r="M1548" s="129"/>
      <c r="N1548" s="129"/>
      <c r="O1548" s="256" t="e">
        <f t="shared" si="193"/>
        <v>#DIV/0!</v>
      </c>
      <c r="P1548" s="129"/>
      <c r="Q1548" s="129"/>
      <c r="R1548" s="194"/>
    </row>
    <row r="1549" spans="1:18" s="185" customFormat="1" ht="49.5" thickBot="1" thickTop="1">
      <c r="A1549" s="201">
        <v>900</v>
      </c>
      <c r="B1549" s="202" t="s">
        <v>830</v>
      </c>
      <c r="C1549" s="183">
        <f>C1563+C1566+C1574+C1579+C1569+C1550</f>
        <v>19343100</v>
      </c>
      <c r="D1549" s="78">
        <f t="shared" si="189"/>
        <v>19785211</v>
      </c>
      <c r="E1549" s="83">
        <f>H1549+K1549+Q1549+N1549</f>
        <v>2809017</v>
      </c>
      <c r="F1549" s="79">
        <f t="shared" si="191"/>
        <v>14.197558974731178</v>
      </c>
      <c r="G1549" s="183">
        <f>G1563+G1566+G1574+G1579+G1569+G1550</f>
        <v>15381211</v>
      </c>
      <c r="H1549" s="83">
        <f>H1563+H1566+H1574+H1579+H1569+H1550</f>
        <v>1809532</v>
      </c>
      <c r="I1549" s="205">
        <f aca="true" t="shared" si="195" ref="I1549:I1602">H1549/G1549*100</f>
        <v>11.764561320951907</v>
      </c>
      <c r="J1549" s="83"/>
      <c r="K1549" s="83"/>
      <c r="L1549" s="207"/>
      <c r="M1549" s="83">
        <f>M1563+M1566+M1574+M1579+M1569+M1550</f>
        <v>4404000</v>
      </c>
      <c r="N1549" s="83">
        <f>N1563+N1566+N1574+N1579+N1569+N1550</f>
        <v>999485</v>
      </c>
      <c r="O1549" s="205">
        <f>N1549/M1549*100</f>
        <v>22.69493642143506</v>
      </c>
      <c r="P1549" s="83"/>
      <c r="Q1549" s="83"/>
      <c r="R1549" s="184"/>
    </row>
    <row r="1550" spans="1:18" s="185" customFormat="1" ht="30" customHeight="1" thickTop="1">
      <c r="A1550" s="186">
        <v>90001</v>
      </c>
      <c r="B1550" s="294" t="s">
        <v>831</v>
      </c>
      <c r="C1550" s="188">
        <f>SUM(C1551:C1554)</f>
        <v>5470000</v>
      </c>
      <c r="D1550" s="189">
        <f t="shared" si="189"/>
        <v>5432000</v>
      </c>
      <c r="E1550" s="311">
        <f>H1550+K1550+Q1550+N1550</f>
        <v>449847</v>
      </c>
      <c r="F1550" s="168">
        <f t="shared" si="191"/>
        <v>8.281424889543446</v>
      </c>
      <c r="G1550" s="188">
        <f>SUM(G1551:G1554)</f>
        <v>4920000</v>
      </c>
      <c r="H1550" s="119">
        <f>SUM(H1551:H1554)</f>
        <v>366038</v>
      </c>
      <c r="I1550" s="442">
        <f t="shared" si="195"/>
        <v>7.439796747967479</v>
      </c>
      <c r="J1550" s="124"/>
      <c r="K1550" s="119"/>
      <c r="L1550" s="170"/>
      <c r="M1550" s="119">
        <f>SUM(M1551:M1554)</f>
        <v>512000</v>
      </c>
      <c r="N1550" s="119">
        <f>SUM(N1551:N1554)</f>
        <v>83809</v>
      </c>
      <c r="O1550" s="232">
        <f>N1550/M1550*100</f>
        <v>16.3689453125</v>
      </c>
      <c r="P1550" s="119"/>
      <c r="Q1550" s="119"/>
      <c r="R1550" s="190"/>
    </row>
    <row r="1551" spans="1:18" s="269" customFormat="1" ht="18.75" customHeight="1">
      <c r="A1551" s="267">
        <v>4300</v>
      </c>
      <c r="B1551" s="315" t="s">
        <v>364</v>
      </c>
      <c r="C1551" s="148">
        <v>1220000</v>
      </c>
      <c r="D1551" s="104">
        <f t="shared" si="189"/>
        <v>1220000</v>
      </c>
      <c r="E1551" s="129">
        <f aca="true" t="shared" si="196" ref="E1551:E1559">SUM(H1551+K1551+N1551+Q1551)</f>
        <v>182194</v>
      </c>
      <c r="F1551" s="105">
        <f t="shared" si="191"/>
        <v>14.93393442622951</v>
      </c>
      <c r="G1551" s="148">
        <f>708000-100000+100000</f>
        <v>708000</v>
      </c>
      <c r="H1551" s="104">
        <v>98385</v>
      </c>
      <c r="I1551" s="256">
        <f t="shared" si="195"/>
        <v>13.896186440677965</v>
      </c>
      <c r="J1551" s="153"/>
      <c r="K1551" s="104"/>
      <c r="L1551" s="108"/>
      <c r="M1551" s="104">
        <v>512000</v>
      </c>
      <c r="N1551" s="104">
        <v>83809</v>
      </c>
      <c r="O1551" s="256">
        <f>N1551/M1551*100</f>
        <v>16.3689453125</v>
      </c>
      <c r="P1551" s="104"/>
      <c r="Q1551" s="104"/>
      <c r="R1551" s="194"/>
    </row>
    <row r="1552" spans="1:18" s="269" customFormat="1" ht="17.25" customHeight="1" hidden="1">
      <c r="A1552" s="267">
        <v>4430</v>
      </c>
      <c r="B1552" s="305" t="s">
        <v>366</v>
      </c>
      <c r="C1552" s="160"/>
      <c r="D1552" s="104">
        <f t="shared" si="189"/>
        <v>0</v>
      </c>
      <c r="E1552" s="129">
        <f t="shared" si="196"/>
        <v>0</v>
      </c>
      <c r="F1552" s="105" t="e">
        <f t="shared" si="191"/>
        <v>#DIV/0!</v>
      </c>
      <c r="G1552" s="160"/>
      <c r="H1552" s="104"/>
      <c r="I1552" s="256" t="e">
        <f t="shared" si="195"/>
        <v>#DIV/0!</v>
      </c>
      <c r="J1552" s="109"/>
      <c r="K1552" s="104"/>
      <c r="L1552" s="108"/>
      <c r="M1552" s="104"/>
      <c r="N1552" s="104"/>
      <c r="O1552" s="256" t="e">
        <f>N1552/M1552*100</f>
        <v>#DIV/0!</v>
      </c>
      <c r="P1552" s="104"/>
      <c r="Q1552" s="104"/>
      <c r="R1552" s="194"/>
    </row>
    <row r="1553" spans="1:18" s="269" customFormat="1" ht="16.5" customHeight="1" hidden="1">
      <c r="A1553" s="267">
        <v>4580</v>
      </c>
      <c r="B1553" s="305" t="s">
        <v>394</v>
      </c>
      <c r="C1553" s="160"/>
      <c r="D1553" s="104">
        <f t="shared" si="189"/>
        <v>0</v>
      </c>
      <c r="E1553" s="129">
        <f t="shared" si="196"/>
        <v>0</v>
      </c>
      <c r="F1553" s="105" t="e">
        <f t="shared" si="191"/>
        <v>#DIV/0!</v>
      </c>
      <c r="G1553" s="160"/>
      <c r="H1553" s="104"/>
      <c r="I1553" s="256" t="e">
        <f t="shared" si="195"/>
        <v>#DIV/0!</v>
      </c>
      <c r="J1553" s="109"/>
      <c r="K1553" s="104"/>
      <c r="L1553" s="108"/>
      <c r="M1553" s="104"/>
      <c r="N1553" s="104"/>
      <c r="O1553" s="256" t="e">
        <f>N1553/M1553*100</f>
        <v>#DIV/0!</v>
      </c>
      <c r="P1553" s="104"/>
      <c r="Q1553" s="104"/>
      <c r="R1553" s="194"/>
    </row>
    <row r="1554" spans="1:18" ht="24">
      <c r="A1554" s="418">
        <v>6050</v>
      </c>
      <c r="B1554" s="198" t="s">
        <v>449</v>
      </c>
      <c r="C1554" s="128">
        <v>4250000</v>
      </c>
      <c r="D1554" s="104">
        <f t="shared" si="189"/>
        <v>4212000</v>
      </c>
      <c r="E1554" s="129">
        <f t="shared" si="196"/>
        <v>267653</v>
      </c>
      <c r="F1554" s="105">
        <f t="shared" si="191"/>
        <v>6.354534662867996</v>
      </c>
      <c r="G1554" s="128">
        <f>4250000-38000</f>
        <v>4212000</v>
      </c>
      <c r="H1554" s="129">
        <v>267653</v>
      </c>
      <c r="I1554" s="256">
        <f t="shared" si="195"/>
        <v>6.354534662867996</v>
      </c>
      <c r="J1554" s="193"/>
      <c r="K1554" s="129"/>
      <c r="L1554" s="108"/>
      <c r="M1554" s="129"/>
      <c r="N1554" s="129"/>
      <c r="O1554" s="256"/>
      <c r="P1554" s="129"/>
      <c r="Q1554" s="129"/>
      <c r="R1554" s="194"/>
    </row>
    <row r="1555" spans="1:18" s="327" customFormat="1" ht="25.5" customHeight="1" hidden="1">
      <c r="A1555" s="505"/>
      <c r="B1555" s="506" t="s">
        <v>832</v>
      </c>
      <c r="C1555" s="128">
        <v>200000</v>
      </c>
      <c r="D1555" s="104">
        <f t="shared" si="189"/>
        <v>200000</v>
      </c>
      <c r="E1555" s="129">
        <f t="shared" si="196"/>
        <v>0</v>
      </c>
      <c r="F1555" s="105">
        <f t="shared" si="191"/>
        <v>0</v>
      </c>
      <c r="G1555" s="128">
        <v>200000</v>
      </c>
      <c r="H1555" s="507"/>
      <c r="I1555" s="256">
        <f t="shared" si="195"/>
        <v>0</v>
      </c>
      <c r="J1555" s="326"/>
      <c r="K1555" s="325"/>
      <c r="L1555" s="108"/>
      <c r="M1555" s="325"/>
      <c r="N1555" s="325"/>
      <c r="O1555" s="108"/>
      <c r="P1555" s="325"/>
      <c r="Q1555" s="325"/>
      <c r="R1555" s="110"/>
    </row>
    <row r="1556" spans="1:18" s="327" customFormat="1" ht="25.5" customHeight="1" hidden="1">
      <c r="A1556" s="505"/>
      <c r="B1556" s="506" t="s">
        <v>833</v>
      </c>
      <c r="C1556" s="128">
        <v>800000</v>
      </c>
      <c r="D1556" s="104">
        <f t="shared" si="189"/>
        <v>600000</v>
      </c>
      <c r="E1556" s="129">
        <f t="shared" si="196"/>
        <v>0</v>
      </c>
      <c r="F1556" s="105">
        <f t="shared" si="191"/>
        <v>0</v>
      </c>
      <c r="G1556" s="128">
        <f>800000-200000</f>
        <v>600000</v>
      </c>
      <c r="H1556" s="507"/>
      <c r="I1556" s="256">
        <f t="shared" si="195"/>
        <v>0</v>
      </c>
      <c r="J1556" s="326"/>
      <c r="K1556" s="325"/>
      <c r="L1556" s="108"/>
      <c r="M1556" s="325"/>
      <c r="N1556" s="325"/>
      <c r="O1556" s="108"/>
      <c r="P1556" s="325"/>
      <c r="Q1556" s="325"/>
      <c r="R1556" s="110"/>
    </row>
    <row r="1557" spans="1:18" s="327" customFormat="1" ht="17.25" customHeight="1" hidden="1">
      <c r="A1557" s="505"/>
      <c r="B1557" s="506" t="s">
        <v>834</v>
      </c>
      <c r="C1557" s="128">
        <v>100000</v>
      </c>
      <c r="D1557" s="104">
        <f t="shared" si="189"/>
        <v>100000</v>
      </c>
      <c r="E1557" s="129">
        <f t="shared" si="196"/>
        <v>0</v>
      </c>
      <c r="F1557" s="105">
        <f t="shared" si="191"/>
        <v>0</v>
      </c>
      <c r="G1557" s="128">
        <v>100000</v>
      </c>
      <c r="H1557" s="507"/>
      <c r="I1557" s="256">
        <f t="shared" si="195"/>
        <v>0</v>
      </c>
      <c r="J1557" s="326"/>
      <c r="K1557" s="325"/>
      <c r="L1557" s="108"/>
      <c r="M1557" s="325"/>
      <c r="N1557" s="325"/>
      <c r="O1557" s="108"/>
      <c r="P1557" s="325"/>
      <c r="Q1557" s="325"/>
      <c r="R1557" s="110"/>
    </row>
    <row r="1558" spans="1:18" s="327" customFormat="1" ht="38.25" customHeight="1" hidden="1">
      <c r="A1558" s="505"/>
      <c r="B1558" s="506" t="s">
        <v>835</v>
      </c>
      <c r="C1558" s="128">
        <v>700000</v>
      </c>
      <c r="D1558" s="104">
        <f t="shared" si="189"/>
        <v>550000</v>
      </c>
      <c r="E1558" s="129">
        <f t="shared" si="196"/>
        <v>0</v>
      </c>
      <c r="F1558" s="105">
        <f t="shared" si="191"/>
        <v>0</v>
      </c>
      <c r="G1558" s="128">
        <f>700000-150000</f>
        <v>550000</v>
      </c>
      <c r="H1558" s="507"/>
      <c r="I1558" s="256">
        <f t="shared" si="195"/>
        <v>0</v>
      </c>
      <c r="J1558" s="326"/>
      <c r="K1558" s="325"/>
      <c r="L1558" s="108"/>
      <c r="M1558" s="325"/>
      <c r="N1558" s="325"/>
      <c r="O1558" s="108"/>
      <c r="P1558" s="325"/>
      <c r="Q1558" s="325"/>
      <c r="R1558" s="110"/>
    </row>
    <row r="1559" spans="1:18" s="327" customFormat="1" ht="25.5" customHeight="1" hidden="1">
      <c r="A1559" s="322"/>
      <c r="B1559" s="506" t="s">
        <v>836</v>
      </c>
      <c r="C1559" s="128">
        <v>500000</v>
      </c>
      <c r="D1559" s="104">
        <f t="shared" si="189"/>
        <v>1300000</v>
      </c>
      <c r="E1559" s="129">
        <f t="shared" si="196"/>
        <v>0</v>
      </c>
      <c r="F1559" s="105">
        <f t="shared" si="191"/>
        <v>0</v>
      </c>
      <c r="G1559" s="128">
        <f>500000+800000</f>
        <v>1300000</v>
      </c>
      <c r="H1559" s="325"/>
      <c r="I1559" s="256">
        <f t="shared" si="195"/>
        <v>0</v>
      </c>
      <c r="J1559" s="326"/>
      <c r="K1559" s="325"/>
      <c r="L1559" s="108"/>
      <c r="M1559" s="325"/>
      <c r="N1559" s="325"/>
      <c r="O1559" s="108"/>
      <c r="P1559" s="325"/>
      <c r="Q1559" s="325"/>
      <c r="R1559" s="262"/>
    </row>
    <row r="1560" spans="1:18" s="327" customFormat="1" ht="49.5" customHeight="1" hidden="1">
      <c r="A1560" s="322"/>
      <c r="B1560" s="506" t="s">
        <v>837</v>
      </c>
      <c r="C1560" s="128">
        <v>200000</v>
      </c>
      <c r="D1560" s="104"/>
      <c r="E1560" s="129"/>
      <c r="F1560" s="105"/>
      <c r="G1560" s="128">
        <v>200000</v>
      </c>
      <c r="H1560" s="325"/>
      <c r="I1560" s="256"/>
      <c r="J1560" s="326"/>
      <c r="K1560" s="325"/>
      <c r="L1560" s="108"/>
      <c r="M1560" s="325"/>
      <c r="N1560" s="325"/>
      <c r="O1560" s="108"/>
      <c r="P1560" s="325"/>
      <c r="Q1560" s="325"/>
      <c r="R1560" s="262"/>
    </row>
    <row r="1561" spans="1:18" s="327" customFormat="1" ht="59.25" customHeight="1" hidden="1">
      <c r="A1561" s="322"/>
      <c r="B1561" s="506" t="s">
        <v>838</v>
      </c>
      <c r="C1561" s="128">
        <v>200000</v>
      </c>
      <c r="D1561" s="104"/>
      <c r="E1561" s="129"/>
      <c r="F1561" s="105"/>
      <c r="G1561" s="128">
        <f>200000-80000</f>
        <v>120000</v>
      </c>
      <c r="H1561" s="325"/>
      <c r="I1561" s="256"/>
      <c r="J1561" s="326"/>
      <c r="K1561" s="325"/>
      <c r="L1561" s="108"/>
      <c r="M1561" s="325"/>
      <c r="N1561" s="325"/>
      <c r="O1561" s="108"/>
      <c r="P1561" s="325"/>
      <c r="Q1561" s="325"/>
      <c r="R1561" s="262"/>
    </row>
    <row r="1562" spans="1:18" s="327" customFormat="1" ht="60" customHeight="1" hidden="1">
      <c r="A1562" s="322"/>
      <c r="B1562" s="506" t="s">
        <v>839</v>
      </c>
      <c r="C1562" s="128">
        <v>200000</v>
      </c>
      <c r="D1562" s="104"/>
      <c r="E1562" s="129"/>
      <c r="F1562" s="105"/>
      <c r="G1562" s="229">
        <v>200000</v>
      </c>
      <c r="H1562" s="508"/>
      <c r="I1562" s="256"/>
      <c r="J1562" s="326"/>
      <c r="K1562" s="325"/>
      <c r="L1562" s="108"/>
      <c r="M1562" s="325"/>
      <c r="N1562" s="325"/>
      <c r="O1562" s="108"/>
      <c r="P1562" s="325"/>
      <c r="Q1562" s="325"/>
      <c r="R1562" s="262"/>
    </row>
    <row r="1563" spans="1:18" s="185" customFormat="1" ht="24">
      <c r="A1563" s="186">
        <v>90003</v>
      </c>
      <c r="B1563" s="294" t="s">
        <v>840</v>
      </c>
      <c r="C1563" s="188">
        <f>SUM(C1564:C1565)</f>
        <v>3220000</v>
      </c>
      <c r="D1563" s="137">
        <f aca="true" t="shared" si="197" ref="D1563:E1582">G1563+J1563+P1563+M1563</f>
        <v>3220000</v>
      </c>
      <c r="E1563" s="119">
        <f t="shared" si="197"/>
        <v>827228</v>
      </c>
      <c r="F1563" s="120">
        <f t="shared" si="191"/>
        <v>25.690310559006214</v>
      </c>
      <c r="G1563" s="119">
        <f>SUM(G1565:G1565)</f>
        <v>1508000</v>
      </c>
      <c r="H1563" s="124">
        <f>SUM(H1565:H1565)</f>
        <v>352283</v>
      </c>
      <c r="I1563" s="214">
        <f t="shared" si="195"/>
        <v>23.360941644562335</v>
      </c>
      <c r="J1563" s="124"/>
      <c r="K1563" s="119"/>
      <c r="L1563" s="127"/>
      <c r="M1563" s="119">
        <f>SUM(M1564:M1565)</f>
        <v>1712000</v>
      </c>
      <c r="N1563" s="119">
        <f>SUM(N1564:N1565)</f>
        <v>474945</v>
      </c>
      <c r="O1563" s="214">
        <f>N1563/M1563*100</f>
        <v>27.742114485981308</v>
      </c>
      <c r="P1563" s="119"/>
      <c r="Q1563" s="119"/>
      <c r="R1563" s="283"/>
    </row>
    <row r="1564" spans="1:18" s="269" customFormat="1" ht="24">
      <c r="A1564" s="267">
        <v>4270</v>
      </c>
      <c r="B1564" s="305" t="s">
        <v>362</v>
      </c>
      <c r="C1564" s="160">
        <v>150000</v>
      </c>
      <c r="D1564" s="104">
        <f>G1564+J1564+P1564+M1564</f>
        <v>150000</v>
      </c>
      <c r="E1564" s="149">
        <f>H1564+K1564+Q1564+N1564</f>
        <v>10120</v>
      </c>
      <c r="F1564" s="105">
        <f>E1564/D1564*100</f>
        <v>6.746666666666666</v>
      </c>
      <c r="G1564" s="104"/>
      <c r="H1564" s="109"/>
      <c r="I1564" s="108"/>
      <c r="J1564" s="109"/>
      <c r="K1564" s="104"/>
      <c r="L1564" s="108"/>
      <c r="M1564" s="104">
        <v>150000</v>
      </c>
      <c r="N1564" s="104">
        <v>10120</v>
      </c>
      <c r="O1564" s="256">
        <f>N1564/M1564*100</f>
        <v>6.746666666666666</v>
      </c>
      <c r="P1564" s="104"/>
      <c r="Q1564" s="104"/>
      <c r="R1564" s="200"/>
    </row>
    <row r="1565" spans="1:18" ht="16.5" customHeight="1">
      <c r="A1565" s="191">
        <v>4300</v>
      </c>
      <c r="B1565" s="198" t="s">
        <v>364</v>
      </c>
      <c r="C1565" s="128">
        <v>3070000</v>
      </c>
      <c r="D1565" s="104">
        <f t="shared" si="197"/>
        <v>3070000</v>
      </c>
      <c r="E1565" s="230">
        <f t="shared" si="197"/>
        <v>817108</v>
      </c>
      <c r="F1565" s="105">
        <f t="shared" si="191"/>
        <v>26.615895765472313</v>
      </c>
      <c r="G1565" s="129">
        <v>1508000</v>
      </c>
      <c r="H1565" s="193">
        <v>352283</v>
      </c>
      <c r="I1565" s="256">
        <f t="shared" si="195"/>
        <v>23.360941644562335</v>
      </c>
      <c r="J1565" s="193"/>
      <c r="K1565" s="129"/>
      <c r="L1565" s="108"/>
      <c r="M1565" s="129">
        <v>1562000</v>
      </c>
      <c r="N1565" s="129">
        <v>464825</v>
      </c>
      <c r="O1565" s="256">
        <f>N1565/M1565*100</f>
        <v>29.75832266325224</v>
      </c>
      <c r="P1565" s="129"/>
      <c r="Q1565" s="129"/>
      <c r="R1565" s="200"/>
    </row>
    <row r="1566" spans="1:18" s="185" customFormat="1" ht="28.5" customHeight="1">
      <c r="A1566" s="186">
        <v>90004</v>
      </c>
      <c r="B1566" s="294" t="s">
        <v>841</v>
      </c>
      <c r="C1566" s="188">
        <f>SUM(C1567:C1568)</f>
        <v>2600000</v>
      </c>
      <c r="D1566" s="137">
        <f t="shared" si="197"/>
        <v>2600000</v>
      </c>
      <c r="E1566" s="119">
        <f t="shared" si="197"/>
        <v>71699</v>
      </c>
      <c r="F1566" s="120">
        <f t="shared" si="191"/>
        <v>2.757653846153846</v>
      </c>
      <c r="G1566" s="119">
        <f>SUM(G1567:G1568)</f>
        <v>1800000</v>
      </c>
      <c r="H1566" s="124">
        <f>SUM(H1567:H1568)</f>
        <v>52946</v>
      </c>
      <c r="I1566" s="214">
        <f t="shared" si="195"/>
        <v>2.9414444444444445</v>
      </c>
      <c r="J1566" s="124"/>
      <c r="K1566" s="119"/>
      <c r="L1566" s="127"/>
      <c r="M1566" s="119">
        <f>SUM(M1567:M1567)</f>
        <v>800000</v>
      </c>
      <c r="N1566" s="119">
        <f>SUM(N1567:N1567)</f>
        <v>18753</v>
      </c>
      <c r="O1566" s="214">
        <f>N1566/M1566*100</f>
        <v>2.344125</v>
      </c>
      <c r="P1566" s="119"/>
      <c r="Q1566" s="119"/>
      <c r="R1566" s="283"/>
    </row>
    <row r="1567" spans="1:18" ht="24">
      <c r="A1567" s="172">
        <v>4300</v>
      </c>
      <c r="B1567" s="320" t="s">
        <v>364</v>
      </c>
      <c r="C1567" s="132">
        <v>1800000</v>
      </c>
      <c r="D1567" s="149">
        <f t="shared" si="197"/>
        <v>1800000</v>
      </c>
      <c r="E1567" s="150">
        <f>SUM(H1567+K1567+N1567+Q1567)</f>
        <v>70948</v>
      </c>
      <c r="F1567" s="130">
        <f t="shared" si="191"/>
        <v>3.941555555555556</v>
      </c>
      <c r="G1567" s="150">
        <v>1000000</v>
      </c>
      <c r="H1567" s="223">
        <v>52195</v>
      </c>
      <c r="I1567" s="222">
        <f t="shared" si="195"/>
        <v>5.2195</v>
      </c>
      <c r="J1567" s="223"/>
      <c r="K1567" s="150"/>
      <c r="L1567" s="113"/>
      <c r="M1567" s="150">
        <v>800000</v>
      </c>
      <c r="N1567" s="150">
        <v>18753</v>
      </c>
      <c r="O1567" s="222">
        <f>N1567/M1567*100</f>
        <v>2.344125</v>
      </c>
      <c r="P1567" s="150"/>
      <c r="Q1567" s="150"/>
      <c r="R1567" s="226"/>
    </row>
    <row r="1568" spans="1:18" ht="24">
      <c r="A1568" s="418">
        <v>6050</v>
      </c>
      <c r="B1568" s="198" t="s">
        <v>449</v>
      </c>
      <c r="C1568" s="229">
        <v>800000</v>
      </c>
      <c r="D1568" s="230">
        <f t="shared" si="197"/>
        <v>800000</v>
      </c>
      <c r="E1568" s="129">
        <f>SUM(H1568+K1568+N1568+Q1568)</f>
        <v>751</v>
      </c>
      <c r="F1568" s="105">
        <f t="shared" si="191"/>
        <v>0.093875</v>
      </c>
      <c r="G1568" s="236">
        <v>800000</v>
      </c>
      <c r="H1568" s="233">
        <v>751</v>
      </c>
      <c r="I1568" s="256">
        <f t="shared" si="195"/>
        <v>0.093875</v>
      </c>
      <c r="J1568" s="233"/>
      <c r="K1568" s="236"/>
      <c r="L1568" s="170"/>
      <c r="M1568" s="236"/>
      <c r="N1568" s="236"/>
      <c r="O1568" s="170"/>
      <c r="P1568" s="236"/>
      <c r="Q1568" s="236"/>
      <c r="R1568" s="238"/>
    </row>
    <row r="1569" spans="1:18" s="185" customFormat="1" ht="12.75" customHeight="1">
      <c r="A1569" s="186">
        <v>90013</v>
      </c>
      <c r="B1569" s="294" t="s">
        <v>842</v>
      </c>
      <c r="C1569" s="188">
        <f>SUM(C1570:C1573)</f>
        <v>960000</v>
      </c>
      <c r="D1569" s="137">
        <f t="shared" si="197"/>
        <v>960000</v>
      </c>
      <c r="E1569" s="119">
        <f>H1569+K1569+Q1569+N1569</f>
        <v>125132</v>
      </c>
      <c r="F1569" s="120">
        <f t="shared" si="191"/>
        <v>13.034583333333332</v>
      </c>
      <c r="G1569" s="119">
        <f>SUM(G1570:G1573)</f>
        <v>960000</v>
      </c>
      <c r="H1569" s="119">
        <f>SUM(H1570:H1573)</f>
        <v>125132</v>
      </c>
      <c r="I1569" s="214">
        <f t="shared" si="195"/>
        <v>13.034583333333332</v>
      </c>
      <c r="J1569" s="124"/>
      <c r="K1569" s="119"/>
      <c r="L1569" s="243"/>
      <c r="M1569" s="119"/>
      <c r="N1569" s="119"/>
      <c r="O1569" s="127"/>
      <c r="P1569" s="119"/>
      <c r="Q1569" s="119"/>
      <c r="R1569" s="283"/>
    </row>
    <row r="1570" spans="1:18" s="269" customFormat="1" ht="24" hidden="1">
      <c r="A1570" s="267">
        <v>4210</v>
      </c>
      <c r="B1570" s="305" t="s">
        <v>356</v>
      </c>
      <c r="C1570" s="160"/>
      <c r="D1570" s="104">
        <f t="shared" si="197"/>
        <v>0</v>
      </c>
      <c r="E1570" s="129">
        <f>SUM(H1570+K1570+N1570+Q1570)</f>
        <v>0</v>
      </c>
      <c r="F1570" s="105" t="e">
        <f t="shared" si="191"/>
        <v>#DIV/0!</v>
      </c>
      <c r="G1570" s="104"/>
      <c r="H1570" s="109"/>
      <c r="I1570" s="256" t="e">
        <f t="shared" si="195"/>
        <v>#DIV/0!</v>
      </c>
      <c r="J1570" s="109"/>
      <c r="K1570" s="104"/>
      <c r="L1570" s="108"/>
      <c r="M1570" s="104"/>
      <c r="N1570" s="104"/>
      <c r="O1570" s="108"/>
      <c r="P1570" s="104"/>
      <c r="Q1570" s="104"/>
      <c r="R1570" s="200"/>
    </row>
    <row r="1571" spans="1:18" s="269" customFormat="1" ht="16.5" customHeight="1" hidden="1">
      <c r="A1571" s="267">
        <v>4270</v>
      </c>
      <c r="B1571" s="305" t="s">
        <v>362</v>
      </c>
      <c r="C1571" s="160"/>
      <c r="D1571" s="104">
        <f t="shared" si="197"/>
        <v>0</v>
      </c>
      <c r="E1571" s="129">
        <f>SUM(H1571+K1571+N1571+Q1571)</f>
        <v>0</v>
      </c>
      <c r="F1571" s="105" t="e">
        <f t="shared" si="191"/>
        <v>#DIV/0!</v>
      </c>
      <c r="G1571" s="104"/>
      <c r="H1571" s="109"/>
      <c r="I1571" s="256" t="e">
        <f t="shared" si="195"/>
        <v>#DIV/0!</v>
      </c>
      <c r="J1571" s="109"/>
      <c r="K1571" s="104"/>
      <c r="L1571" s="108"/>
      <c r="M1571" s="104"/>
      <c r="N1571" s="104"/>
      <c r="O1571" s="108"/>
      <c r="P1571" s="104"/>
      <c r="Q1571" s="104"/>
      <c r="R1571" s="200"/>
    </row>
    <row r="1572" spans="1:18" ht="36">
      <c r="A1572" s="191">
        <v>4300</v>
      </c>
      <c r="B1572" s="198" t="s">
        <v>843</v>
      </c>
      <c r="C1572" s="128">
        <v>460000</v>
      </c>
      <c r="D1572" s="104">
        <f t="shared" si="197"/>
        <v>460000</v>
      </c>
      <c r="E1572" s="129">
        <f>SUM(H1572+K1572+N1572+Q1572)</f>
        <v>125132</v>
      </c>
      <c r="F1572" s="105">
        <f t="shared" si="191"/>
        <v>27.202608695652174</v>
      </c>
      <c r="G1572" s="129">
        <v>460000</v>
      </c>
      <c r="H1572" s="193">
        <v>125132</v>
      </c>
      <c r="I1572" s="256">
        <f t="shared" si="195"/>
        <v>27.202608695652174</v>
      </c>
      <c r="J1572" s="193"/>
      <c r="K1572" s="129"/>
      <c r="L1572" s="108"/>
      <c r="M1572" s="129"/>
      <c r="N1572" s="129"/>
      <c r="O1572" s="108"/>
      <c r="P1572" s="129"/>
      <c r="Q1572" s="129"/>
      <c r="R1572" s="200"/>
    </row>
    <row r="1573" spans="1:18" ht="36">
      <c r="A1573" s="191">
        <v>6050</v>
      </c>
      <c r="B1573" s="198" t="s">
        <v>844</v>
      </c>
      <c r="C1573" s="128">
        <v>500000</v>
      </c>
      <c r="D1573" s="104">
        <f t="shared" si="197"/>
        <v>500000</v>
      </c>
      <c r="E1573" s="104">
        <f>H1573+K1573+Q1573+N1573</f>
        <v>0</v>
      </c>
      <c r="F1573" s="105">
        <f t="shared" si="191"/>
        <v>0</v>
      </c>
      <c r="G1573" s="128">
        <v>500000</v>
      </c>
      <c r="H1573" s="337"/>
      <c r="I1573" s="256">
        <f t="shared" si="195"/>
        <v>0</v>
      </c>
      <c r="J1573" s="193"/>
      <c r="K1573" s="129"/>
      <c r="L1573" s="108"/>
      <c r="M1573" s="193"/>
      <c r="N1573" s="236"/>
      <c r="O1573" s="108"/>
      <c r="P1573" s="193"/>
      <c r="Q1573" s="129"/>
      <c r="R1573" s="200"/>
    </row>
    <row r="1574" spans="1:18" s="185" customFormat="1" ht="27" customHeight="1">
      <c r="A1574" s="186">
        <v>90015</v>
      </c>
      <c r="B1574" s="294" t="s">
        <v>845</v>
      </c>
      <c r="C1574" s="188">
        <f>SUM(C1575:C1578)</f>
        <v>3680000</v>
      </c>
      <c r="D1574" s="137">
        <f t="shared" si="197"/>
        <v>3704600</v>
      </c>
      <c r="E1574" s="119">
        <f t="shared" si="197"/>
        <v>1072436</v>
      </c>
      <c r="F1574" s="120">
        <f t="shared" si="191"/>
        <v>28.948766398531557</v>
      </c>
      <c r="G1574" s="119">
        <f>SUM(G1575:G1578)</f>
        <v>2324600</v>
      </c>
      <c r="H1574" s="124">
        <f>SUM(H1575:H1578)</f>
        <v>650458</v>
      </c>
      <c r="I1574" s="214">
        <f t="shared" si="195"/>
        <v>27.981502193925838</v>
      </c>
      <c r="J1574" s="124"/>
      <c r="K1574" s="119"/>
      <c r="L1574" s="127"/>
      <c r="M1574" s="119">
        <f>SUM(M1575:M1578)</f>
        <v>1380000</v>
      </c>
      <c r="N1574" s="311">
        <f>SUM(N1575:N1578)</f>
        <v>421978</v>
      </c>
      <c r="O1574" s="214">
        <f>N1574/M1574*100</f>
        <v>30.578115942028983</v>
      </c>
      <c r="P1574" s="119"/>
      <c r="Q1574" s="119"/>
      <c r="R1574" s="283"/>
    </row>
    <row r="1575" spans="1:18" ht="15" customHeight="1">
      <c r="A1575" s="172">
        <v>4260</v>
      </c>
      <c r="B1575" s="509" t="s">
        <v>360</v>
      </c>
      <c r="C1575" s="132">
        <v>1710000</v>
      </c>
      <c r="D1575" s="149">
        <f t="shared" si="197"/>
        <v>1710000</v>
      </c>
      <c r="E1575" s="150">
        <f aca="true" t="shared" si="198" ref="E1575:E1602">SUM(H1575+K1575+N1575+Q1575)</f>
        <v>619664</v>
      </c>
      <c r="F1575" s="130">
        <f t="shared" si="191"/>
        <v>36.23766081871345</v>
      </c>
      <c r="G1575" s="150">
        <v>1000000</v>
      </c>
      <c r="H1575" s="223">
        <v>350936</v>
      </c>
      <c r="I1575" s="222">
        <f t="shared" si="195"/>
        <v>35.0936</v>
      </c>
      <c r="J1575" s="223"/>
      <c r="K1575" s="150"/>
      <c r="L1575" s="113"/>
      <c r="M1575" s="150">
        <v>710000</v>
      </c>
      <c r="N1575" s="150">
        <v>268728</v>
      </c>
      <c r="O1575" s="256">
        <f>N1575/M1575*100</f>
        <v>37.84901408450704</v>
      </c>
      <c r="P1575" s="150"/>
      <c r="Q1575" s="150"/>
      <c r="R1575" s="226"/>
    </row>
    <row r="1576" spans="1:18" ht="24">
      <c r="A1576" s="191">
        <v>4270</v>
      </c>
      <c r="B1576" s="198" t="s">
        <v>362</v>
      </c>
      <c r="C1576" s="128">
        <v>1230000</v>
      </c>
      <c r="D1576" s="104">
        <f t="shared" si="197"/>
        <v>1230000</v>
      </c>
      <c r="E1576" s="129">
        <f t="shared" si="198"/>
        <v>452772</v>
      </c>
      <c r="F1576" s="105">
        <f t="shared" si="191"/>
        <v>36.810731707317075</v>
      </c>
      <c r="G1576" s="129">
        <v>760000</v>
      </c>
      <c r="H1576" s="193">
        <v>299522</v>
      </c>
      <c r="I1576" s="256">
        <f t="shared" si="195"/>
        <v>39.41078947368421</v>
      </c>
      <c r="J1576" s="193"/>
      <c r="K1576" s="129"/>
      <c r="L1576" s="108"/>
      <c r="M1576" s="129">
        <v>470000</v>
      </c>
      <c r="N1576" s="129">
        <v>153250</v>
      </c>
      <c r="O1576" s="256">
        <f>N1576/M1576*100</f>
        <v>32.6063829787234</v>
      </c>
      <c r="P1576" s="129"/>
      <c r="Q1576" s="129"/>
      <c r="R1576" s="200"/>
    </row>
    <row r="1577" spans="1:18" ht="24" hidden="1">
      <c r="A1577" s="191">
        <v>4270</v>
      </c>
      <c r="B1577" s="198" t="s">
        <v>846</v>
      </c>
      <c r="C1577" s="128">
        <f>23600-23600</f>
        <v>0</v>
      </c>
      <c r="D1577" s="104">
        <f t="shared" si="197"/>
        <v>0</v>
      </c>
      <c r="E1577" s="129">
        <f t="shared" si="198"/>
        <v>0</v>
      </c>
      <c r="F1577" s="105" t="e">
        <f t="shared" si="191"/>
        <v>#DIV/0!</v>
      </c>
      <c r="G1577" s="129"/>
      <c r="H1577" s="193"/>
      <c r="I1577" s="256" t="e">
        <f t="shared" si="195"/>
        <v>#DIV/0!</v>
      </c>
      <c r="J1577" s="193"/>
      <c r="K1577" s="129"/>
      <c r="L1577" s="108"/>
      <c r="M1577" s="129"/>
      <c r="N1577" s="129"/>
      <c r="O1577" s="256" t="e">
        <f>N1577/M1577*100</f>
        <v>#DIV/0!</v>
      </c>
      <c r="P1577" s="129"/>
      <c r="Q1577" s="129"/>
      <c r="R1577" s="200"/>
    </row>
    <row r="1578" spans="1:18" ht="24">
      <c r="A1578" s="227">
        <v>6050</v>
      </c>
      <c r="B1578" s="228" t="s">
        <v>449</v>
      </c>
      <c r="C1578" s="229">
        <v>740000</v>
      </c>
      <c r="D1578" s="230">
        <f t="shared" si="197"/>
        <v>764600</v>
      </c>
      <c r="E1578" s="236">
        <f t="shared" si="198"/>
        <v>0</v>
      </c>
      <c r="F1578" s="168">
        <f t="shared" si="191"/>
        <v>0</v>
      </c>
      <c r="G1578" s="236">
        <f>540000+24600</f>
        <v>564600</v>
      </c>
      <c r="H1578" s="233"/>
      <c r="I1578" s="256">
        <f t="shared" si="195"/>
        <v>0</v>
      </c>
      <c r="J1578" s="233"/>
      <c r="K1578" s="236"/>
      <c r="L1578" s="170"/>
      <c r="M1578" s="236">
        <v>200000</v>
      </c>
      <c r="N1578" s="236"/>
      <c r="O1578" s="256">
        <f>N1578/M1578*100</f>
        <v>0</v>
      </c>
      <c r="P1578" s="236"/>
      <c r="Q1578" s="236"/>
      <c r="R1578" s="238"/>
    </row>
    <row r="1579" spans="1:18" ht="24" customHeight="1">
      <c r="A1579" s="186">
        <v>90095</v>
      </c>
      <c r="B1579" s="294" t="s">
        <v>378</v>
      </c>
      <c r="C1579" s="282">
        <f>SUM(C1580:C1590)</f>
        <v>3413100</v>
      </c>
      <c r="D1579" s="137">
        <f t="shared" si="197"/>
        <v>3868611</v>
      </c>
      <c r="E1579" s="137">
        <f t="shared" si="198"/>
        <v>262675</v>
      </c>
      <c r="F1579" s="120">
        <f t="shared" si="191"/>
        <v>6.789904697060521</v>
      </c>
      <c r="G1579" s="119">
        <f>SUM(G1580:G1588)+G1590</f>
        <v>3868611</v>
      </c>
      <c r="H1579" s="119">
        <f>SUM(H1580:H1588)+H1590</f>
        <v>262675</v>
      </c>
      <c r="I1579" s="214">
        <f t="shared" si="195"/>
        <v>6.789904697060521</v>
      </c>
      <c r="J1579" s="502"/>
      <c r="K1579" s="119"/>
      <c r="L1579" s="127"/>
      <c r="M1579" s="119"/>
      <c r="N1579" s="119"/>
      <c r="O1579" s="127"/>
      <c r="P1579" s="119"/>
      <c r="Q1579" s="119"/>
      <c r="R1579" s="190"/>
    </row>
    <row r="1580" spans="1:18" ht="24" hidden="1">
      <c r="A1580" s="191">
        <v>4270</v>
      </c>
      <c r="B1580" s="198" t="s">
        <v>552</v>
      </c>
      <c r="C1580" s="510">
        <f>80000+60000-140000</f>
        <v>0</v>
      </c>
      <c r="D1580" s="104">
        <f t="shared" si="197"/>
        <v>0</v>
      </c>
      <c r="E1580" s="129">
        <f t="shared" si="198"/>
        <v>0</v>
      </c>
      <c r="F1580" s="105" t="e">
        <f t="shared" si="191"/>
        <v>#DIV/0!</v>
      </c>
      <c r="G1580" s="510">
        <f>140000-140000</f>
        <v>0</v>
      </c>
      <c r="H1580" s="193"/>
      <c r="I1580" s="256" t="e">
        <f>H1580/G1580*100</f>
        <v>#DIV/0!</v>
      </c>
      <c r="J1580" s="193"/>
      <c r="K1580" s="129"/>
      <c r="L1580" s="108"/>
      <c r="M1580" s="129"/>
      <c r="N1580" s="129"/>
      <c r="O1580" s="108"/>
      <c r="P1580" s="129"/>
      <c r="Q1580" s="129"/>
      <c r="R1580" s="200"/>
    </row>
    <row r="1581" spans="1:18" ht="36">
      <c r="A1581" s="191">
        <v>4270</v>
      </c>
      <c r="B1581" s="198" t="s">
        <v>847</v>
      </c>
      <c r="C1581" s="510">
        <f>100000+110000+421900</f>
        <v>631900</v>
      </c>
      <c r="D1581" s="104">
        <f t="shared" si="197"/>
        <v>765000</v>
      </c>
      <c r="E1581" s="129">
        <f t="shared" si="198"/>
        <v>0</v>
      </c>
      <c r="F1581" s="105">
        <f t="shared" si="191"/>
        <v>0</v>
      </c>
      <c r="G1581" s="510">
        <f>631900+111400+21700</f>
        <v>765000</v>
      </c>
      <c r="H1581" s="193"/>
      <c r="I1581" s="256">
        <f>H1581/G1581*100</f>
        <v>0</v>
      </c>
      <c r="J1581" s="193"/>
      <c r="K1581" s="129"/>
      <c r="L1581" s="108"/>
      <c r="M1581" s="129"/>
      <c r="N1581" s="129"/>
      <c r="O1581" s="108"/>
      <c r="P1581" s="129"/>
      <c r="Q1581" s="129"/>
      <c r="R1581" s="200"/>
    </row>
    <row r="1582" spans="1:18" ht="24">
      <c r="A1582" s="191">
        <v>4300</v>
      </c>
      <c r="B1582" s="198" t="s">
        <v>364</v>
      </c>
      <c r="C1582" s="511">
        <v>201200</v>
      </c>
      <c r="D1582" s="104">
        <f t="shared" si="197"/>
        <v>201200</v>
      </c>
      <c r="E1582" s="129">
        <f t="shared" si="198"/>
        <v>16714</v>
      </c>
      <c r="F1582" s="105">
        <f t="shared" si="191"/>
        <v>8.307157057654075</v>
      </c>
      <c r="G1582" s="511">
        <v>201200</v>
      </c>
      <c r="H1582" s="109">
        <v>16714</v>
      </c>
      <c r="I1582" s="256">
        <f t="shared" si="195"/>
        <v>8.307157057654075</v>
      </c>
      <c r="J1582" s="193"/>
      <c r="K1582" s="129"/>
      <c r="L1582" s="108"/>
      <c r="M1582" s="129"/>
      <c r="N1582" s="129"/>
      <c r="O1582" s="108"/>
      <c r="P1582" s="129"/>
      <c r="Q1582" s="129"/>
      <c r="R1582" s="200"/>
    </row>
    <row r="1583" spans="1:18" ht="12.75" hidden="1">
      <c r="A1583" s="191">
        <v>4430</v>
      </c>
      <c r="B1583" s="198" t="s">
        <v>366</v>
      </c>
      <c r="C1583" s="511"/>
      <c r="D1583" s="104">
        <f>G1583+J1583+P1583+M1583</f>
        <v>0</v>
      </c>
      <c r="E1583" s="129">
        <f>SUM(H1583+K1583+N1583+Q1583)</f>
        <v>0</v>
      </c>
      <c r="F1583" s="105" t="e">
        <f>E1583/D1583*100</f>
        <v>#DIV/0!</v>
      </c>
      <c r="G1583" s="511">
        <f>-655+655</f>
        <v>0</v>
      </c>
      <c r="H1583" s="109"/>
      <c r="I1583" s="256" t="e">
        <f t="shared" si="195"/>
        <v>#DIV/0!</v>
      </c>
      <c r="J1583" s="193"/>
      <c r="K1583" s="129"/>
      <c r="L1583" s="108"/>
      <c r="M1583" s="129"/>
      <c r="N1583" s="129"/>
      <c r="O1583" s="108"/>
      <c r="P1583" s="129"/>
      <c r="Q1583" s="129"/>
      <c r="R1583" s="200"/>
    </row>
    <row r="1584" spans="1:18" s="269" customFormat="1" ht="12.75" hidden="1">
      <c r="A1584" s="267">
        <v>4580</v>
      </c>
      <c r="B1584" s="305" t="s">
        <v>394</v>
      </c>
      <c r="C1584" s="510"/>
      <c r="D1584" s="104">
        <f>G1584+J1584+P1584+M1584</f>
        <v>0</v>
      </c>
      <c r="E1584" s="129">
        <f t="shared" si="198"/>
        <v>0</v>
      </c>
      <c r="F1584" s="105" t="e">
        <f t="shared" si="191"/>
        <v>#DIV/0!</v>
      </c>
      <c r="G1584" s="510"/>
      <c r="H1584" s="109"/>
      <c r="I1584" s="256" t="e">
        <f t="shared" si="195"/>
        <v>#DIV/0!</v>
      </c>
      <c r="J1584" s="109"/>
      <c r="K1584" s="104"/>
      <c r="L1584" s="108"/>
      <c r="M1584" s="104"/>
      <c r="N1584" s="104"/>
      <c r="O1584" s="246"/>
      <c r="P1584" s="104"/>
      <c r="Q1584" s="104"/>
      <c r="R1584" s="200"/>
    </row>
    <row r="1585" spans="1:18" s="269" customFormat="1" ht="36" hidden="1">
      <c r="A1585" s="267">
        <v>4590</v>
      </c>
      <c r="B1585" s="305" t="s">
        <v>495</v>
      </c>
      <c r="C1585" s="510"/>
      <c r="D1585" s="104">
        <f>G1585+J1585+P1585+M1585</f>
        <v>0</v>
      </c>
      <c r="E1585" s="129">
        <f>SUM(H1585+K1585+N1585+Q1585)</f>
        <v>0</v>
      </c>
      <c r="F1585" s="105" t="e">
        <f>E1585/D1585*100</f>
        <v>#DIV/0!</v>
      </c>
      <c r="G1585" s="510"/>
      <c r="H1585" s="109"/>
      <c r="I1585" s="256" t="e">
        <f t="shared" si="195"/>
        <v>#DIV/0!</v>
      </c>
      <c r="J1585" s="109"/>
      <c r="K1585" s="104"/>
      <c r="L1585" s="108"/>
      <c r="M1585" s="104"/>
      <c r="N1585" s="104"/>
      <c r="O1585" s="246"/>
      <c r="P1585" s="104"/>
      <c r="Q1585" s="104"/>
      <c r="R1585" s="200"/>
    </row>
    <row r="1586" spans="1:18" s="269" customFormat="1" ht="36" hidden="1">
      <c r="A1586" s="267">
        <v>4610</v>
      </c>
      <c r="B1586" s="305" t="s">
        <v>395</v>
      </c>
      <c r="C1586" s="510"/>
      <c r="D1586" s="104">
        <f>G1586+J1586+P1586+M1586</f>
        <v>0</v>
      </c>
      <c r="E1586" s="129">
        <f>SUM(H1586+K1586+N1586+Q1586)</f>
        <v>0</v>
      </c>
      <c r="F1586" s="105" t="e">
        <f>E1586/D1586*100</f>
        <v>#DIV/0!</v>
      </c>
      <c r="G1586" s="510"/>
      <c r="H1586" s="109"/>
      <c r="I1586" s="256" t="e">
        <f t="shared" si="195"/>
        <v>#DIV/0!</v>
      </c>
      <c r="J1586" s="109"/>
      <c r="K1586" s="104"/>
      <c r="L1586" s="108"/>
      <c r="M1586" s="104"/>
      <c r="N1586" s="104"/>
      <c r="O1586" s="246"/>
      <c r="P1586" s="104"/>
      <c r="Q1586" s="104"/>
      <c r="R1586" s="200"/>
    </row>
    <row r="1587" spans="1:18" ht="24">
      <c r="A1587" s="418">
        <v>6050</v>
      </c>
      <c r="B1587" s="198" t="s">
        <v>449</v>
      </c>
      <c r="C1587" s="510">
        <v>2450000</v>
      </c>
      <c r="D1587" s="104">
        <f>G1587+J1587+P1587+M1587</f>
        <v>2772411</v>
      </c>
      <c r="E1587" s="129">
        <f t="shared" si="198"/>
        <v>245961</v>
      </c>
      <c r="F1587" s="105">
        <f t="shared" si="191"/>
        <v>8.871736549883838</v>
      </c>
      <c r="G1587" s="510">
        <f>2450000+100000+93000+38000+91411</f>
        <v>2772411</v>
      </c>
      <c r="H1587" s="407">
        <v>245961</v>
      </c>
      <c r="I1587" s="256">
        <f t="shared" si="195"/>
        <v>8.871736549883838</v>
      </c>
      <c r="J1587" s="326"/>
      <c r="K1587" s="325"/>
      <c r="L1587" s="108"/>
      <c r="M1587" s="129"/>
      <c r="N1587" s="129"/>
      <c r="O1587" s="108"/>
      <c r="P1587" s="129"/>
      <c r="Q1587" s="129"/>
      <c r="R1587" s="200"/>
    </row>
    <row r="1588" spans="1:18" s="327" customFormat="1" ht="96" hidden="1">
      <c r="A1588" s="191">
        <v>6230</v>
      </c>
      <c r="B1588" s="198" t="s">
        <v>848</v>
      </c>
      <c r="C1588" s="510"/>
      <c r="D1588" s="104">
        <f aca="true" t="shared" si="199" ref="D1588:D1602">G1588+J1588+P1588+M1588</f>
        <v>0</v>
      </c>
      <c r="E1588" s="129">
        <f t="shared" si="198"/>
        <v>0</v>
      </c>
      <c r="F1588" s="105" t="e">
        <f t="shared" si="191"/>
        <v>#DIV/0!</v>
      </c>
      <c r="G1588" s="510"/>
      <c r="H1588" s="512"/>
      <c r="I1588" s="256" t="e">
        <f t="shared" si="195"/>
        <v>#DIV/0!</v>
      </c>
      <c r="J1588" s="326"/>
      <c r="K1588" s="325"/>
      <c r="L1588" s="108"/>
      <c r="M1588" s="325"/>
      <c r="N1588" s="325"/>
      <c r="O1588" s="108"/>
      <c r="P1588" s="325"/>
      <c r="Q1588" s="325"/>
      <c r="R1588" s="262"/>
    </row>
    <row r="1589" spans="1:18" ht="60" hidden="1">
      <c r="A1589" s="191">
        <v>6010</v>
      </c>
      <c r="B1589" s="198" t="s">
        <v>849</v>
      </c>
      <c r="C1589" s="128">
        <v>0</v>
      </c>
      <c r="D1589" s="104">
        <f t="shared" si="199"/>
        <v>0</v>
      </c>
      <c r="E1589" s="129">
        <f t="shared" si="198"/>
        <v>0</v>
      </c>
      <c r="F1589" s="105" t="e">
        <f t="shared" si="191"/>
        <v>#DIV/0!</v>
      </c>
      <c r="G1589" s="129">
        <v>0</v>
      </c>
      <c r="H1589" s="193">
        <v>0</v>
      </c>
      <c r="I1589" s="256" t="e">
        <f t="shared" si="195"/>
        <v>#DIV/0!</v>
      </c>
      <c r="J1589" s="193"/>
      <c r="K1589" s="129"/>
      <c r="L1589" s="108"/>
      <c r="M1589" s="129"/>
      <c r="N1589" s="129"/>
      <c r="O1589" s="108"/>
      <c r="P1589" s="129"/>
      <c r="Q1589" s="129"/>
      <c r="R1589" s="200"/>
    </row>
    <row r="1590" spans="1:18" s="221" customFormat="1" ht="12.75">
      <c r="A1590" s="209"/>
      <c r="B1590" s="371" t="s">
        <v>850</v>
      </c>
      <c r="C1590" s="211">
        <f>SUM(C1591:C1602)</f>
        <v>130000</v>
      </c>
      <c r="D1590" s="213">
        <f t="shared" si="199"/>
        <v>130000</v>
      </c>
      <c r="E1590" s="213">
        <f t="shared" si="198"/>
        <v>0</v>
      </c>
      <c r="F1590" s="163">
        <f t="shared" si="191"/>
        <v>0</v>
      </c>
      <c r="G1590" s="215">
        <f>SUM(G1591:G1602)</f>
        <v>130000</v>
      </c>
      <c r="H1590" s="215">
        <f>SUM(H1591:H1602)</f>
        <v>0</v>
      </c>
      <c r="I1590" s="256">
        <f t="shared" si="195"/>
        <v>0</v>
      </c>
      <c r="J1590" s="215"/>
      <c r="K1590" s="213"/>
      <c r="L1590" s="217"/>
      <c r="M1590" s="215"/>
      <c r="N1590" s="215"/>
      <c r="O1590" s="488"/>
      <c r="P1590" s="215"/>
      <c r="Q1590" s="213"/>
      <c r="R1590" s="220"/>
    </row>
    <row r="1591" spans="1:18" ht="24">
      <c r="A1591" s="191">
        <v>4178</v>
      </c>
      <c r="B1591" s="198" t="s">
        <v>851</v>
      </c>
      <c r="C1591" s="128">
        <v>10000</v>
      </c>
      <c r="D1591" s="104">
        <f t="shared" si="199"/>
        <v>10000</v>
      </c>
      <c r="E1591" s="129">
        <f t="shared" si="198"/>
        <v>0</v>
      </c>
      <c r="F1591" s="105">
        <f>E1591/D1591*100</f>
        <v>0</v>
      </c>
      <c r="G1591" s="193">
        <v>10000</v>
      </c>
      <c r="H1591" s="193"/>
      <c r="I1591" s="256">
        <f t="shared" si="195"/>
        <v>0</v>
      </c>
      <c r="J1591" s="193"/>
      <c r="K1591" s="129"/>
      <c r="L1591" s="108"/>
      <c r="M1591" s="193"/>
      <c r="N1591" s="193"/>
      <c r="O1591" s="162"/>
      <c r="P1591" s="193"/>
      <c r="Q1591" s="129"/>
      <c r="R1591" s="200"/>
    </row>
    <row r="1592" spans="1:18" ht="24">
      <c r="A1592" s="191">
        <v>4210</v>
      </c>
      <c r="B1592" s="198" t="s">
        <v>356</v>
      </c>
      <c r="C1592" s="128">
        <v>100</v>
      </c>
      <c r="D1592" s="104">
        <f>G1592+J1592+P1592+M1592</f>
        <v>100</v>
      </c>
      <c r="E1592" s="129">
        <f>SUM(H1592+K1592+N1592+Q1592)</f>
        <v>0</v>
      </c>
      <c r="F1592" s="105">
        <f>E1592/D1592*100</f>
        <v>0</v>
      </c>
      <c r="G1592" s="193">
        <v>100</v>
      </c>
      <c r="H1592" s="193"/>
      <c r="I1592" s="256">
        <f t="shared" si="195"/>
        <v>0</v>
      </c>
      <c r="J1592" s="193"/>
      <c r="K1592" s="129"/>
      <c r="L1592" s="108"/>
      <c r="M1592" s="193"/>
      <c r="N1592" s="193"/>
      <c r="O1592" s="162"/>
      <c r="P1592" s="193"/>
      <c r="Q1592" s="129"/>
      <c r="R1592" s="200"/>
    </row>
    <row r="1593" spans="1:18" ht="24">
      <c r="A1593" s="191">
        <v>4218</v>
      </c>
      <c r="B1593" s="198" t="s">
        <v>356</v>
      </c>
      <c r="C1593" s="128">
        <v>3000</v>
      </c>
      <c r="D1593" s="104">
        <f t="shared" si="199"/>
        <v>3000</v>
      </c>
      <c r="E1593" s="129">
        <f t="shared" si="198"/>
        <v>0</v>
      </c>
      <c r="F1593" s="105">
        <f aca="true" t="shared" si="200" ref="F1593:F1646">E1593/D1593*100</f>
        <v>0</v>
      </c>
      <c r="G1593" s="193">
        <v>3000</v>
      </c>
      <c r="H1593" s="193"/>
      <c r="I1593" s="256">
        <f t="shared" si="195"/>
        <v>0</v>
      </c>
      <c r="J1593" s="193"/>
      <c r="K1593" s="129"/>
      <c r="L1593" s="108"/>
      <c r="M1593" s="193"/>
      <c r="N1593" s="193"/>
      <c r="O1593" s="162"/>
      <c r="P1593" s="193"/>
      <c r="Q1593" s="129"/>
      <c r="R1593" s="200"/>
    </row>
    <row r="1594" spans="1:18" ht="24">
      <c r="A1594" s="191">
        <v>4219</v>
      </c>
      <c r="B1594" s="198" t="s">
        <v>356</v>
      </c>
      <c r="C1594" s="128">
        <v>700</v>
      </c>
      <c r="D1594" s="104">
        <f t="shared" si="199"/>
        <v>700</v>
      </c>
      <c r="E1594" s="129">
        <f t="shared" si="198"/>
        <v>0</v>
      </c>
      <c r="F1594" s="105">
        <f t="shared" si="200"/>
        <v>0</v>
      </c>
      <c r="G1594" s="193">
        <v>700</v>
      </c>
      <c r="H1594" s="193"/>
      <c r="I1594" s="256">
        <f t="shared" si="195"/>
        <v>0</v>
      </c>
      <c r="J1594" s="193"/>
      <c r="K1594" s="129"/>
      <c r="L1594" s="108"/>
      <c r="M1594" s="193"/>
      <c r="N1594" s="193"/>
      <c r="O1594" s="162"/>
      <c r="P1594" s="193"/>
      <c r="Q1594" s="129"/>
      <c r="R1594" s="200"/>
    </row>
    <row r="1595" spans="1:18" ht="24" hidden="1">
      <c r="A1595" s="191">
        <v>4300</v>
      </c>
      <c r="B1595" s="198" t="s">
        <v>385</v>
      </c>
      <c r="C1595" s="128"/>
      <c r="D1595" s="104">
        <f t="shared" si="199"/>
        <v>0</v>
      </c>
      <c r="E1595" s="129">
        <f>SUM(H1595+K1595+N1595+Q1595)</f>
        <v>0</v>
      </c>
      <c r="F1595" s="105" t="e">
        <f>E1595/D1595*100</f>
        <v>#DIV/0!</v>
      </c>
      <c r="G1595" s="193"/>
      <c r="H1595" s="193"/>
      <c r="I1595" s="256" t="e">
        <f t="shared" si="195"/>
        <v>#DIV/0!</v>
      </c>
      <c r="J1595" s="193"/>
      <c r="K1595" s="129"/>
      <c r="L1595" s="108"/>
      <c r="M1595" s="193"/>
      <c r="N1595" s="193"/>
      <c r="O1595" s="162"/>
      <c r="P1595" s="193"/>
      <c r="Q1595" s="129"/>
      <c r="R1595" s="200"/>
    </row>
    <row r="1596" spans="1:18" ht="24">
      <c r="A1596" s="191">
        <v>4308</v>
      </c>
      <c r="B1596" s="198" t="s">
        <v>385</v>
      </c>
      <c r="C1596" s="128">
        <v>10000</v>
      </c>
      <c r="D1596" s="104">
        <f t="shared" si="199"/>
        <v>10000</v>
      </c>
      <c r="E1596" s="129">
        <f t="shared" si="198"/>
        <v>0</v>
      </c>
      <c r="F1596" s="105">
        <f t="shared" si="200"/>
        <v>0</v>
      </c>
      <c r="G1596" s="193">
        <v>10000</v>
      </c>
      <c r="H1596" s="193"/>
      <c r="I1596" s="256">
        <f t="shared" si="195"/>
        <v>0</v>
      </c>
      <c r="J1596" s="193"/>
      <c r="K1596" s="129"/>
      <c r="L1596" s="108"/>
      <c r="M1596" s="193"/>
      <c r="N1596" s="193"/>
      <c r="O1596" s="162"/>
      <c r="P1596" s="193"/>
      <c r="Q1596" s="129"/>
      <c r="R1596" s="200"/>
    </row>
    <row r="1597" spans="1:18" ht="24">
      <c r="A1597" s="191">
        <v>4309</v>
      </c>
      <c r="B1597" s="198" t="s">
        <v>385</v>
      </c>
      <c r="C1597" s="128">
        <v>2200</v>
      </c>
      <c r="D1597" s="104">
        <f t="shared" si="199"/>
        <v>2200</v>
      </c>
      <c r="E1597" s="129">
        <f t="shared" si="198"/>
        <v>0</v>
      </c>
      <c r="F1597" s="105">
        <f t="shared" si="200"/>
        <v>0</v>
      </c>
      <c r="G1597" s="193">
        <v>2200</v>
      </c>
      <c r="H1597" s="193"/>
      <c r="I1597" s="256">
        <f t="shared" si="195"/>
        <v>0</v>
      </c>
      <c r="J1597" s="193"/>
      <c r="K1597" s="129"/>
      <c r="L1597" s="108"/>
      <c r="M1597" s="193"/>
      <c r="N1597" s="193"/>
      <c r="O1597" s="162"/>
      <c r="P1597" s="193"/>
      <c r="Q1597" s="129"/>
      <c r="R1597" s="200"/>
    </row>
    <row r="1598" spans="1:18" ht="36">
      <c r="A1598" s="191">
        <v>4388</v>
      </c>
      <c r="B1598" s="198" t="s">
        <v>679</v>
      </c>
      <c r="C1598" s="128">
        <v>2800</v>
      </c>
      <c r="D1598" s="104">
        <f t="shared" si="199"/>
        <v>2800</v>
      </c>
      <c r="E1598" s="129">
        <f t="shared" si="198"/>
        <v>0</v>
      </c>
      <c r="F1598" s="105">
        <f t="shared" si="200"/>
        <v>0</v>
      </c>
      <c r="G1598" s="193">
        <v>2800</v>
      </c>
      <c r="H1598" s="193"/>
      <c r="I1598" s="256">
        <f t="shared" si="195"/>
        <v>0</v>
      </c>
      <c r="J1598" s="193"/>
      <c r="K1598" s="129"/>
      <c r="L1598" s="108"/>
      <c r="M1598" s="193"/>
      <c r="N1598" s="193"/>
      <c r="O1598" s="162"/>
      <c r="P1598" s="193"/>
      <c r="Q1598" s="129"/>
      <c r="R1598" s="200"/>
    </row>
    <row r="1599" spans="1:18" ht="36">
      <c r="A1599" s="191">
        <v>4398</v>
      </c>
      <c r="B1599" s="305" t="s">
        <v>393</v>
      </c>
      <c r="C1599" s="128">
        <v>90000</v>
      </c>
      <c r="D1599" s="104">
        <f t="shared" si="199"/>
        <v>90000</v>
      </c>
      <c r="E1599" s="129">
        <f t="shared" si="198"/>
        <v>0</v>
      </c>
      <c r="F1599" s="105">
        <f t="shared" si="200"/>
        <v>0</v>
      </c>
      <c r="G1599" s="193">
        <v>90000</v>
      </c>
      <c r="H1599" s="193"/>
      <c r="I1599" s="256">
        <f t="shared" si="195"/>
        <v>0</v>
      </c>
      <c r="J1599" s="193"/>
      <c r="K1599" s="129"/>
      <c r="L1599" s="108"/>
      <c r="M1599" s="193"/>
      <c r="N1599" s="193"/>
      <c r="O1599" s="162"/>
      <c r="P1599" s="193"/>
      <c r="Q1599" s="129"/>
      <c r="R1599" s="200"/>
    </row>
    <row r="1600" spans="1:18" ht="36">
      <c r="A1600" s="191">
        <v>4399</v>
      </c>
      <c r="B1600" s="305" t="s">
        <v>393</v>
      </c>
      <c r="C1600" s="128">
        <v>800</v>
      </c>
      <c r="D1600" s="104">
        <f t="shared" si="199"/>
        <v>800</v>
      </c>
      <c r="E1600" s="129">
        <f t="shared" si="198"/>
        <v>0</v>
      </c>
      <c r="F1600" s="105">
        <f t="shared" si="200"/>
        <v>0</v>
      </c>
      <c r="G1600" s="193">
        <v>800</v>
      </c>
      <c r="H1600" s="193"/>
      <c r="I1600" s="256">
        <f t="shared" si="195"/>
        <v>0</v>
      </c>
      <c r="J1600" s="193"/>
      <c r="K1600" s="129"/>
      <c r="L1600" s="108"/>
      <c r="M1600" s="193"/>
      <c r="N1600" s="193"/>
      <c r="O1600" s="162"/>
      <c r="P1600" s="193"/>
      <c r="Q1600" s="129"/>
      <c r="R1600" s="200"/>
    </row>
    <row r="1601" spans="1:18" ht="24">
      <c r="A1601" s="191">
        <v>4420</v>
      </c>
      <c r="B1601" s="198" t="s">
        <v>477</v>
      </c>
      <c r="C1601" s="128">
        <v>400</v>
      </c>
      <c r="D1601" s="104">
        <f t="shared" si="199"/>
        <v>400</v>
      </c>
      <c r="E1601" s="129">
        <f t="shared" si="198"/>
        <v>0</v>
      </c>
      <c r="F1601" s="105">
        <f t="shared" si="200"/>
        <v>0</v>
      </c>
      <c r="G1601" s="193">
        <v>400</v>
      </c>
      <c r="H1601" s="193"/>
      <c r="I1601" s="256">
        <f t="shared" si="195"/>
        <v>0</v>
      </c>
      <c r="J1601" s="193"/>
      <c r="K1601" s="129"/>
      <c r="L1601" s="108"/>
      <c r="M1601" s="193"/>
      <c r="N1601" s="193"/>
      <c r="O1601" s="162"/>
      <c r="P1601" s="193"/>
      <c r="Q1601" s="129"/>
      <c r="R1601" s="200"/>
    </row>
    <row r="1602" spans="1:18" ht="24.75" thickBot="1">
      <c r="A1602" s="191">
        <v>4428</v>
      </c>
      <c r="B1602" s="198" t="s">
        <v>477</v>
      </c>
      <c r="C1602" s="128">
        <v>10000</v>
      </c>
      <c r="D1602" s="104">
        <f t="shared" si="199"/>
        <v>10000</v>
      </c>
      <c r="E1602" s="129">
        <f t="shared" si="198"/>
        <v>0</v>
      </c>
      <c r="F1602" s="105">
        <f t="shared" si="200"/>
        <v>0</v>
      </c>
      <c r="G1602" s="193">
        <v>10000</v>
      </c>
      <c r="H1602" s="193"/>
      <c r="I1602" s="256">
        <f t="shared" si="195"/>
        <v>0</v>
      </c>
      <c r="J1602" s="193"/>
      <c r="K1602" s="129"/>
      <c r="L1602" s="108"/>
      <c r="M1602" s="193"/>
      <c r="N1602" s="193"/>
      <c r="O1602" s="162"/>
      <c r="P1602" s="193"/>
      <c r="Q1602" s="129"/>
      <c r="R1602" s="200"/>
    </row>
    <row r="1603" spans="1:18" s="185" customFormat="1" ht="46.5" customHeight="1" thickBot="1" thickTop="1">
      <c r="A1603" s="201">
        <v>921</v>
      </c>
      <c r="B1603" s="202" t="s">
        <v>852</v>
      </c>
      <c r="C1603" s="183">
        <f>C1645+C1606+C1624+C1637+C1674+C1687+C1704+C1711+C1604</f>
        <v>20925900</v>
      </c>
      <c r="D1603" s="83">
        <f>D1645+D1606+D1624+D1637+D1674+D1687+D1704+D1711+D1604</f>
        <v>21558900</v>
      </c>
      <c r="E1603" s="83">
        <f>E1645+E1606+E1624+E1637+E1674+E1687+E1704+E1711+E1604</f>
        <v>5565271</v>
      </c>
      <c r="F1603" s="205">
        <f t="shared" si="200"/>
        <v>25.814262323216862</v>
      </c>
      <c r="G1603" s="183">
        <f>G1645+G1606+G1624+G1637+G1674+G1687+G1704+G1711+G1604</f>
        <v>4596100</v>
      </c>
      <c r="H1603" s="83">
        <f>H1645+H1606+H1624+H1637+H1674+H1687+H1704+H1711+H1604</f>
        <v>980251</v>
      </c>
      <c r="I1603" s="205">
        <f>H1603/G1603*100</f>
        <v>21.327886686538587</v>
      </c>
      <c r="J1603" s="183">
        <f>J1637</f>
        <v>0</v>
      </c>
      <c r="K1603" s="83">
        <f>K1637</f>
        <v>0</v>
      </c>
      <c r="L1603" s="84" t="e">
        <f>K1603/J1603*100</f>
        <v>#DIV/0!</v>
      </c>
      <c r="M1603" s="183">
        <f>M1645+M1606+M1624+M1637+M1674+M1687+M1704+M1711</f>
        <v>16962800</v>
      </c>
      <c r="N1603" s="82">
        <f>N1645+N1606+N1624+N1637+N1674+N1687+N1704+N1711</f>
        <v>4585020</v>
      </c>
      <c r="O1603" s="292">
        <f>N1603/M1603*100</f>
        <v>27.02985356191195</v>
      </c>
      <c r="P1603" s="183"/>
      <c r="Q1603" s="83"/>
      <c r="R1603" s="184"/>
    </row>
    <row r="1604" spans="1:18" s="185" customFormat="1" ht="24.75" hidden="1" thickTop="1">
      <c r="A1604" s="329">
        <v>92103</v>
      </c>
      <c r="B1604" s="330" t="s">
        <v>853</v>
      </c>
      <c r="C1604" s="384"/>
      <c r="D1604" s="91">
        <f aca="true" t="shared" si="201" ref="D1604:E1619">G1604+J1604+P1604+M1604</f>
        <v>0</v>
      </c>
      <c r="E1604" s="97">
        <f t="shared" si="201"/>
        <v>0</v>
      </c>
      <c r="F1604" s="92" t="e">
        <f t="shared" si="200"/>
        <v>#DIV/0!</v>
      </c>
      <c r="G1604" s="384">
        <f>G1605</f>
        <v>0</v>
      </c>
      <c r="H1604" s="513">
        <f>H1605</f>
        <v>0</v>
      </c>
      <c r="I1604" s="442" t="e">
        <f>H1604/G1604*100</f>
        <v>#DIV/0!</v>
      </c>
      <c r="J1604" s="96"/>
      <c r="K1604" s="97"/>
      <c r="L1604" s="98"/>
      <c r="M1604" s="96"/>
      <c r="N1604" s="97"/>
      <c r="O1604" s="295"/>
      <c r="P1604" s="96"/>
      <c r="Q1604" s="97"/>
      <c r="R1604" s="415"/>
    </row>
    <row r="1605" spans="1:18" s="269" customFormat="1" ht="36.75" hidden="1" thickTop="1">
      <c r="A1605" s="267">
        <v>2550</v>
      </c>
      <c r="B1605" s="514" t="s">
        <v>854</v>
      </c>
      <c r="C1605" s="160"/>
      <c r="D1605" s="230">
        <f t="shared" si="201"/>
        <v>0</v>
      </c>
      <c r="E1605" s="230">
        <f t="shared" si="201"/>
        <v>0</v>
      </c>
      <c r="F1605" s="168" t="e">
        <f t="shared" si="200"/>
        <v>#DIV/0!</v>
      </c>
      <c r="G1605" s="348"/>
      <c r="H1605" s="104"/>
      <c r="I1605" s="232" t="e">
        <f>H1605/G1605*100</f>
        <v>#DIV/0!</v>
      </c>
      <c r="J1605" s="109"/>
      <c r="K1605" s="104"/>
      <c r="L1605" s="110"/>
      <c r="M1605" s="109"/>
      <c r="N1605" s="104"/>
      <c r="O1605" s="162"/>
      <c r="P1605" s="109"/>
      <c r="Q1605" s="104"/>
      <c r="R1605" s="200"/>
    </row>
    <row r="1606" spans="1:18" ht="24" customHeight="1" thickTop="1">
      <c r="A1606" s="186">
        <v>92105</v>
      </c>
      <c r="B1606" s="294" t="s">
        <v>855</v>
      </c>
      <c r="C1606" s="188">
        <f>SUM(C1607:C1616)</f>
        <v>419000</v>
      </c>
      <c r="D1606" s="137">
        <f t="shared" si="201"/>
        <v>407000</v>
      </c>
      <c r="E1606" s="119">
        <f t="shared" si="201"/>
        <v>63087</v>
      </c>
      <c r="F1606" s="120">
        <f t="shared" si="200"/>
        <v>15.5004914004914</v>
      </c>
      <c r="G1606" s="119">
        <f>SUM(G1607:G1617)</f>
        <v>407000</v>
      </c>
      <c r="H1606" s="119">
        <f>SUM(H1607:H1617)</f>
        <v>63087</v>
      </c>
      <c r="I1606" s="214">
        <f>H1606/G1606*100</f>
        <v>15.5004914004914</v>
      </c>
      <c r="J1606" s="124"/>
      <c r="K1606" s="119"/>
      <c r="L1606" s="125"/>
      <c r="M1606" s="119"/>
      <c r="N1606" s="119"/>
      <c r="O1606" s="190"/>
      <c r="P1606" s="119"/>
      <c r="Q1606" s="119"/>
      <c r="R1606" s="283"/>
    </row>
    <row r="1607" spans="1:18" ht="36" hidden="1">
      <c r="A1607" s="172">
        <v>3020</v>
      </c>
      <c r="B1607" s="320" t="s">
        <v>856</v>
      </c>
      <c r="C1607" s="132"/>
      <c r="D1607" s="149">
        <f t="shared" si="201"/>
        <v>0</v>
      </c>
      <c r="E1607" s="150">
        <f aca="true" t="shared" si="202" ref="E1607:E1623">SUM(H1607+K1607+N1607+Q1607)</f>
        <v>0</v>
      </c>
      <c r="F1607" s="130"/>
      <c r="G1607" s="132"/>
      <c r="H1607" s="150"/>
      <c r="I1607" s="222"/>
      <c r="J1607" s="223"/>
      <c r="K1607" s="150"/>
      <c r="L1607" s="154"/>
      <c r="M1607" s="150"/>
      <c r="N1607" s="150"/>
      <c r="O1607" s="225"/>
      <c r="P1607" s="150"/>
      <c r="Q1607" s="150"/>
      <c r="R1607" s="226"/>
    </row>
    <row r="1608" spans="1:18" ht="48">
      <c r="A1608" s="191">
        <v>3040</v>
      </c>
      <c r="B1608" s="198" t="s">
        <v>734</v>
      </c>
      <c r="C1608" s="128">
        <v>52000</v>
      </c>
      <c r="D1608" s="104">
        <f t="shared" si="201"/>
        <v>52000</v>
      </c>
      <c r="E1608" s="129">
        <f t="shared" si="202"/>
        <v>5000</v>
      </c>
      <c r="F1608" s="105">
        <f t="shared" si="200"/>
        <v>9.615384615384617</v>
      </c>
      <c r="G1608" s="128">
        <v>52000</v>
      </c>
      <c r="H1608" s="129">
        <v>5000</v>
      </c>
      <c r="I1608" s="256">
        <f aca="true" t="shared" si="203" ref="I1608:I1623">H1608/G1608*100</f>
        <v>9.615384615384617</v>
      </c>
      <c r="J1608" s="193"/>
      <c r="K1608" s="129"/>
      <c r="L1608" s="110"/>
      <c r="M1608" s="129"/>
      <c r="N1608" s="129"/>
      <c r="O1608" s="194"/>
      <c r="P1608" s="129"/>
      <c r="Q1608" s="129"/>
      <c r="R1608" s="200"/>
    </row>
    <row r="1609" spans="1:18" ht="26.25" customHeight="1">
      <c r="A1609" s="191">
        <v>4210</v>
      </c>
      <c r="B1609" s="198" t="s">
        <v>356</v>
      </c>
      <c r="C1609" s="128">
        <v>17000</v>
      </c>
      <c r="D1609" s="104">
        <f t="shared" si="201"/>
        <v>17000</v>
      </c>
      <c r="E1609" s="129">
        <f t="shared" si="202"/>
        <v>587</v>
      </c>
      <c r="F1609" s="105">
        <f t="shared" si="200"/>
        <v>3.4529411764705884</v>
      </c>
      <c r="G1609" s="128">
        <v>17000</v>
      </c>
      <c r="H1609" s="129">
        <v>587</v>
      </c>
      <c r="I1609" s="256">
        <f t="shared" si="203"/>
        <v>3.4529411764705884</v>
      </c>
      <c r="J1609" s="193"/>
      <c r="K1609" s="129"/>
      <c r="L1609" s="110"/>
      <c r="M1609" s="129"/>
      <c r="N1609" s="129"/>
      <c r="O1609" s="194"/>
      <c r="P1609" s="129"/>
      <c r="Q1609" s="129"/>
      <c r="R1609" s="200"/>
    </row>
    <row r="1610" spans="1:18" ht="27" customHeight="1" hidden="1">
      <c r="A1610" s="191">
        <v>4300</v>
      </c>
      <c r="B1610" s="198" t="s">
        <v>857</v>
      </c>
      <c r="C1610" s="128"/>
      <c r="D1610" s="104">
        <f t="shared" si="201"/>
        <v>0</v>
      </c>
      <c r="E1610" s="129">
        <f t="shared" si="202"/>
        <v>0</v>
      </c>
      <c r="F1610" s="105" t="e">
        <f t="shared" si="200"/>
        <v>#DIV/0!</v>
      </c>
      <c r="G1610" s="128"/>
      <c r="H1610" s="129"/>
      <c r="I1610" s="256" t="e">
        <f t="shared" si="203"/>
        <v>#DIV/0!</v>
      </c>
      <c r="J1610" s="193"/>
      <c r="K1610" s="129"/>
      <c r="L1610" s="110"/>
      <c r="M1610" s="129"/>
      <c r="N1610" s="129"/>
      <c r="O1610" s="194"/>
      <c r="P1610" s="129"/>
      <c r="Q1610" s="129"/>
      <c r="R1610" s="200"/>
    </row>
    <row r="1611" spans="1:18" ht="27" customHeight="1" hidden="1">
      <c r="A1611" s="191">
        <v>4210</v>
      </c>
      <c r="B1611" s="198" t="s">
        <v>858</v>
      </c>
      <c r="C1611" s="128"/>
      <c r="D1611" s="104">
        <f t="shared" si="201"/>
        <v>0</v>
      </c>
      <c r="E1611" s="129">
        <f t="shared" si="202"/>
        <v>0</v>
      </c>
      <c r="F1611" s="105" t="e">
        <f t="shared" si="200"/>
        <v>#DIV/0!</v>
      </c>
      <c r="G1611" s="128"/>
      <c r="H1611" s="129"/>
      <c r="I1611" s="256" t="e">
        <f t="shared" si="203"/>
        <v>#DIV/0!</v>
      </c>
      <c r="J1611" s="193"/>
      <c r="K1611" s="129"/>
      <c r="L1611" s="110"/>
      <c r="M1611" s="129"/>
      <c r="N1611" s="129"/>
      <c r="O1611" s="194"/>
      <c r="P1611" s="129"/>
      <c r="Q1611" s="129"/>
      <c r="R1611" s="200"/>
    </row>
    <row r="1612" spans="1:18" ht="24" hidden="1">
      <c r="A1612" s="191">
        <v>4170</v>
      </c>
      <c r="B1612" s="198" t="s">
        <v>392</v>
      </c>
      <c r="C1612" s="128"/>
      <c r="D1612" s="104">
        <f t="shared" si="201"/>
        <v>0</v>
      </c>
      <c r="E1612" s="129">
        <f t="shared" si="202"/>
        <v>0</v>
      </c>
      <c r="F1612" s="105" t="e">
        <f t="shared" si="200"/>
        <v>#DIV/0!</v>
      </c>
      <c r="G1612" s="128"/>
      <c r="H1612" s="129"/>
      <c r="I1612" s="256" t="e">
        <f t="shared" si="203"/>
        <v>#DIV/0!</v>
      </c>
      <c r="J1612" s="193"/>
      <c r="K1612" s="129"/>
      <c r="L1612" s="110"/>
      <c r="M1612" s="129"/>
      <c r="N1612" s="129"/>
      <c r="O1612" s="194"/>
      <c r="P1612" s="129"/>
      <c r="Q1612" s="129"/>
      <c r="R1612" s="200"/>
    </row>
    <row r="1613" spans="1:18" ht="24" hidden="1">
      <c r="A1613" s="191">
        <v>4170</v>
      </c>
      <c r="B1613" s="198" t="s">
        <v>859</v>
      </c>
      <c r="C1613" s="128"/>
      <c r="D1613" s="104">
        <f t="shared" si="201"/>
        <v>0</v>
      </c>
      <c r="E1613" s="129">
        <f t="shared" si="202"/>
        <v>0</v>
      </c>
      <c r="F1613" s="105" t="e">
        <f t="shared" si="200"/>
        <v>#DIV/0!</v>
      </c>
      <c r="G1613" s="128"/>
      <c r="H1613" s="129"/>
      <c r="I1613" s="256" t="e">
        <f t="shared" si="203"/>
        <v>#DIV/0!</v>
      </c>
      <c r="J1613" s="193"/>
      <c r="K1613" s="129"/>
      <c r="L1613" s="110"/>
      <c r="M1613" s="129"/>
      <c r="N1613" s="129"/>
      <c r="O1613" s="194"/>
      <c r="P1613" s="129"/>
      <c r="Q1613" s="129"/>
      <c r="R1613" s="200"/>
    </row>
    <row r="1614" spans="1:18" ht="24">
      <c r="A1614" s="191">
        <v>4300</v>
      </c>
      <c r="B1614" s="198" t="s">
        <v>364</v>
      </c>
      <c r="C1614" s="128">
        <v>140000</v>
      </c>
      <c r="D1614" s="104">
        <f t="shared" si="201"/>
        <v>128000</v>
      </c>
      <c r="E1614" s="129">
        <f t="shared" si="202"/>
        <v>0</v>
      </c>
      <c r="F1614" s="105">
        <f t="shared" si="200"/>
        <v>0</v>
      </c>
      <c r="G1614" s="128">
        <f>140000-12000</f>
        <v>128000</v>
      </c>
      <c r="H1614" s="129"/>
      <c r="I1614" s="256">
        <f t="shared" si="203"/>
        <v>0</v>
      </c>
      <c r="J1614" s="193"/>
      <c r="K1614" s="129"/>
      <c r="L1614" s="110"/>
      <c r="M1614" s="129"/>
      <c r="N1614" s="129"/>
      <c r="O1614" s="194"/>
      <c r="P1614" s="129"/>
      <c r="Q1614" s="129"/>
      <c r="R1614" s="200"/>
    </row>
    <row r="1615" spans="1:18" ht="12.75" hidden="1">
      <c r="A1615" s="191">
        <v>4430</v>
      </c>
      <c r="B1615" s="198" t="s">
        <v>366</v>
      </c>
      <c r="C1615" s="128"/>
      <c r="D1615" s="104">
        <f t="shared" si="201"/>
        <v>0</v>
      </c>
      <c r="E1615" s="129">
        <f t="shared" si="202"/>
        <v>0</v>
      </c>
      <c r="F1615" s="105" t="e">
        <f t="shared" si="200"/>
        <v>#DIV/0!</v>
      </c>
      <c r="G1615" s="128"/>
      <c r="H1615" s="129"/>
      <c r="I1615" s="256" t="e">
        <f t="shared" si="203"/>
        <v>#DIV/0!</v>
      </c>
      <c r="J1615" s="193"/>
      <c r="K1615" s="129"/>
      <c r="L1615" s="110"/>
      <c r="M1615" s="129"/>
      <c r="N1615" s="129"/>
      <c r="O1615" s="194"/>
      <c r="P1615" s="129"/>
      <c r="Q1615" s="129"/>
      <c r="R1615" s="200"/>
    </row>
    <row r="1616" spans="1:18" ht="72">
      <c r="A1616" s="191">
        <v>2820</v>
      </c>
      <c r="B1616" s="198" t="s">
        <v>860</v>
      </c>
      <c r="C1616" s="128">
        <v>210000</v>
      </c>
      <c r="D1616" s="104">
        <f t="shared" si="201"/>
        <v>210000</v>
      </c>
      <c r="E1616" s="129">
        <f t="shared" si="202"/>
        <v>57500</v>
      </c>
      <c r="F1616" s="105">
        <f t="shared" si="200"/>
        <v>27.380952380952383</v>
      </c>
      <c r="G1616" s="128">
        <v>210000</v>
      </c>
      <c r="H1616" s="129">
        <v>57500</v>
      </c>
      <c r="I1616" s="256">
        <f t="shared" si="203"/>
        <v>27.380952380952383</v>
      </c>
      <c r="J1616" s="193"/>
      <c r="K1616" s="129"/>
      <c r="L1616" s="110"/>
      <c r="M1616" s="129"/>
      <c r="N1616" s="129"/>
      <c r="O1616" s="194"/>
      <c r="P1616" s="129"/>
      <c r="Q1616" s="129"/>
      <c r="R1616" s="200"/>
    </row>
    <row r="1617" spans="1:18" s="221" customFormat="1" ht="60" hidden="1">
      <c r="A1617" s="209"/>
      <c r="B1617" s="371" t="s">
        <v>861</v>
      </c>
      <c r="C1617" s="211"/>
      <c r="D1617" s="213">
        <f t="shared" si="201"/>
        <v>0</v>
      </c>
      <c r="E1617" s="213">
        <f t="shared" si="202"/>
        <v>0</v>
      </c>
      <c r="F1617" s="105" t="e">
        <f t="shared" si="200"/>
        <v>#DIV/0!</v>
      </c>
      <c r="G1617" s="215">
        <f>SUM(G1618:G1623)</f>
        <v>0</v>
      </c>
      <c r="H1617" s="213">
        <f>SUM(H1618:H1623)</f>
        <v>0</v>
      </c>
      <c r="I1617" s="256" t="e">
        <f t="shared" si="203"/>
        <v>#DIV/0!</v>
      </c>
      <c r="J1617" s="215"/>
      <c r="K1617" s="213"/>
      <c r="L1617" s="219"/>
      <c r="M1617" s="213"/>
      <c r="N1617" s="213"/>
      <c r="O1617" s="219"/>
      <c r="P1617" s="213"/>
      <c r="Q1617" s="213"/>
      <c r="R1617" s="220"/>
    </row>
    <row r="1618" spans="1:18" ht="24" hidden="1">
      <c r="A1618" s="191">
        <v>4110</v>
      </c>
      <c r="B1618" s="198" t="s">
        <v>352</v>
      </c>
      <c r="C1618" s="128"/>
      <c r="D1618" s="104">
        <f t="shared" si="201"/>
        <v>0</v>
      </c>
      <c r="E1618" s="129">
        <f t="shared" si="202"/>
        <v>0</v>
      </c>
      <c r="F1618" s="105" t="e">
        <f t="shared" si="200"/>
        <v>#DIV/0!</v>
      </c>
      <c r="G1618" s="193"/>
      <c r="H1618" s="129"/>
      <c r="I1618" s="256" t="e">
        <f t="shared" si="203"/>
        <v>#DIV/0!</v>
      </c>
      <c r="J1618" s="193"/>
      <c r="K1618" s="129"/>
      <c r="L1618" s="110"/>
      <c r="M1618" s="129"/>
      <c r="N1618" s="129"/>
      <c r="O1618" s="194"/>
      <c r="P1618" s="129"/>
      <c r="Q1618" s="129"/>
      <c r="R1618" s="200"/>
    </row>
    <row r="1619" spans="1:18" ht="12.75" hidden="1">
      <c r="A1619" s="191">
        <v>4120</v>
      </c>
      <c r="B1619" s="198" t="s">
        <v>504</v>
      </c>
      <c r="C1619" s="128"/>
      <c r="D1619" s="104">
        <f t="shared" si="201"/>
        <v>0</v>
      </c>
      <c r="E1619" s="129">
        <f t="shared" si="202"/>
        <v>0</v>
      </c>
      <c r="F1619" s="105" t="e">
        <f t="shared" si="200"/>
        <v>#DIV/0!</v>
      </c>
      <c r="G1619" s="193"/>
      <c r="H1619" s="129"/>
      <c r="I1619" s="256" t="e">
        <f t="shared" si="203"/>
        <v>#DIV/0!</v>
      </c>
      <c r="J1619" s="193"/>
      <c r="K1619" s="129"/>
      <c r="L1619" s="110"/>
      <c r="M1619" s="129"/>
      <c r="N1619" s="129"/>
      <c r="O1619" s="194"/>
      <c r="P1619" s="129"/>
      <c r="Q1619" s="129"/>
      <c r="R1619" s="200"/>
    </row>
    <row r="1620" spans="1:18" ht="24" hidden="1">
      <c r="A1620" s="191">
        <v>4175</v>
      </c>
      <c r="B1620" s="198" t="s">
        <v>851</v>
      </c>
      <c r="C1620" s="128"/>
      <c r="D1620" s="104">
        <f aca="true" t="shared" si="204" ref="D1620:D1658">G1620+J1620+P1620+M1620</f>
        <v>0</v>
      </c>
      <c r="E1620" s="129">
        <f t="shared" si="202"/>
        <v>0</v>
      </c>
      <c r="F1620" s="105" t="e">
        <f t="shared" si="200"/>
        <v>#DIV/0!</v>
      </c>
      <c r="G1620" s="193"/>
      <c r="H1620" s="129"/>
      <c r="I1620" s="256" t="e">
        <f t="shared" si="203"/>
        <v>#DIV/0!</v>
      </c>
      <c r="J1620" s="193"/>
      <c r="K1620" s="129"/>
      <c r="L1620" s="110"/>
      <c r="M1620" s="129"/>
      <c r="N1620" s="129"/>
      <c r="O1620" s="194"/>
      <c r="P1620" s="129"/>
      <c r="Q1620" s="129"/>
      <c r="R1620" s="200"/>
    </row>
    <row r="1621" spans="1:18" ht="24" hidden="1">
      <c r="A1621" s="191">
        <v>4176</v>
      </c>
      <c r="B1621" s="198" t="s">
        <v>851</v>
      </c>
      <c r="C1621" s="128"/>
      <c r="D1621" s="104">
        <f t="shared" si="204"/>
        <v>0</v>
      </c>
      <c r="E1621" s="129">
        <f t="shared" si="202"/>
        <v>0</v>
      </c>
      <c r="F1621" s="105" t="e">
        <f t="shared" si="200"/>
        <v>#DIV/0!</v>
      </c>
      <c r="G1621" s="193"/>
      <c r="H1621" s="129"/>
      <c r="I1621" s="256" t="e">
        <f t="shared" si="203"/>
        <v>#DIV/0!</v>
      </c>
      <c r="J1621" s="193"/>
      <c r="K1621" s="129"/>
      <c r="L1621" s="110"/>
      <c r="M1621" s="129"/>
      <c r="N1621" s="129"/>
      <c r="O1621" s="194"/>
      <c r="P1621" s="129"/>
      <c r="Q1621" s="129"/>
      <c r="R1621" s="200"/>
    </row>
    <row r="1622" spans="1:18" ht="24" hidden="1">
      <c r="A1622" s="191">
        <v>4305</v>
      </c>
      <c r="B1622" s="198" t="s">
        <v>364</v>
      </c>
      <c r="C1622" s="128"/>
      <c r="D1622" s="104">
        <f t="shared" si="204"/>
        <v>0</v>
      </c>
      <c r="E1622" s="129">
        <f t="shared" si="202"/>
        <v>0</v>
      </c>
      <c r="F1622" s="105" t="e">
        <f t="shared" si="200"/>
        <v>#DIV/0!</v>
      </c>
      <c r="G1622" s="193"/>
      <c r="H1622" s="129"/>
      <c r="I1622" s="256" t="e">
        <f t="shared" si="203"/>
        <v>#DIV/0!</v>
      </c>
      <c r="J1622" s="193"/>
      <c r="K1622" s="129"/>
      <c r="L1622" s="110"/>
      <c r="M1622" s="129"/>
      <c r="N1622" s="129"/>
      <c r="O1622" s="194"/>
      <c r="P1622" s="129"/>
      <c r="Q1622" s="129"/>
      <c r="R1622" s="200"/>
    </row>
    <row r="1623" spans="1:18" ht="24" hidden="1">
      <c r="A1623" s="191">
        <v>4306</v>
      </c>
      <c r="B1623" s="198" t="s">
        <v>364</v>
      </c>
      <c r="C1623" s="128"/>
      <c r="D1623" s="104">
        <f t="shared" si="204"/>
        <v>0</v>
      </c>
      <c r="E1623" s="129">
        <f t="shared" si="202"/>
        <v>0</v>
      </c>
      <c r="F1623" s="105" t="e">
        <f t="shared" si="200"/>
        <v>#DIV/0!</v>
      </c>
      <c r="G1623" s="193"/>
      <c r="H1623" s="236"/>
      <c r="I1623" s="256" t="e">
        <f t="shared" si="203"/>
        <v>#DIV/0!</v>
      </c>
      <c r="J1623" s="193"/>
      <c r="K1623" s="129"/>
      <c r="L1623" s="110"/>
      <c r="M1623" s="129"/>
      <c r="N1623" s="129"/>
      <c r="O1623" s="194"/>
      <c r="P1623" s="129"/>
      <c r="Q1623" s="129"/>
      <c r="R1623" s="200"/>
    </row>
    <row r="1624" spans="1:18" s="221" customFormat="1" ht="17.25" customHeight="1">
      <c r="A1624" s="239">
        <v>92106</v>
      </c>
      <c r="B1624" s="296" t="s">
        <v>862</v>
      </c>
      <c r="C1624" s="136">
        <f>C1625+SUM(C1632:C1634)</f>
        <v>8593600</v>
      </c>
      <c r="D1624" s="137">
        <f t="shared" si="204"/>
        <v>8593600</v>
      </c>
      <c r="E1624" s="137">
        <f>H1624+K1624+Q1624+N1624</f>
        <v>2823100</v>
      </c>
      <c r="F1624" s="138">
        <f t="shared" si="200"/>
        <v>32.85119158443493</v>
      </c>
      <c r="G1624" s="137"/>
      <c r="H1624" s="137"/>
      <c r="I1624" s="214"/>
      <c r="J1624" s="140"/>
      <c r="K1624" s="137"/>
      <c r="L1624" s="125"/>
      <c r="M1624" s="137">
        <f>SUM(M1625)+M1634+M1633+M1632+M1635</f>
        <v>8593600</v>
      </c>
      <c r="N1624" s="137">
        <f>SUM(N1625)+N1634+N1633+N1632+N1635</f>
        <v>2823100</v>
      </c>
      <c r="O1624" s="396">
        <f aca="true" t="shared" si="205" ref="O1624:O1644">N1624/M1624*100</f>
        <v>32.85119158443493</v>
      </c>
      <c r="P1624" s="137"/>
      <c r="Q1624" s="137"/>
      <c r="R1624" s="266"/>
    </row>
    <row r="1625" spans="1:18" ht="48">
      <c r="A1625" s="172">
        <v>2480</v>
      </c>
      <c r="B1625" s="320" t="s">
        <v>863</v>
      </c>
      <c r="C1625" s="132">
        <f>SUM(C1626:C1631)</f>
        <v>2593600</v>
      </c>
      <c r="D1625" s="149">
        <f t="shared" si="204"/>
        <v>2593600</v>
      </c>
      <c r="E1625" s="150">
        <f aca="true" t="shared" si="206" ref="E1625:E1634">SUM(H1625+K1625+N1625+Q1625)</f>
        <v>623400</v>
      </c>
      <c r="F1625" s="130">
        <f t="shared" si="200"/>
        <v>24.036088834053054</v>
      </c>
      <c r="G1625" s="150"/>
      <c r="H1625" s="223"/>
      <c r="I1625" s="222"/>
      <c r="J1625" s="223"/>
      <c r="K1625" s="150"/>
      <c r="L1625" s="154"/>
      <c r="M1625" s="132">
        <f>SUM(M1626:M1631)</f>
        <v>2593600</v>
      </c>
      <c r="N1625" s="150">
        <f>SUM(N1626:N1631)</f>
        <v>623400</v>
      </c>
      <c r="O1625" s="222">
        <f t="shared" si="205"/>
        <v>24.036088834053054</v>
      </c>
      <c r="P1625" s="150"/>
      <c r="Q1625" s="150"/>
      <c r="R1625" s="226"/>
    </row>
    <row r="1626" spans="1:18" s="254" customFormat="1" ht="12.75">
      <c r="A1626" s="248"/>
      <c r="B1626" s="249" t="s">
        <v>864</v>
      </c>
      <c r="C1626" s="250">
        <v>2493600</v>
      </c>
      <c r="D1626" s="251">
        <f t="shared" si="204"/>
        <v>2493600</v>
      </c>
      <c r="E1626" s="251">
        <f t="shared" si="206"/>
        <v>623400</v>
      </c>
      <c r="F1626" s="105">
        <f t="shared" si="200"/>
        <v>25</v>
      </c>
      <c r="G1626" s="251"/>
      <c r="H1626" s="252"/>
      <c r="I1626" s="256"/>
      <c r="J1626" s="252"/>
      <c r="K1626" s="251"/>
      <c r="L1626" s="110"/>
      <c r="M1626" s="250">
        <v>2493600</v>
      </c>
      <c r="N1626" s="251">
        <f>207800+207800+207800</f>
        <v>623400</v>
      </c>
      <c r="O1626" s="256">
        <f t="shared" si="205"/>
        <v>25</v>
      </c>
      <c r="P1626" s="251"/>
      <c r="Q1626" s="251"/>
      <c r="R1626" s="262"/>
    </row>
    <row r="1627" spans="1:18" s="254" customFormat="1" ht="12.75" hidden="1">
      <c r="A1627" s="248"/>
      <c r="B1627" s="249" t="s">
        <v>865</v>
      </c>
      <c r="C1627" s="250"/>
      <c r="D1627" s="251">
        <f t="shared" si="204"/>
        <v>0</v>
      </c>
      <c r="E1627" s="251">
        <f t="shared" si="206"/>
        <v>0</v>
      </c>
      <c r="F1627" s="105" t="e">
        <f t="shared" si="200"/>
        <v>#DIV/0!</v>
      </c>
      <c r="G1627" s="251"/>
      <c r="H1627" s="252"/>
      <c r="I1627" s="256"/>
      <c r="J1627" s="252"/>
      <c r="K1627" s="251"/>
      <c r="L1627" s="110"/>
      <c r="M1627" s="250"/>
      <c r="N1627" s="251"/>
      <c r="O1627" s="256" t="e">
        <f t="shared" si="205"/>
        <v>#DIV/0!</v>
      </c>
      <c r="P1627" s="251"/>
      <c r="Q1627" s="251"/>
      <c r="R1627" s="262"/>
    </row>
    <row r="1628" spans="1:18" s="254" customFormat="1" ht="36">
      <c r="A1628" s="248"/>
      <c r="B1628" s="249" t="s">
        <v>866</v>
      </c>
      <c r="C1628" s="250">
        <v>100000</v>
      </c>
      <c r="D1628" s="251">
        <f t="shared" si="204"/>
        <v>100000</v>
      </c>
      <c r="E1628" s="251">
        <f t="shared" si="206"/>
        <v>0</v>
      </c>
      <c r="F1628" s="105">
        <f t="shared" si="200"/>
        <v>0</v>
      </c>
      <c r="G1628" s="251"/>
      <c r="H1628" s="252"/>
      <c r="I1628" s="256"/>
      <c r="J1628" s="252"/>
      <c r="K1628" s="251"/>
      <c r="L1628" s="110"/>
      <c r="M1628" s="250">
        <v>100000</v>
      </c>
      <c r="N1628" s="251"/>
      <c r="O1628" s="256">
        <f t="shared" si="205"/>
        <v>0</v>
      </c>
      <c r="P1628" s="251"/>
      <c r="Q1628" s="251"/>
      <c r="R1628" s="262"/>
    </row>
    <row r="1629" spans="1:18" s="254" customFormat="1" ht="36" hidden="1">
      <c r="A1629" s="248"/>
      <c r="B1629" s="249" t="s">
        <v>867</v>
      </c>
      <c r="C1629" s="250"/>
      <c r="D1629" s="251">
        <f t="shared" si="204"/>
        <v>0</v>
      </c>
      <c r="E1629" s="251">
        <f t="shared" si="206"/>
        <v>0</v>
      </c>
      <c r="F1629" s="105" t="e">
        <f t="shared" si="200"/>
        <v>#DIV/0!</v>
      </c>
      <c r="G1629" s="251"/>
      <c r="H1629" s="252"/>
      <c r="I1629" s="256"/>
      <c r="J1629" s="252"/>
      <c r="K1629" s="251"/>
      <c r="L1629" s="110"/>
      <c r="M1629" s="250"/>
      <c r="N1629" s="251"/>
      <c r="O1629" s="256" t="e">
        <f t="shared" si="205"/>
        <v>#DIV/0!</v>
      </c>
      <c r="P1629" s="251"/>
      <c r="Q1629" s="251"/>
      <c r="R1629" s="262"/>
    </row>
    <row r="1630" spans="1:18" s="254" customFormat="1" ht="12.75" hidden="1">
      <c r="A1630" s="248"/>
      <c r="B1630" s="249" t="s">
        <v>868</v>
      </c>
      <c r="C1630" s="250"/>
      <c r="D1630" s="251">
        <f t="shared" si="204"/>
        <v>0</v>
      </c>
      <c r="E1630" s="251">
        <f t="shared" si="206"/>
        <v>0</v>
      </c>
      <c r="F1630" s="105" t="e">
        <f t="shared" si="200"/>
        <v>#DIV/0!</v>
      </c>
      <c r="G1630" s="251"/>
      <c r="H1630" s="252"/>
      <c r="I1630" s="256"/>
      <c r="J1630" s="252"/>
      <c r="K1630" s="251"/>
      <c r="L1630" s="110"/>
      <c r="M1630" s="250"/>
      <c r="N1630" s="251"/>
      <c r="O1630" s="256" t="e">
        <f t="shared" si="205"/>
        <v>#DIV/0!</v>
      </c>
      <c r="P1630" s="251"/>
      <c r="Q1630" s="251"/>
      <c r="R1630" s="262"/>
    </row>
    <row r="1631" spans="1:18" s="254" customFormat="1" ht="36" hidden="1">
      <c r="A1631" s="248"/>
      <c r="B1631" s="249" t="s">
        <v>869</v>
      </c>
      <c r="C1631" s="250"/>
      <c r="D1631" s="251">
        <f t="shared" si="204"/>
        <v>0</v>
      </c>
      <c r="E1631" s="251">
        <f t="shared" si="206"/>
        <v>0</v>
      </c>
      <c r="F1631" s="105" t="e">
        <f t="shared" si="200"/>
        <v>#DIV/0!</v>
      </c>
      <c r="G1631" s="251"/>
      <c r="H1631" s="252"/>
      <c r="I1631" s="256"/>
      <c r="J1631" s="252"/>
      <c r="K1631" s="251"/>
      <c r="L1631" s="110"/>
      <c r="M1631" s="250"/>
      <c r="N1631" s="251"/>
      <c r="O1631" s="256" t="e">
        <f t="shared" si="205"/>
        <v>#DIV/0!</v>
      </c>
      <c r="P1631" s="251"/>
      <c r="Q1631" s="251"/>
      <c r="R1631" s="262"/>
    </row>
    <row r="1632" spans="1:18" s="269" customFormat="1" ht="24">
      <c r="A1632" s="267">
        <v>6050</v>
      </c>
      <c r="B1632" s="305" t="s">
        <v>396</v>
      </c>
      <c r="C1632" s="160">
        <v>1346500</v>
      </c>
      <c r="D1632" s="104">
        <f>G1632+J1632+P1632+M1632</f>
        <v>1345500</v>
      </c>
      <c r="E1632" s="104">
        <f>SUM(H1632+K1632+N1632+Q1632)</f>
        <v>20062</v>
      </c>
      <c r="F1632" s="306">
        <f>E1632/D1632*100</f>
        <v>1.491044221479004</v>
      </c>
      <c r="G1632" s="104"/>
      <c r="H1632" s="109"/>
      <c r="I1632" s="431"/>
      <c r="J1632" s="109"/>
      <c r="K1632" s="104"/>
      <c r="L1632" s="110"/>
      <c r="M1632" s="160">
        <f>1346500-1000</f>
        <v>1345500</v>
      </c>
      <c r="N1632" s="104">
        <v>20062</v>
      </c>
      <c r="O1632" s="256">
        <f t="shared" si="205"/>
        <v>1.491044221479004</v>
      </c>
      <c r="P1632" s="104"/>
      <c r="Q1632" s="104"/>
      <c r="R1632" s="200"/>
    </row>
    <row r="1633" spans="1:18" s="269" customFormat="1" ht="24">
      <c r="A1633" s="267">
        <v>6058</v>
      </c>
      <c r="B1633" s="305" t="s">
        <v>396</v>
      </c>
      <c r="C1633" s="160">
        <v>2691800</v>
      </c>
      <c r="D1633" s="104">
        <f>G1633+J1633+P1633+M1633</f>
        <v>2692500</v>
      </c>
      <c r="E1633" s="104">
        <f>SUM(H1633+K1633+N1633+Q1633)</f>
        <v>1260883</v>
      </c>
      <c r="F1633" s="306">
        <f>E1633/D1633*100</f>
        <v>46.829452181987</v>
      </c>
      <c r="G1633" s="104"/>
      <c r="H1633" s="109"/>
      <c r="I1633" s="431"/>
      <c r="J1633" s="109"/>
      <c r="K1633" s="104"/>
      <c r="L1633" s="110"/>
      <c r="M1633" s="160">
        <f>2691800+700</f>
        <v>2692500</v>
      </c>
      <c r="N1633" s="104">
        <v>1260883</v>
      </c>
      <c r="O1633" s="256">
        <f t="shared" si="205"/>
        <v>46.829452181987</v>
      </c>
      <c r="P1633" s="104"/>
      <c r="Q1633" s="104"/>
      <c r="R1633" s="200"/>
    </row>
    <row r="1634" spans="1:18" ht="24">
      <c r="A1634" s="191">
        <v>6059</v>
      </c>
      <c r="B1634" s="198" t="s">
        <v>396</v>
      </c>
      <c r="C1634" s="128">
        <v>1961700</v>
      </c>
      <c r="D1634" s="104">
        <f t="shared" si="204"/>
        <v>1962000</v>
      </c>
      <c r="E1634" s="129">
        <f t="shared" si="206"/>
        <v>918755</v>
      </c>
      <c r="F1634" s="105">
        <f t="shared" si="200"/>
        <v>46.82747196738023</v>
      </c>
      <c r="G1634" s="129"/>
      <c r="H1634" s="193"/>
      <c r="I1634" s="256"/>
      <c r="J1634" s="193"/>
      <c r="K1634" s="129"/>
      <c r="L1634" s="110"/>
      <c r="M1634" s="128">
        <f>1961700+300</f>
        <v>1962000</v>
      </c>
      <c r="N1634" s="129">
        <v>918755</v>
      </c>
      <c r="O1634" s="256">
        <f t="shared" si="205"/>
        <v>46.82747196738023</v>
      </c>
      <c r="P1634" s="129"/>
      <c r="Q1634" s="129"/>
      <c r="R1634" s="200"/>
    </row>
    <row r="1635" spans="1:18" ht="96" hidden="1">
      <c r="A1635" s="191">
        <v>6220</v>
      </c>
      <c r="B1635" s="198" t="s">
        <v>716</v>
      </c>
      <c r="C1635" s="128"/>
      <c r="D1635" s="104">
        <f>G1635+J1635+P1635+M1635</f>
        <v>0</v>
      </c>
      <c r="E1635" s="129">
        <f>SUM(H1635+K1635+N1635+Q1635)</f>
        <v>0</v>
      </c>
      <c r="F1635" s="105" t="e">
        <f>E1635/D1635*100</f>
        <v>#DIV/0!</v>
      </c>
      <c r="G1635" s="129"/>
      <c r="H1635" s="193"/>
      <c r="I1635" s="256"/>
      <c r="J1635" s="193"/>
      <c r="K1635" s="129"/>
      <c r="L1635" s="110"/>
      <c r="M1635" s="193">
        <f>SUM(M1636)</f>
        <v>0</v>
      </c>
      <c r="N1635" s="129">
        <f>SUM(N1636)</f>
        <v>0</v>
      </c>
      <c r="O1635" s="256" t="e">
        <f t="shared" si="205"/>
        <v>#DIV/0!</v>
      </c>
      <c r="P1635" s="129"/>
      <c r="Q1635" s="129"/>
      <c r="R1635" s="200"/>
    </row>
    <row r="1636" spans="1:18" s="254" customFormat="1" ht="24" hidden="1">
      <c r="A1636" s="515"/>
      <c r="B1636" s="516" t="s">
        <v>870</v>
      </c>
      <c r="C1636" s="408"/>
      <c r="D1636" s="251">
        <f>G1636+J1636+P1636+M1636</f>
        <v>0</v>
      </c>
      <c r="E1636" s="251">
        <f>SUM(H1636+K1636+N1636+Q1636)</f>
        <v>0</v>
      </c>
      <c r="F1636" s="105" t="e">
        <f>E1636/D1636*100</f>
        <v>#DIV/0!</v>
      </c>
      <c r="G1636" s="409"/>
      <c r="H1636" s="410"/>
      <c r="I1636" s="232"/>
      <c r="J1636" s="410"/>
      <c r="K1636" s="409"/>
      <c r="L1636" s="319"/>
      <c r="M1636" s="410"/>
      <c r="N1636" s="409"/>
      <c r="O1636" s="256" t="e">
        <f t="shared" si="205"/>
        <v>#DIV/0!</v>
      </c>
      <c r="P1636" s="409"/>
      <c r="Q1636" s="409"/>
      <c r="R1636" s="470"/>
    </row>
    <row r="1637" spans="1:18" ht="22.5" customHeight="1">
      <c r="A1637" s="186">
        <v>92108</v>
      </c>
      <c r="B1637" s="294" t="s">
        <v>871</v>
      </c>
      <c r="C1637" s="188">
        <f>SUM(C1638:C1638)+C1644</f>
        <v>3129600</v>
      </c>
      <c r="D1637" s="137">
        <f t="shared" si="204"/>
        <v>3129600</v>
      </c>
      <c r="E1637" s="119">
        <f>H1637+K1637+Q1637+N1637</f>
        <v>704649</v>
      </c>
      <c r="F1637" s="120">
        <f t="shared" si="200"/>
        <v>22.515625</v>
      </c>
      <c r="G1637" s="137"/>
      <c r="H1637" s="140"/>
      <c r="I1637" s="127"/>
      <c r="J1637" s="140">
        <f>SUM(J1643)</f>
        <v>0</v>
      </c>
      <c r="K1637" s="137">
        <f>K1643</f>
        <v>0</v>
      </c>
      <c r="L1637" s="477" t="e">
        <f>K1637/J1637*100</f>
        <v>#DIV/0!</v>
      </c>
      <c r="M1637" s="119">
        <f>SUM(M1638)+M1644</f>
        <v>3129600</v>
      </c>
      <c r="N1637" s="119">
        <f>SUM(N1638)+N1644</f>
        <v>704649</v>
      </c>
      <c r="O1637" s="214">
        <f t="shared" si="205"/>
        <v>22.515625</v>
      </c>
      <c r="P1637" s="119"/>
      <c r="Q1637" s="119"/>
      <c r="R1637" s="283"/>
    </row>
    <row r="1638" spans="1:18" ht="48">
      <c r="A1638" s="172">
        <v>2480</v>
      </c>
      <c r="B1638" s="320" t="s">
        <v>872</v>
      </c>
      <c r="C1638" s="132">
        <f>SUM(C1639:C1642)</f>
        <v>3029600</v>
      </c>
      <c r="D1638" s="149">
        <f t="shared" si="204"/>
        <v>3029600</v>
      </c>
      <c r="E1638" s="150">
        <f aca="true" t="shared" si="207" ref="E1638:E1644">SUM(H1638+K1638+N1638+Q1638)</f>
        <v>704649</v>
      </c>
      <c r="F1638" s="130">
        <f t="shared" si="200"/>
        <v>23.258813044626354</v>
      </c>
      <c r="G1638" s="150"/>
      <c r="H1638" s="153"/>
      <c r="I1638" s="113"/>
      <c r="J1638" s="223"/>
      <c r="K1638" s="150"/>
      <c r="L1638" s="500"/>
      <c r="M1638" s="132">
        <f>SUM(M1639:M1642)</f>
        <v>3029600</v>
      </c>
      <c r="N1638" s="150">
        <f>SUM(N1639:N1642)</f>
        <v>704649</v>
      </c>
      <c r="O1638" s="222">
        <f t="shared" si="205"/>
        <v>23.258813044626354</v>
      </c>
      <c r="P1638" s="150"/>
      <c r="Q1638" s="150"/>
      <c r="R1638" s="226"/>
    </row>
    <row r="1639" spans="1:18" s="254" customFormat="1" ht="12.75">
      <c r="A1639" s="248"/>
      <c r="B1639" s="249" t="s">
        <v>864</v>
      </c>
      <c r="C1639" s="250">
        <v>2818600</v>
      </c>
      <c r="D1639" s="251">
        <f t="shared" si="204"/>
        <v>2818600</v>
      </c>
      <c r="E1639" s="251">
        <f t="shared" si="207"/>
        <v>704649</v>
      </c>
      <c r="F1639" s="105">
        <f t="shared" si="200"/>
        <v>24.9999645213936</v>
      </c>
      <c r="G1639" s="251"/>
      <c r="H1639" s="252"/>
      <c r="I1639" s="108"/>
      <c r="J1639" s="252"/>
      <c r="K1639" s="251"/>
      <c r="L1639" s="343"/>
      <c r="M1639" s="250">
        <v>2818600</v>
      </c>
      <c r="N1639" s="251">
        <f>234883+234883+234883</f>
        <v>704649</v>
      </c>
      <c r="O1639" s="256">
        <f t="shared" si="205"/>
        <v>24.9999645213936</v>
      </c>
      <c r="P1639" s="251"/>
      <c r="Q1639" s="251"/>
      <c r="R1639" s="262"/>
    </row>
    <row r="1640" spans="1:18" s="254" customFormat="1" ht="36">
      <c r="A1640" s="248"/>
      <c r="B1640" s="249" t="s">
        <v>866</v>
      </c>
      <c r="C1640" s="250">
        <v>100000</v>
      </c>
      <c r="D1640" s="251">
        <f t="shared" si="204"/>
        <v>100000</v>
      </c>
      <c r="E1640" s="251">
        <f t="shared" si="207"/>
        <v>0</v>
      </c>
      <c r="F1640" s="105">
        <f t="shared" si="200"/>
        <v>0</v>
      </c>
      <c r="G1640" s="251"/>
      <c r="H1640" s="252"/>
      <c r="I1640" s="108"/>
      <c r="J1640" s="252"/>
      <c r="K1640" s="251"/>
      <c r="L1640" s="343"/>
      <c r="M1640" s="250">
        <v>100000</v>
      </c>
      <c r="N1640" s="251"/>
      <c r="O1640" s="256">
        <f t="shared" si="205"/>
        <v>0</v>
      </c>
      <c r="P1640" s="251"/>
      <c r="Q1640" s="251"/>
      <c r="R1640" s="262"/>
    </row>
    <row r="1641" spans="1:18" s="254" customFormat="1" ht="24">
      <c r="A1641" s="248"/>
      <c r="B1641" s="249" t="s">
        <v>873</v>
      </c>
      <c r="C1641" s="250">
        <v>72000</v>
      </c>
      <c r="D1641" s="251">
        <f t="shared" si="204"/>
        <v>72000</v>
      </c>
      <c r="E1641" s="251">
        <f t="shared" si="207"/>
        <v>0</v>
      </c>
      <c r="F1641" s="105">
        <f t="shared" si="200"/>
        <v>0</v>
      </c>
      <c r="G1641" s="251"/>
      <c r="H1641" s="252"/>
      <c r="I1641" s="108"/>
      <c r="J1641" s="252"/>
      <c r="K1641" s="251"/>
      <c r="L1641" s="343"/>
      <c r="M1641" s="250">
        <v>72000</v>
      </c>
      <c r="N1641" s="251"/>
      <c r="O1641" s="256">
        <f t="shared" si="205"/>
        <v>0</v>
      </c>
      <c r="P1641" s="251"/>
      <c r="Q1641" s="251"/>
      <c r="R1641" s="262"/>
    </row>
    <row r="1642" spans="1:18" s="254" customFormat="1" ht="24">
      <c r="A1642" s="248"/>
      <c r="B1642" s="249" t="s">
        <v>874</v>
      </c>
      <c r="C1642" s="250">
        <v>39000</v>
      </c>
      <c r="D1642" s="251">
        <f t="shared" si="204"/>
        <v>39000</v>
      </c>
      <c r="E1642" s="251">
        <f t="shared" si="207"/>
        <v>0</v>
      </c>
      <c r="F1642" s="105">
        <f t="shared" si="200"/>
        <v>0</v>
      </c>
      <c r="G1642" s="251"/>
      <c r="H1642" s="252"/>
      <c r="I1642" s="108"/>
      <c r="J1642" s="252"/>
      <c r="K1642" s="251"/>
      <c r="L1642" s="343"/>
      <c r="M1642" s="250">
        <v>39000</v>
      </c>
      <c r="N1642" s="251"/>
      <c r="O1642" s="256">
        <f t="shared" si="205"/>
        <v>0</v>
      </c>
      <c r="P1642" s="251"/>
      <c r="Q1642" s="251"/>
      <c r="R1642" s="262"/>
    </row>
    <row r="1643" spans="1:18" ht="26.25" customHeight="1" hidden="1">
      <c r="A1643" s="191">
        <v>4210</v>
      </c>
      <c r="B1643" s="198" t="s">
        <v>356</v>
      </c>
      <c r="C1643" s="128"/>
      <c r="D1643" s="104">
        <f t="shared" si="204"/>
        <v>0</v>
      </c>
      <c r="E1643" s="129">
        <f t="shared" si="207"/>
        <v>0</v>
      </c>
      <c r="F1643" s="105" t="e">
        <f t="shared" si="200"/>
        <v>#DIV/0!</v>
      </c>
      <c r="G1643" s="129"/>
      <c r="H1643" s="109"/>
      <c r="I1643" s="108"/>
      <c r="J1643" s="193"/>
      <c r="K1643" s="129"/>
      <c r="L1643" s="343" t="e">
        <f>K1643/J1643*100</f>
        <v>#DIV/0!</v>
      </c>
      <c r="M1643" s="193"/>
      <c r="N1643" s="129"/>
      <c r="O1643" s="256"/>
      <c r="P1643" s="129"/>
      <c r="Q1643" s="129"/>
      <c r="R1643" s="200"/>
    </row>
    <row r="1644" spans="1:18" ht="36">
      <c r="A1644" s="191">
        <v>6050</v>
      </c>
      <c r="B1644" s="305" t="s">
        <v>875</v>
      </c>
      <c r="C1644" s="229">
        <v>100000</v>
      </c>
      <c r="D1644" s="104">
        <f t="shared" si="204"/>
        <v>100000</v>
      </c>
      <c r="E1644" s="129">
        <f t="shared" si="207"/>
        <v>0</v>
      </c>
      <c r="F1644" s="105">
        <f t="shared" si="200"/>
        <v>0</v>
      </c>
      <c r="G1644" s="236"/>
      <c r="H1644" s="231"/>
      <c r="I1644" s="170"/>
      <c r="J1644" s="233"/>
      <c r="K1644" s="236"/>
      <c r="L1644" s="319"/>
      <c r="M1644" s="233">
        <v>100000</v>
      </c>
      <c r="N1644" s="236"/>
      <c r="O1644" s="256">
        <f t="shared" si="205"/>
        <v>0</v>
      </c>
      <c r="P1644" s="236"/>
      <c r="Q1644" s="236"/>
      <c r="R1644" s="238"/>
    </row>
    <row r="1645" spans="1:18" ht="28.5" customHeight="1">
      <c r="A1645" s="186">
        <v>92109</v>
      </c>
      <c r="B1645" s="294" t="s">
        <v>876</v>
      </c>
      <c r="C1645" s="188">
        <f>C1646</f>
        <v>2341800</v>
      </c>
      <c r="D1645" s="137">
        <f t="shared" si="204"/>
        <v>2341800</v>
      </c>
      <c r="E1645" s="119">
        <f>H1645+K1645+Q1645+N1645</f>
        <v>620096</v>
      </c>
      <c r="F1645" s="120">
        <f t="shared" si="200"/>
        <v>26.479460244256554</v>
      </c>
      <c r="G1645" s="119">
        <f>G1646</f>
        <v>2341800</v>
      </c>
      <c r="H1645" s="119">
        <f>H1646</f>
        <v>620096</v>
      </c>
      <c r="I1645" s="214">
        <f>H1645/G1645*100</f>
        <v>26.479460244256554</v>
      </c>
      <c r="J1645" s="124"/>
      <c r="K1645" s="119"/>
      <c r="L1645" s="125"/>
      <c r="M1645" s="119"/>
      <c r="N1645" s="119"/>
      <c r="O1645" s="127"/>
      <c r="P1645" s="119"/>
      <c r="Q1645" s="119"/>
      <c r="R1645" s="283"/>
    </row>
    <row r="1646" spans="1:18" s="254" customFormat="1" ht="24">
      <c r="A1646" s="517"/>
      <c r="B1646" s="518" t="s">
        <v>877</v>
      </c>
      <c r="C1646" s="519">
        <f>SUM(C1647:C1660)+C1673+C1670+C1671</f>
        <v>2341800</v>
      </c>
      <c r="D1646" s="520">
        <f t="shared" si="204"/>
        <v>2341800</v>
      </c>
      <c r="E1646" s="520">
        <f>H1646+K1646+Q1646+N1646</f>
        <v>620096</v>
      </c>
      <c r="F1646" s="120">
        <f t="shared" si="200"/>
        <v>26.479460244256554</v>
      </c>
      <c r="G1646" s="520">
        <f>SUM(G1647:G1660)+G1670+G1671</f>
        <v>2341800</v>
      </c>
      <c r="H1646" s="520">
        <f>SUM(H1647:H1660)+H1670+H1671</f>
        <v>620096</v>
      </c>
      <c r="I1646" s="214">
        <f>H1646/G1646*100</f>
        <v>26.479460244256554</v>
      </c>
      <c r="J1646" s="521"/>
      <c r="K1646" s="520"/>
      <c r="L1646" s="125"/>
      <c r="M1646" s="520"/>
      <c r="N1646" s="520"/>
      <c r="O1646" s="127"/>
      <c r="P1646" s="520"/>
      <c r="Q1646" s="520"/>
      <c r="R1646" s="522"/>
    </row>
    <row r="1647" spans="1:18" ht="40.5" customHeight="1" hidden="1">
      <c r="A1647" s="191">
        <v>3020</v>
      </c>
      <c r="B1647" s="198" t="s">
        <v>593</v>
      </c>
      <c r="C1647" s="128"/>
      <c r="D1647" s="104">
        <f t="shared" si="204"/>
        <v>0</v>
      </c>
      <c r="E1647" s="129">
        <f>SUM(H1647+K1647+N1647+Q1647)</f>
        <v>0</v>
      </c>
      <c r="F1647" s="105"/>
      <c r="G1647" s="287"/>
      <c r="H1647" s="288"/>
      <c r="I1647" s="256"/>
      <c r="J1647" s="288"/>
      <c r="K1647" s="287"/>
      <c r="L1647" s="289"/>
      <c r="M1647" s="128"/>
      <c r="N1647" s="129"/>
      <c r="O1647" s="108"/>
      <c r="P1647" s="129"/>
      <c r="Q1647" s="129"/>
      <c r="R1647" s="200"/>
    </row>
    <row r="1648" spans="1:18" ht="24.75" customHeight="1" hidden="1">
      <c r="A1648" s="191">
        <v>4010</v>
      </c>
      <c r="B1648" s="198" t="s">
        <v>346</v>
      </c>
      <c r="C1648" s="128"/>
      <c r="D1648" s="104">
        <f t="shared" si="204"/>
        <v>0</v>
      </c>
      <c r="E1648" s="129">
        <f aca="true" t="shared" si="208" ref="E1648:E1654">SUM(H1648+K1648+N1648+Q1648)</f>
        <v>0</v>
      </c>
      <c r="F1648" s="105"/>
      <c r="G1648" s="287"/>
      <c r="H1648" s="288"/>
      <c r="I1648" s="256"/>
      <c r="J1648" s="288"/>
      <c r="K1648" s="287"/>
      <c r="L1648" s="289"/>
      <c r="M1648" s="128"/>
      <c r="N1648" s="129"/>
      <c r="O1648" s="108"/>
      <c r="P1648" s="129"/>
      <c r="Q1648" s="129"/>
      <c r="R1648" s="200"/>
    </row>
    <row r="1649" spans="1:18" ht="27" customHeight="1" hidden="1">
      <c r="A1649" s="191">
        <v>4040</v>
      </c>
      <c r="B1649" s="198" t="s">
        <v>350</v>
      </c>
      <c r="C1649" s="128"/>
      <c r="D1649" s="104">
        <f t="shared" si="204"/>
        <v>0</v>
      </c>
      <c r="E1649" s="129">
        <f t="shared" si="208"/>
        <v>0</v>
      </c>
      <c r="F1649" s="105"/>
      <c r="G1649" s="287"/>
      <c r="H1649" s="288"/>
      <c r="I1649" s="256"/>
      <c r="J1649" s="288"/>
      <c r="K1649" s="287"/>
      <c r="L1649" s="289"/>
      <c r="M1649" s="128"/>
      <c r="N1649" s="129"/>
      <c r="O1649" s="108"/>
      <c r="P1649" s="129"/>
      <c r="Q1649" s="129"/>
      <c r="R1649" s="200"/>
    </row>
    <row r="1650" spans="1:18" ht="27" customHeight="1" hidden="1">
      <c r="A1650" s="191">
        <v>4110</v>
      </c>
      <c r="B1650" s="198" t="s">
        <v>352</v>
      </c>
      <c r="C1650" s="128"/>
      <c r="D1650" s="104">
        <f t="shared" si="204"/>
        <v>0</v>
      </c>
      <c r="E1650" s="129">
        <f t="shared" si="208"/>
        <v>0</v>
      </c>
      <c r="F1650" s="105"/>
      <c r="G1650" s="287"/>
      <c r="H1650" s="288"/>
      <c r="I1650" s="256"/>
      <c r="J1650" s="288"/>
      <c r="K1650" s="287"/>
      <c r="L1650" s="289"/>
      <c r="M1650" s="128"/>
      <c r="N1650" s="129"/>
      <c r="O1650" s="108"/>
      <c r="P1650" s="129"/>
      <c r="Q1650" s="129"/>
      <c r="R1650" s="200"/>
    </row>
    <row r="1651" spans="1:18" ht="19.5" customHeight="1" hidden="1">
      <c r="A1651" s="191">
        <v>4120</v>
      </c>
      <c r="B1651" s="198" t="s">
        <v>504</v>
      </c>
      <c r="C1651" s="128"/>
      <c r="D1651" s="104">
        <f t="shared" si="204"/>
        <v>0</v>
      </c>
      <c r="E1651" s="129">
        <f t="shared" si="208"/>
        <v>0</v>
      </c>
      <c r="F1651" s="105"/>
      <c r="G1651" s="287"/>
      <c r="H1651" s="288"/>
      <c r="I1651" s="256"/>
      <c r="J1651" s="288"/>
      <c r="K1651" s="287"/>
      <c r="L1651" s="289"/>
      <c r="M1651" s="128"/>
      <c r="N1651" s="129"/>
      <c r="O1651" s="108"/>
      <c r="P1651" s="129"/>
      <c r="Q1651" s="129"/>
      <c r="R1651" s="200"/>
    </row>
    <row r="1652" spans="1:18" ht="25.5" customHeight="1" hidden="1">
      <c r="A1652" s="191">
        <v>4210</v>
      </c>
      <c r="B1652" s="198" t="s">
        <v>356</v>
      </c>
      <c r="C1652" s="128"/>
      <c r="D1652" s="104">
        <f t="shared" si="204"/>
        <v>0</v>
      </c>
      <c r="E1652" s="129">
        <f t="shared" si="208"/>
        <v>0</v>
      </c>
      <c r="F1652" s="105"/>
      <c r="G1652" s="287"/>
      <c r="H1652" s="288"/>
      <c r="I1652" s="256"/>
      <c r="J1652" s="288"/>
      <c r="K1652" s="287"/>
      <c r="L1652" s="289"/>
      <c r="M1652" s="128"/>
      <c r="N1652" s="129"/>
      <c r="O1652" s="108"/>
      <c r="P1652" s="129"/>
      <c r="Q1652" s="129"/>
      <c r="R1652" s="200"/>
    </row>
    <row r="1653" spans="1:18" ht="38.25" customHeight="1" hidden="1">
      <c r="A1653" s="191">
        <v>4240</v>
      </c>
      <c r="B1653" s="198" t="s">
        <v>489</v>
      </c>
      <c r="C1653" s="128"/>
      <c r="D1653" s="104">
        <f t="shared" si="204"/>
        <v>0</v>
      </c>
      <c r="E1653" s="129">
        <f t="shared" si="208"/>
        <v>0</v>
      </c>
      <c r="F1653" s="105"/>
      <c r="G1653" s="287"/>
      <c r="H1653" s="288"/>
      <c r="I1653" s="256"/>
      <c r="J1653" s="288"/>
      <c r="K1653" s="287"/>
      <c r="L1653" s="289"/>
      <c r="M1653" s="128"/>
      <c r="N1653" s="129"/>
      <c r="O1653" s="108"/>
      <c r="P1653" s="129"/>
      <c r="Q1653" s="129"/>
      <c r="R1653" s="200"/>
    </row>
    <row r="1654" spans="1:18" ht="15" customHeight="1" hidden="1">
      <c r="A1654" s="191">
        <v>4260</v>
      </c>
      <c r="B1654" s="198" t="s">
        <v>360</v>
      </c>
      <c r="C1654" s="128"/>
      <c r="D1654" s="104">
        <f t="shared" si="204"/>
        <v>0</v>
      </c>
      <c r="E1654" s="129">
        <f t="shared" si="208"/>
        <v>0</v>
      </c>
      <c r="F1654" s="105"/>
      <c r="G1654" s="287"/>
      <c r="H1654" s="288"/>
      <c r="I1654" s="256"/>
      <c r="J1654" s="288"/>
      <c r="K1654" s="287"/>
      <c r="L1654" s="289"/>
      <c r="M1654" s="128"/>
      <c r="N1654" s="129"/>
      <c r="O1654" s="108"/>
      <c r="P1654" s="129"/>
      <c r="Q1654" s="129"/>
      <c r="R1654" s="200"/>
    </row>
    <row r="1655" spans="1:18" ht="21" customHeight="1" hidden="1">
      <c r="A1655" s="191">
        <v>4300</v>
      </c>
      <c r="B1655" s="198" t="s">
        <v>364</v>
      </c>
      <c r="C1655" s="128"/>
      <c r="D1655" s="104">
        <f t="shared" si="204"/>
        <v>0</v>
      </c>
      <c r="E1655" s="129">
        <f>SUM(H1655+K1655+N1655+Q1655)</f>
        <v>0</v>
      </c>
      <c r="F1655" s="105"/>
      <c r="G1655" s="287"/>
      <c r="H1655" s="288"/>
      <c r="I1655" s="256"/>
      <c r="J1655" s="288"/>
      <c r="K1655" s="287"/>
      <c r="L1655" s="289"/>
      <c r="M1655" s="128"/>
      <c r="N1655" s="129"/>
      <c r="O1655" s="108"/>
      <c r="P1655" s="129"/>
      <c r="Q1655" s="129"/>
      <c r="R1655" s="200"/>
    </row>
    <row r="1656" spans="1:18" ht="15.75" customHeight="1" hidden="1">
      <c r="A1656" s="191">
        <v>4410</v>
      </c>
      <c r="B1656" s="198" t="s">
        <v>338</v>
      </c>
      <c r="C1656" s="128"/>
      <c r="D1656" s="104">
        <f t="shared" si="204"/>
        <v>0</v>
      </c>
      <c r="E1656" s="129">
        <f>SUM(H1656+K1656+N1656+Q1656)</f>
        <v>0</v>
      </c>
      <c r="F1656" s="105"/>
      <c r="G1656" s="287"/>
      <c r="H1656" s="288"/>
      <c r="I1656" s="256"/>
      <c r="J1656" s="288"/>
      <c r="K1656" s="287"/>
      <c r="L1656" s="289"/>
      <c r="M1656" s="128"/>
      <c r="N1656" s="129"/>
      <c r="O1656" s="108"/>
      <c r="P1656" s="129"/>
      <c r="Q1656" s="129"/>
      <c r="R1656" s="200"/>
    </row>
    <row r="1657" spans="1:18" ht="15.75" customHeight="1" hidden="1">
      <c r="A1657" s="191">
        <v>4430</v>
      </c>
      <c r="B1657" s="198" t="s">
        <v>366</v>
      </c>
      <c r="C1657" s="128"/>
      <c r="D1657" s="104">
        <f t="shared" si="204"/>
        <v>0</v>
      </c>
      <c r="E1657" s="129">
        <f>SUM(H1657+K1657+N1657+Q1657)</f>
        <v>0</v>
      </c>
      <c r="F1657" s="105"/>
      <c r="G1657" s="287"/>
      <c r="H1657" s="288"/>
      <c r="I1657" s="256"/>
      <c r="J1657" s="288"/>
      <c r="K1657" s="287"/>
      <c r="L1657" s="289"/>
      <c r="M1657" s="128"/>
      <c r="N1657" s="129"/>
      <c r="O1657" s="108"/>
      <c r="P1657" s="129"/>
      <c r="Q1657" s="129"/>
      <c r="R1657" s="200"/>
    </row>
    <row r="1658" spans="1:18" ht="18" customHeight="1" hidden="1">
      <c r="A1658" s="191">
        <v>4440</v>
      </c>
      <c r="B1658" s="198" t="s">
        <v>368</v>
      </c>
      <c r="C1658" s="128"/>
      <c r="D1658" s="104">
        <f t="shared" si="204"/>
        <v>0</v>
      </c>
      <c r="E1658" s="129">
        <f>SUM(H1658+K1658+N1658+Q1658)</f>
        <v>0</v>
      </c>
      <c r="F1658" s="105"/>
      <c r="G1658" s="287"/>
      <c r="H1658" s="288"/>
      <c r="I1658" s="256"/>
      <c r="J1658" s="288"/>
      <c r="K1658" s="287"/>
      <c r="L1658" s="289"/>
      <c r="M1658" s="128"/>
      <c r="N1658" s="129"/>
      <c r="O1658" s="108"/>
      <c r="P1658" s="129"/>
      <c r="Q1658" s="129"/>
      <c r="R1658" s="200"/>
    </row>
    <row r="1659" spans="1:18" ht="19.5" customHeight="1" hidden="1">
      <c r="A1659" s="191">
        <v>4480</v>
      </c>
      <c r="B1659" s="198" t="s">
        <v>370</v>
      </c>
      <c r="C1659" s="128"/>
      <c r="D1659" s="104"/>
      <c r="E1659" s="129"/>
      <c r="F1659" s="105"/>
      <c r="G1659" s="286"/>
      <c r="H1659" s="287"/>
      <c r="I1659" s="256"/>
      <c r="J1659" s="288"/>
      <c r="K1659" s="287"/>
      <c r="L1659" s="289"/>
      <c r="M1659" s="128"/>
      <c r="N1659" s="129"/>
      <c r="O1659" s="108"/>
      <c r="P1659" s="129"/>
      <c r="Q1659" s="129"/>
      <c r="R1659" s="200"/>
    </row>
    <row r="1660" spans="1:18" s="327" customFormat="1" ht="48">
      <c r="A1660" s="172">
        <v>2480</v>
      </c>
      <c r="B1660" s="320" t="s">
        <v>863</v>
      </c>
      <c r="C1660" s="128">
        <f>SUM(C1661:C1673)</f>
        <v>2341800</v>
      </c>
      <c r="D1660" s="104">
        <f aca="true" t="shared" si="209" ref="D1660:E1675">G1660+J1660+P1660+M1660</f>
        <v>2341800</v>
      </c>
      <c r="E1660" s="129">
        <f t="shared" si="209"/>
        <v>620096</v>
      </c>
      <c r="F1660" s="105">
        <f>E1660/D1660*100</f>
        <v>26.479460244256554</v>
      </c>
      <c r="G1660" s="128">
        <f>SUM(G1661:G1669)</f>
        <v>2341800</v>
      </c>
      <c r="H1660" s="129">
        <f>SUM(H1661:H1667)</f>
        <v>620096</v>
      </c>
      <c r="I1660" s="256">
        <f>H1660/G1660*100</f>
        <v>26.479460244256554</v>
      </c>
      <c r="J1660" s="193"/>
      <c r="K1660" s="129"/>
      <c r="L1660" s="110"/>
      <c r="M1660" s="129"/>
      <c r="N1660" s="129"/>
      <c r="O1660" s="194"/>
      <c r="P1660" s="129"/>
      <c r="Q1660" s="129"/>
      <c r="R1660" s="200"/>
    </row>
    <row r="1661" spans="1:18" s="254" customFormat="1" ht="12.75">
      <c r="A1661" s="248"/>
      <c r="B1661" s="249" t="s">
        <v>864</v>
      </c>
      <c r="C1661" s="250">
        <v>1587800</v>
      </c>
      <c r="D1661" s="251">
        <f t="shared" si="209"/>
        <v>1587800</v>
      </c>
      <c r="E1661" s="251">
        <f t="shared" si="209"/>
        <v>396949</v>
      </c>
      <c r="F1661" s="105">
        <f aca="true" t="shared" si="210" ref="F1661:F1669">E1661/D1661*100</f>
        <v>24.99993701977579</v>
      </c>
      <c r="G1661" s="250">
        <v>1587800</v>
      </c>
      <c r="H1661" s="251">
        <f>132317+132316+132316</f>
        <v>396949</v>
      </c>
      <c r="I1661" s="256">
        <f aca="true" t="shared" si="211" ref="I1661:I1669">H1661/G1661*100</f>
        <v>24.99993701977579</v>
      </c>
      <c r="J1661" s="252"/>
      <c r="K1661" s="251"/>
      <c r="L1661" s="110"/>
      <c r="M1661" s="251"/>
      <c r="N1661" s="251"/>
      <c r="O1661" s="110"/>
      <c r="P1661" s="251"/>
      <c r="Q1661" s="251"/>
      <c r="R1661" s="262"/>
    </row>
    <row r="1662" spans="1:18" s="254" customFormat="1" ht="12.75">
      <c r="A1662" s="248"/>
      <c r="B1662" s="249" t="s">
        <v>878</v>
      </c>
      <c r="C1662" s="250">
        <v>532000</v>
      </c>
      <c r="D1662" s="251">
        <f t="shared" si="209"/>
        <v>532000</v>
      </c>
      <c r="E1662" s="251">
        <f t="shared" si="209"/>
        <v>177147</v>
      </c>
      <c r="F1662" s="105">
        <f t="shared" si="210"/>
        <v>33.29830827067669</v>
      </c>
      <c r="G1662" s="250">
        <v>532000</v>
      </c>
      <c r="H1662" s="251">
        <f>44333+26407+26407+80000</f>
        <v>177147</v>
      </c>
      <c r="I1662" s="256">
        <f t="shared" si="211"/>
        <v>33.29830827067669</v>
      </c>
      <c r="J1662" s="252"/>
      <c r="K1662" s="251"/>
      <c r="L1662" s="110"/>
      <c r="M1662" s="251"/>
      <c r="N1662" s="251"/>
      <c r="O1662" s="110"/>
      <c r="P1662" s="251"/>
      <c r="Q1662" s="251"/>
      <c r="R1662" s="262"/>
    </row>
    <row r="1663" spans="1:18" s="254" customFormat="1" ht="36">
      <c r="A1663" s="248"/>
      <c r="B1663" s="249" t="s">
        <v>866</v>
      </c>
      <c r="C1663" s="250">
        <v>100000</v>
      </c>
      <c r="D1663" s="251">
        <f t="shared" si="209"/>
        <v>100000</v>
      </c>
      <c r="E1663" s="251">
        <f t="shared" si="209"/>
        <v>0</v>
      </c>
      <c r="F1663" s="105">
        <f t="shared" si="210"/>
        <v>0</v>
      </c>
      <c r="G1663" s="250">
        <v>100000</v>
      </c>
      <c r="H1663" s="251"/>
      <c r="I1663" s="256">
        <f t="shared" si="211"/>
        <v>0</v>
      </c>
      <c r="J1663" s="252"/>
      <c r="K1663" s="251"/>
      <c r="L1663" s="110"/>
      <c r="M1663" s="251"/>
      <c r="N1663" s="251"/>
      <c r="O1663" s="110"/>
      <c r="P1663" s="251"/>
      <c r="Q1663" s="251"/>
      <c r="R1663" s="262"/>
    </row>
    <row r="1664" spans="1:18" s="254" customFormat="1" ht="36" hidden="1">
      <c r="A1664" s="248"/>
      <c r="B1664" s="249" t="s">
        <v>879</v>
      </c>
      <c r="C1664" s="250"/>
      <c r="D1664" s="251">
        <f t="shared" si="209"/>
        <v>0</v>
      </c>
      <c r="E1664" s="251">
        <f t="shared" si="209"/>
        <v>0</v>
      </c>
      <c r="F1664" s="105" t="e">
        <f t="shared" si="210"/>
        <v>#DIV/0!</v>
      </c>
      <c r="G1664" s="250"/>
      <c r="H1664" s="251"/>
      <c r="I1664" s="256" t="e">
        <f t="shared" si="211"/>
        <v>#DIV/0!</v>
      </c>
      <c r="J1664" s="252"/>
      <c r="K1664" s="251"/>
      <c r="L1664" s="110"/>
      <c r="M1664" s="251"/>
      <c r="N1664" s="251"/>
      <c r="O1664" s="110"/>
      <c r="P1664" s="251"/>
      <c r="Q1664" s="251"/>
      <c r="R1664" s="262"/>
    </row>
    <row r="1665" spans="1:18" s="254" customFormat="1" ht="12.75">
      <c r="A1665" s="248"/>
      <c r="B1665" s="249" t="s">
        <v>880</v>
      </c>
      <c r="C1665" s="250">
        <v>62000</v>
      </c>
      <c r="D1665" s="251">
        <f t="shared" si="209"/>
        <v>62000</v>
      </c>
      <c r="E1665" s="251">
        <f t="shared" si="209"/>
        <v>31000</v>
      </c>
      <c r="F1665" s="105">
        <f t="shared" si="210"/>
        <v>50</v>
      </c>
      <c r="G1665" s="250">
        <v>62000</v>
      </c>
      <c r="H1665" s="251">
        <v>31000</v>
      </c>
      <c r="I1665" s="256">
        <f t="shared" si="211"/>
        <v>50</v>
      </c>
      <c r="J1665" s="252"/>
      <c r="K1665" s="251"/>
      <c r="L1665" s="110"/>
      <c r="M1665" s="251"/>
      <c r="N1665" s="251"/>
      <c r="O1665" s="110"/>
      <c r="P1665" s="251"/>
      <c r="Q1665" s="251"/>
      <c r="R1665" s="262"/>
    </row>
    <row r="1666" spans="1:18" s="254" customFormat="1" ht="24">
      <c r="A1666" s="248"/>
      <c r="B1666" s="249" t="s">
        <v>881</v>
      </c>
      <c r="C1666" s="250">
        <v>15000</v>
      </c>
      <c r="D1666" s="251">
        <f t="shared" si="209"/>
        <v>15000</v>
      </c>
      <c r="E1666" s="251">
        <f t="shared" si="209"/>
        <v>15000</v>
      </c>
      <c r="F1666" s="105">
        <f t="shared" si="210"/>
        <v>100</v>
      </c>
      <c r="G1666" s="250">
        <v>15000</v>
      </c>
      <c r="H1666" s="251">
        <v>15000</v>
      </c>
      <c r="I1666" s="256">
        <f t="shared" si="211"/>
        <v>100</v>
      </c>
      <c r="J1666" s="252"/>
      <c r="K1666" s="251"/>
      <c r="L1666" s="110"/>
      <c r="M1666" s="251"/>
      <c r="N1666" s="251"/>
      <c r="O1666" s="110"/>
      <c r="P1666" s="251"/>
      <c r="Q1666" s="251"/>
      <c r="R1666" s="262"/>
    </row>
    <row r="1667" spans="1:18" s="254" customFormat="1" ht="12.75">
      <c r="A1667" s="248"/>
      <c r="B1667" s="249" t="s">
        <v>882</v>
      </c>
      <c r="C1667" s="250">
        <v>45000</v>
      </c>
      <c r="D1667" s="251">
        <f t="shared" si="209"/>
        <v>45000</v>
      </c>
      <c r="E1667" s="251">
        <f t="shared" si="209"/>
        <v>0</v>
      </c>
      <c r="F1667" s="105">
        <f t="shared" si="210"/>
        <v>0</v>
      </c>
      <c r="G1667" s="250">
        <v>45000</v>
      </c>
      <c r="H1667" s="251"/>
      <c r="I1667" s="256">
        <f t="shared" si="211"/>
        <v>0</v>
      </c>
      <c r="J1667" s="252"/>
      <c r="K1667" s="251"/>
      <c r="L1667" s="110"/>
      <c r="M1667" s="251"/>
      <c r="N1667" s="251"/>
      <c r="O1667" s="110"/>
      <c r="P1667" s="251"/>
      <c r="Q1667" s="251"/>
      <c r="R1667" s="262"/>
    </row>
    <row r="1668" spans="1:18" s="254" customFormat="1" ht="12.75" hidden="1">
      <c r="A1668" s="248"/>
      <c r="B1668" s="249" t="s">
        <v>883</v>
      </c>
      <c r="C1668" s="250"/>
      <c r="D1668" s="251">
        <f t="shared" si="209"/>
        <v>0</v>
      </c>
      <c r="E1668" s="251">
        <f t="shared" si="209"/>
        <v>0</v>
      </c>
      <c r="F1668" s="105" t="e">
        <f t="shared" si="210"/>
        <v>#DIV/0!</v>
      </c>
      <c r="G1668" s="250"/>
      <c r="H1668" s="251"/>
      <c r="I1668" s="256" t="e">
        <f t="shared" si="211"/>
        <v>#DIV/0!</v>
      </c>
      <c r="J1668" s="252"/>
      <c r="K1668" s="251"/>
      <c r="L1668" s="110"/>
      <c r="M1668" s="251"/>
      <c r="N1668" s="251"/>
      <c r="O1668" s="110"/>
      <c r="P1668" s="251"/>
      <c r="Q1668" s="251"/>
      <c r="R1668" s="262"/>
    </row>
    <row r="1669" spans="1:18" s="254" customFormat="1" ht="24" hidden="1">
      <c r="A1669" s="248"/>
      <c r="B1669" s="249" t="s">
        <v>884</v>
      </c>
      <c r="C1669" s="250"/>
      <c r="D1669" s="251">
        <f t="shared" si="209"/>
        <v>0</v>
      </c>
      <c r="E1669" s="251">
        <f t="shared" si="209"/>
        <v>0</v>
      </c>
      <c r="F1669" s="105" t="e">
        <f t="shared" si="210"/>
        <v>#DIV/0!</v>
      </c>
      <c r="G1669" s="250"/>
      <c r="H1669" s="251"/>
      <c r="I1669" s="256" t="e">
        <f t="shared" si="211"/>
        <v>#DIV/0!</v>
      </c>
      <c r="J1669" s="252"/>
      <c r="K1669" s="251"/>
      <c r="L1669" s="110"/>
      <c r="M1669" s="251"/>
      <c r="N1669" s="251"/>
      <c r="O1669" s="110"/>
      <c r="P1669" s="251"/>
      <c r="Q1669" s="251"/>
      <c r="R1669" s="262"/>
    </row>
    <row r="1670" spans="1:18" s="327" customFormat="1" ht="36" hidden="1">
      <c r="A1670" s="191">
        <v>6050</v>
      </c>
      <c r="B1670" s="198" t="s">
        <v>885</v>
      </c>
      <c r="C1670" s="128"/>
      <c r="D1670" s="104">
        <f t="shared" si="209"/>
        <v>0</v>
      </c>
      <c r="E1670" s="104">
        <f t="shared" si="209"/>
        <v>0</v>
      </c>
      <c r="F1670" s="105"/>
      <c r="G1670" s="128"/>
      <c r="H1670" s="129"/>
      <c r="I1670" s="256"/>
      <c r="J1670" s="193"/>
      <c r="K1670" s="129"/>
      <c r="L1670" s="110"/>
      <c r="M1670" s="129"/>
      <c r="N1670" s="129"/>
      <c r="O1670" s="194"/>
      <c r="P1670" s="129"/>
      <c r="Q1670" s="129"/>
      <c r="R1670" s="200"/>
    </row>
    <row r="1671" spans="1:18" ht="96" hidden="1">
      <c r="A1671" s="191">
        <v>6220</v>
      </c>
      <c r="B1671" s="198" t="s">
        <v>716</v>
      </c>
      <c r="C1671" s="128"/>
      <c r="D1671" s="104">
        <f t="shared" si="209"/>
        <v>0</v>
      </c>
      <c r="E1671" s="129">
        <f>SUM(H1671+K1671+N1671+Q1671)</f>
        <v>0</v>
      </c>
      <c r="F1671" s="105" t="e">
        <f>E1671/D1671*100</f>
        <v>#DIV/0!</v>
      </c>
      <c r="G1671" s="128"/>
      <c r="H1671" s="129"/>
      <c r="I1671" s="256" t="e">
        <f>H1671/G1671*100</f>
        <v>#DIV/0!</v>
      </c>
      <c r="J1671" s="193"/>
      <c r="K1671" s="129"/>
      <c r="L1671" s="110"/>
      <c r="M1671" s="129"/>
      <c r="N1671" s="129"/>
      <c r="O1671" s="194"/>
      <c r="P1671" s="129"/>
      <c r="Q1671" s="129"/>
      <c r="R1671" s="200"/>
    </row>
    <row r="1672" spans="1:18" s="254" customFormat="1" ht="25.5" customHeight="1" hidden="1">
      <c r="A1672" s="248"/>
      <c r="B1672" s="249" t="s">
        <v>886</v>
      </c>
      <c r="C1672" s="355"/>
      <c r="D1672" s="356">
        <f t="shared" si="209"/>
        <v>0</v>
      </c>
      <c r="E1672" s="356">
        <f>SUM(H1672+K1672+N1672+Q1672)</f>
        <v>0</v>
      </c>
      <c r="F1672" s="105" t="e">
        <f>E1672/D1672*100</f>
        <v>#DIV/0!</v>
      </c>
      <c r="G1672" s="355"/>
      <c r="H1672" s="356"/>
      <c r="I1672" s="256" t="e">
        <f>H1672/G1672*100</f>
        <v>#DIV/0!</v>
      </c>
      <c r="J1672" s="357"/>
      <c r="K1672" s="356"/>
      <c r="L1672" s="110"/>
      <c r="M1672" s="356"/>
      <c r="N1672" s="356"/>
      <c r="O1672" s="110"/>
      <c r="P1672" s="356"/>
      <c r="Q1672" s="356"/>
      <c r="R1672" s="262"/>
    </row>
    <row r="1673" spans="1:18" s="269" customFormat="1" ht="41.25" customHeight="1" hidden="1">
      <c r="A1673" s="316">
        <v>6050</v>
      </c>
      <c r="B1673" s="385" t="s">
        <v>887</v>
      </c>
      <c r="C1673" s="523"/>
      <c r="D1673" s="524">
        <f t="shared" si="209"/>
        <v>0</v>
      </c>
      <c r="E1673" s="524">
        <f>SUM(H1673+K1673+N1673+Q1673)</f>
        <v>0</v>
      </c>
      <c r="F1673" s="168"/>
      <c r="G1673" s="270"/>
      <c r="H1673" s="230"/>
      <c r="I1673" s="525"/>
      <c r="J1673" s="231"/>
      <c r="K1673" s="230"/>
      <c r="L1673" s="319"/>
      <c r="M1673" s="523"/>
      <c r="N1673" s="230"/>
      <c r="O1673" s="170"/>
      <c r="P1673" s="230"/>
      <c r="Q1673" s="230"/>
      <c r="R1673" s="238"/>
    </row>
    <row r="1674" spans="1:18" ht="18" customHeight="1">
      <c r="A1674" s="186">
        <v>92116</v>
      </c>
      <c r="B1674" s="294" t="s">
        <v>888</v>
      </c>
      <c r="C1674" s="188">
        <f>SUM(C1675)</f>
        <v>3757200</v>
      </c>
      <c r="D1674" s="137">
        <f t="shared" si="209"/>
        <v>3787200</v>
      </c>
      <c r="E1674" s="119">
        <f>H1674+K1674+Q1674+N1674</f>
        <v>914272</v>
      </c>
      <c r="F1674" s="120">
        <f aca="true" t="shared" si="212" ref="F1674:F1735">E1674/D1674*100</f>
        <v>24.141106886354034</v>
      </c>
      <c r="G1674" s="188">
        <f>G1675+G1686</f>
        <v>1176800</v>
      </c>
      <c r="H1674" s="119">
        <f>H1675+H1686</f>
        <v>294198</v>
      </c>
      <c r="I1674" s="214">
        <f aca="true" t="shared" si="213" ref="I1674:I1682">H1674/G1674*100</f>
        <v>24.999830047586677</v>
      </c>
      <c r="J1674" s="124"/>
      <c r="K1674" s="119"/>
      <c r="L1674" s="125"/>
      <c r="M1674" s="119">
        <f>SUM(M1675)+M1686</f>
        <v>2610400</v>
      </c>
      <c r="N1674" s="119">
        <f>SUM(N1675)+N1686</f>
        <v>620074</v>
      </c>
      <c r="O1674" s="214">
        <f aca="true" t="shared" si="214" ref="O1674:O1703">N1674/M1674*100</f>
        <v>23.75398406374502</v>
      </c>
      <c r="P1674" s="119"/>
      <c r="Q1674" s="119"/>
      <c r="R1674" s="283"/>
    </row>
    <row r="1675" spans="1:18" s="185" customFormat="1" ht="48">
      <c r="A1675" s="172">
        <v>2480</v>
      </c>
      <c r="B1675" s="320" t="s">
        <v>863</v>
      </c>
      <c r="C1675" s="132">
        <f>SUM(C1676:C1685)</f>
        <v>3757200</v>
      </c>
      <c r="D1675" s="149">
        <f t="shared" si="209"/>
        <v>3787200</v>
      </c>
      <c r="E1675" s="150">
        <f>SUM(H1675+K1675+N1675+Q1675)</f>
        <v>914272</v>
      </c>
      <c r="F1675" s="130">
        <f t="shared" si="212"/>
        <v>24.141106886354034</v>
      </c>
      <c r="G1675" s="132">
        <f>SUM(G1676:G1679)</f>
        <v>1176800</v>
      </c>
      <c r="H1675" s="150">
        <f>SUM(H1676:H1685)</f>
        <v>294198</v>
      </c>
      <c r="I1675" s="222">
        <f t="shared" si="213"/>
        <v>24.999830047586677</v>
      </c>
      <c r="J1675" s="223"/>
      <c r="K1675" s="150"/>
      <c r="L1675" s="154"/>
      <c r="M1675" s="150">
        <f>SUM(M1676:M1685)</f>
        <v>2610400</v>
      </c>
      <c r="N1675" s="150">
        <f>SUM(N1676:N1685)</f>
        <v>620074</v>
      </c>
      <c r="O1675" s="222">
        <f t="shared" si="214"/>
        <v>23.75398406374502</v>
      </c>
      <c r="P1675" s="150"/>
      <c r="Q1675" s="150"/>
      <c r="R1675" s="226"/>
    </row>
    <row r="1676" spans="1:18" s="304" customFormat="1" ht="12.75">
      <c r="A1676" s="248"/>
      <c r="B1676" s="249" t="s">
        <v>864</v>
      </c>
      <c r="C1676" s="250">
        <f>2319100+1176800</f>
        <v>3495900</v>
      </c>
      <c r="D1676" s="251">
        <f aca="true" t="shared" si="215" ref="D1676:D1750">G1676+J1676+P1676+M1676</f>
        <v>3495900</v>
      </c>
      <c r="E1676" s="251">
        <f aca="true" t="shared" si="216" ref="E1676:E1685">SUM(H1676+K1676+N1676+Q1676)</f>
        <v>873972</v>
      </c>
      <c r="F1676" s="105">
        <f t="shared" si="212"/>
        <v>24.999914185188363</v>
      </c>
      <c r="G1676" s="253">
        <f>1100800+76000</f>
        <v>1176800</v>
      </c>
      <c r="H1676" s="251">
        <f>98066+98066+98066</f>
        <v>294198</v>
      </c>
      <c r="I1676" s="256">
        <f t="shared" si="213"/>
        <v>24.999830047586677</v>
      </c>
      <c r="J1676" s="252"/>
      <c r="K1676" s="251"/>
      <c r="L1676" s="110"/>
      <c r="M1676" s="251">
        <v>2319100</v>
      </c>
      <c r="N1676" s="251">
        <f>193258+193258+193258</f>
        <v>579774</v>
      </c>
      <c r="O1676" s="256">
        <f t="shared" si="214"/>
        <v>24.99995687982407</v>
      </c>
      <c r="P1676" s="251"/>
      <c r="Q1676" s="251"/>
      <c r="R1676" s="262"/>
    </row>
    <row r="1677" spans="1:18" s="304" customFormat="1" ht="12.75">
      <c r="A1677" s="248"/>
      <c r="B1677" s="249" t="s">
        <v>865</v>
      </c>
      <c r="C1677" s="250"/>
      <c r="D1677" s="251">
        <f>G1677+J1677+P1677+M1677</f>
        <v>30000</v>
      </c>
      <c r="E1677" s="251">
        <f>SUM(H1677+K1677+N1677+Q1677)</f>
        <v>0</v>
      </c>
      <c r="F1677" s="105">
        <f>E1677/D1677*100</f>
        <v>0</v>
      </c>
      <c r="G1677" s="253"/>
      <c r="H1677" s="251"/>
      <c r="I1677" s="256"/>
      <c r="J1677" s="252"/>
      <c r="K1677" s="251"/>
      <c r="L1677" s="110"/>
      <c r="M1677" s="251">
        <v>30000</v>
      </c>
      <c r="N1677" s="251"/>
      <c r="O1677" s="256">
        <f t="shared" si="214"/>
        <v>0</v>
      </c>
      <c r="P1677" s="251"/>
      <c r="Q1677" s="251"/>
      <c r="R1677" s="262"/>
    </row>
    <row r="1678" spans="1:18" s="304" customFormat="1" ht="36">
      <c r="A1678" s="248"/>
      <c r="B1678" s="249" t="s">
        <v>866</v>
      </c>
      <c r="C1678" s="250">
        <v>100000</v>
      </c>
      <c r="D1678" s="251">
        <f t="shared" si="215"/>
        <v>100000</v>
      </c>
      <c r="E1678" s="251">
        <f t="shared" si="216"/>
        <v>0</v>
      </c>
      <c r="F1678" s="105">
        <f t="shared" si="212"/>
        <v>0</v>
      </c>
      <c r="G1678" s="253"/>
      <c r="H1678" s="251"/>
      <c r="I1678" s="256"/>
      <c r="J1678" s="252"/>
      <c r="K1678" s="251"/>
      <c r="L1678" s="110"/>
      <c r="M1678" s="251">
        <v>100000</v>
      </c>
      <c r="N1678" s="251"/>
      <c r="O1678" s="256">
        <f t="shared" si="214"/>
        <v>0</v>
      </c>
      <c r="P1678" s="251"/>
      <c r="Q1678" s="251"/>
      <c r="R1678" s="262"/>
    </row>
    <row r="1679" spans="1:18" s="304" customFormat="1" ht="12.75" hidden="1">
      <c r="A1679" s="248"/>
      <c r="B1679" s="249" t="s">
        <v>889</v>
      </c>
      <c r="C1679" s="250"/>
      <c r="D1679" s="251">
        <f t="shared" si="215"/>
        <v>0</v>
      </c>
      <c r="E1679" s="251">
        <f t="shared" si="216"/>
        <v>0</v>
      </c>
      <c r="F1679" s="105" t="e">
        <f t="shared" si="212"/>
        <v>#DIV/0!</v>
      </c>
      <c r="G1679" s="253"/>
      <c r="H1679" s="251"/>
      <c r="I1679" s="256"/>
      <c r="J1679" s="252"/>
      <c r="K1679" s="251"/>
      <c r="L1679" s="110"/>
      <c r="M1679" s="251"/>
      <c r="N1679" s="251"/>
      <c r="O1679" s="256" t="e">
        <f t="shared" si="214"/>
        <v>#DIV/0!</v>
      </c>
      <c r="P1679" s="251"/>
      <c r="Q1679" s="251"/>
      <c r="R1679" s="262"/>
    </row>
    <row r="1680" spans="1:18" s="304" customFormat="1" ht="12.75">
      <c r="A1680" s="248"/>
      <c r="B1680" s="249" t="s">
        <v>890</v>
      </c>
      <c r="C1680" s="250">
        <v>40000</v>
      </c>
      <c r="D1680" s="251">
        <f t="shared" si="215"/>
        <v>40000</v>
      </c>
      <c r="E1680" s="251">
        <f t="shared" si="216"/>
        <v>10000</v>
      </c>
      <c r="F1680" s="105">
        <f t="shared" si="212"/>
        <v>25</v>
      </c>
      <c r="G1680" s="253"/>
      <c r="H1680" s="251"/>
      <c r="I1680" s="256"/>
      <c r="J1680" s="252"/>
      <c r="K1680" s="251"/>
      <c r="L1680" s="110"/>
      <c r="M1680" s="251">
        <v>40000</v>
      </c>
      <c r="N1680" s="251">
        <v>10000</v>
      </c>
      <c r="O1680" s="256">
        <f t="shared" si="214"/>
        <v>25</v>
      </c>
      <c r="P1680" s="251"/>
      <c r="Q1680" s="251"/>
      <c r="R1680" s="262"/>
    </row>
    <row r="1681" spans="1:18" s="304" customFormat="1" ht="24">
      <c r="A1681" s="248"/>
      <c r="B1681" s="249" t="s">
        <v>891</v>
      </c>
      <c r="C1681" s="250">
        <v>61300</v>
      </c>
      <c r="D1681" s="251">
        <f t="shared" si="215"/>
        <v>61300</v>
      </c>
      <c r="E1681" s="251">
        <f>SUM(H1681+K1681+N1681+Q1681)</f>
        <v>15300</v>
      </c>
      <c r="F1681" s="105">
        <f>E1681/D1681*100</f>
        <v>24.95921696574225</v>
      </c>
      <c r="G1681" s="253"/>
      <c r="H1681" s="251"/>
      <c r="I1681" s="256"/>
      <c r="J1681" s="252"/>
      <c r="K1681" s="251"/>
      <c r="L1681" s="110"/>
      <c r="M1681" s="251">
        <v>61300</v>
      </c>
      <c r="N1681" s="251">
        <v>15300</v>
      </c>
      <c r="O1681" s="256">
        <f t="shared" si="214"/>
        <v>24.95921696574225</v>
      </c>
      <c r="P1681" s="251"/>
      <c r="Q1681" s="251"/>
      <c r="R1681" s="262"/>
    </row>
    <row r="1682" spans="1:18" s="304" customFormat="1" ht="12" customHeight="1" hidden="1">
      <c r="A1682" s="248"/>
      <c r="B1682" s="249" t="s">
        <v>892</v>
      </c>
      <c r="C1682" s="250"/>
      <c r="D1682" s="251">
        <f t="shared" si="215"/>
        <v>0</v>
      </c>
      <c r="E1682" s="251">
        <f>SUM(H1682+K1682+N1682+Q1682)</f>
        <v>0</v>
      </c>
      <c r="F1682" s="105" t="e">
        <f>E1682/D1682*100</f>
        <v>#DIV/0!</v>
      </c>
      <c r="G1682" s="253"/>
      <c r="H1682" s="251"/>
      <c r="I1682" s="256" t="e">
        <f t="shared" si="213"/>
        <v>#DIV/0!</v>
      </c>
      <c r="J1682" s="252"/>
      <c r="K1682" s="251"/>
      <c r="L1682" s="110"/>
      <c r="M1682" s="251"/>
      <c r="N1682" s="251"/>
      <c r="O1682" s="256" t="e">
        <f t="shared" si="214"/>
        <v>#DIV/0!</v>
      </c>
      <c r="P1682" s="251"/>
      <c r="Q1682" s="251"/>
      <c r="R1682" s="262"/>
    </row>
    <row r="1683" spans="1:18" s="304" customFormat="1" ht="12.75">
      <c r="A1683" s="248"/>
      <c r="B1683" s="249" t="s">
        <v>893</v>
      </c>
      <c r="C1683" s="250">
        <v>15000</v>
      </c>
      <c r="D1683" s="251">
        <f t="shared" si="215"/>
        <v>15000</v>
      </c>
      <c r="E1683" s="251">
        <f t="shared" si="216"/>
        <v>3750</v>
      </c>
      <c r="F1683" s="105">
        <f t="shared" si="212"/>
        <v>25</v>
      </c>
      <c r="G1683" s="253"/>
      <c r="H1683" s="251"/>
      <c r="I1683" s="256"/>
      <c r="J1683" s="252"/>
      <c r="K1683" s="251"/>
      <c r="L1683" s="110"/>
      <c r="M1683" s="251">
        <v>15000</v>
      </c>
      <c r="N1683" s="251">
        <v>3750</v>
      </c>
      <c r="O1683" s="256">
        <f t="shared" si="214"/>
        <v>25</v>
      </c>
      <c r="P1683" s="251"/>
      <c r="Q1683" s="251"/>
      <c r="R1683" s="262"/>
    </row>
    <row r="1684" spans="1:18" s="304" customFormat="1" ht="24" hidden="1">
      <c r="A1684" s="248"/>
      <c r="B1684" s="249" t="s">
        <v>894</v>
      </c>
      <c r="C1684" s="250"/>
      <c r="D1684" s="251">
        <f t="shared" si="215"/>
        <v>0</v>
      </c>
      <c r="E1684" s="251">
        <f t="shared" si="216"/>
        <v>0</v>
      </c>
      <c r="F1684" s="105" t="e">
        <f t="shared" si="212"/>
        <v>#DIV/0!</v>
      </c>
      <c r="G1684" s="253"/>
      <c r="H1684" s="251"/>
      <c r="I1684" s="256"/>
      <c r="J1684" s="252"/>
      <c r="K1684" s="251"/>
      <c r="L1684" s="110"/>
      <c r="M1684" s="251"/>
      <c r="N1684" s="251"/>
      <c r="O1684" s="256" t="e">
        <f t="shared" si="214"/>
        <v>#DIV/0!</v>
      </c>
      <c r="P1684" s="251"/>
      <c r="Q1684" s="251"/>
      <c r="R1684" s="262"/>
    </row>
    <row r="1685" spans="1:18" s="304" customFormat="1" ht="24">
      <c r="A1685" s="248"/>
      <c r="B1685" s="249" t="s">
        <v>895</v>
      </c>
      <c r="C1685" s="250">
        <v>45000</v>
      </c>
      <c r="D1685" s="251">
        <f t="shared" si="215"/>
        <v>45000</v>
      </c>
      <c r="E1685" s="251">
        <f t="shared" si="216"/>
        <v>11250</v>
      </c>
      <c r="F1685" s="105">
        <f t="shared" si="212"/>
        <v>25</v>
      </c>
      <c r="G1685" s="253"/>
      <c r="H1685" s="251"/>
      <c r="I1685" s="256"/>
      <c r="J1685" s="252"/>
      <c r="K1685" s="251"/>
      <c r="L1685" s="110"/>
      <c r="M1685" s="251">
        <v>45000</v>
      </c>
      <c r="N1685" s="251">
        <v>11250</v>
      </c>
      <c r="O1685" s="256">
        <f t="shared" si="214"/>
        <v>25</v>
      </c>
      <c r="P1685" s="251"/>
      <c r="Q1685" s="251"/>
      <c r="R1685" s="262"/>
    </row>
    <row r="1686" spans="1:18" s="185" customFormat="1" ht="108" hidden="1">
      <c r="A1686" s="227">
        <v>6220</v>
      </c>
      <c r="B1686" s="198" t="s">
        <v>896</v>
      </c>
      <c r="C1686" s="229"/>
      <c r="D1686" s="230">
        <f t="shared" si="215"/>
        <v>0</v>
      </c>
      <c r="E1686" s="236">
        <f>SUM(H1686+K1686+N1686+Q1686)</f>
        <v>0</v>
      </c>
      <c r="F1686" s="168" t="e">
        <f t="shared" si="212"/>
        <v>#DIV/0!</v>
      </c>
      <c r="G1686" s="526"/>
      <c r="H1686" s="236"/>
      <c r="I1686" s="256" t="e">
        <f>H1686/G1686*100</f>
        <v>#DIV/0!</v>
      </c>
      <c r="J1686" s="233"/>
      <c r="K1686" s="236"/>
      <c r="L1686" s="319"/>
      <c r="M1686" s="236"/>
      <c r="N1686" s="236"/>
      <c r="O1686" s="256" t="e">
        <f t="shared" si="214"/>
        <v>#DIV/0!</v>
      </c>
      <c r="P1686" s="236"/>
      <c r="Q1686" s="236"/>
      <c r="R1686" s="238"/>
    </row>
    <row r="1687" spans="1:18" s="185" customFormat="1" ht="18.75" customHeight="1">
      <c r="A1687" s="186">
        <v>92118</v>
      </c>
      <c r="B1687" s="294" t="s">
        <v>897</v>
      </c>
      <c r="C1687" s="188">
        <f>SUM(C1688)+C1696+C1701+C1703+C1702</f>
        <v>2014200</v>
      </c>
      <c r="D1687" s="137">
        <f t="shared" si="215"/>
        <v>2629200</v>
      </c>
      <c r="E1687" s="119">
        <f>H1687+K1687+Q1687+N1687</f>
        <v>437197</v>
      </c>
      <c r="F1687" s="120">
        <f t="shared" si="212"/>
        <v>16.628518180435115</v>
      </c>
      <c r="G1687" s="282"/>
      <c r="H1687" s="119"/>
      <c r="I1687" s="214"/>
      <c r="J1687" s="124"/>
      <c r="K1687" s="119"/>
      <c r="L1687" s="125"/>
      <c r="M1687" s="119">
        <f>SUM(M1688)+M1696+M1701+M1703+M1702</f>
        <v>2629200</v>
      </c>
      <c r="N1687" s="119">
        <f>SUM(N1688)+N1696+N1701+N1703+N1702</f>
        <v>437197</v>
      </c>
      <c r="O1687" s="214">
        <f t="shared" si="214"/>
        <v>16.628518180435115</v>
      </c>
      <c r="P1687" s="119"/>
      <c r="Q1687" s="119"/>
      <c r="R1687" s="283"/>
    </row>
    <row r="1688" spans="1:18" s="185" customFormat="1" ht="48">
      <c r="A1688" s="172">
        <v>2480</v>
      </c>
      <c r="B1688" s="320" t="s">
        <v>863</v>
      </c>
      <c r="C1688" s="132">
        <f>SUM(C1689:C1695)</f>
        <v>1794200</v>
      </c>
      <c r="D1688" s="149">
        <f t="shared" si="215"/>
        <v>1806200</v>
      </c>
      <c r="E1688" s="150">
        <f>SUM(H1688+K1688+N1688+Q1688)</f>
        <v>437197</v>
      </c>
      <c r="F1688" s="130">
        <f t="shared" si="212"/>
        <v>24.205348244934115</v>
      </c>
      <c r="G1688" s="128"/>
      <c r="H1688" s="104"/>
      <c r="I1688" s="222"/>
      <c r="J1688" s="193"/>
      <c r="K1688" s="129"/>
      <c r="L1688" s="110"/>
      <c r="M1688" s="132">
        <f>SUM(M1689:M1695)</f>
        <v>1806200</v>
      </c>
      <c r="N1688" s="129">
        <f>SUM(N1689:N1695)</f>
        <v>437197</v>
      </c>
      <c r="O1688" s="256">
        <f t="shared" si="214"/>
        <v>24.205348244934115</v>
      </c>
      <c r="P1688" s="129"/>
      <c r="Q1688" s="129"/>
      <c r="R1688" s="200"/>
    </row>
    <row r="1689" spans="1:18" s="304" customFormat="1" ht="12.75">
      <c r="A1689" s="248"/>
      <c r="B1689" s="249" t="s">
        <v>864</v>
      </c>
      <c r="C1689" s="250">
        <f>1523200+83000</f>
        <v>1606200</v>
      </c>
      <c r="D1689" s="251">
        <f t="shared" si="215"/>
        <v>1606200</v>
      </c>
      <c r="E1689" s="251">
        <f aca="true" t="shared" si="217" ref="E1689:E1697">SUM(H1689+K1689+N1689+Q1689)</f>
        <v>401548</v>
      </c>
      <c r="F1689" s="105">
        <f t="shared" si="212"/>
        <v>24.999875482505292</v>
      </c>
      <c r="G1689" s="250"/>
      <c r="H1689" s="251"/>
      <c r="I1689" s="256"/>
      <c r="J1689" s="252"/>
      <c r="K1689" s="251"/>
      <c r="L1689" s="110"/>
      <c r="M1689" s="250">
        <f>1523200+83000</f>
        <v>1606200</v>
      </c>
      <c r="N1689" s="251">
        <f>126933+126933+13832+133850</f>
        <v>401548</v>
      </c>
      <c r="O1689" s="256">
        <f t="shared" si="214"/>
        <v>24.999875482505292</v>
      </c>
      <c r="P1689" s="251"/>
      <c r="Q1689" s="251"/>
      <c r="R1689" s="262"/>
    </row>
    <row r="1690" spans="1:18" s="304" customFormat="1" ht="24">
      <c r="A1690" s="248"/>
      <c r="B1690" s="249" t="s">
        <v>898</v>
      </c>
      <c r="C1690" s="250">
        <v>48000</v>
      </c>
      <c r="D1690" s="251">
        <f t="shared" si="215"/>
        <v>48000</v>
      </c>
      <c r="E1690" s="251">
        <f t="shared" si="217"/>
        <v>10649</v>
      </c>
      <c r="F1690" s="105">
        <f t="shared" si="212"/>
        <v>22.185416666666665</v>
      </c>
      <c r="G1690" s="250"/>
      <c r="H1690" s="251"/>
      <c r="I1690" s="256"/>
      <c r="J1690" s="252"/>
      <c r="K1690" s="251"/>
      <c r="L1690" s="110"/>
      <c r="M1690" s="250">
        <v>48000</v>
      </c>
      <c r="N1690" s="251">
        <v>10649</v>
      </c>
      <c r="O1690" s="256">
        <f t="shared" si="214"/>
        <v>22.185416666666665</v>
      </c>
      <c r="P1690" s="251"/>
      <c r="Q1690" s="251"/>
      <c r="R1690" s="262"/>
    </row>
    <row r="1691" spans="1:18" s="304" customFormat="1" ht="24">
      <c r="A1691" s="248"/>
      <c r="B1691" s="249" t="s">
        <v>899</v>
      </c>
      <c r="C1691" s="250"/>
      <c r="D1691" s="251">
        <f t="shared" si="215"/>
        <v>12000</v>
      </c>
      <c r="E1691" s="251">
        <f t="shared" si="217"/>
        <v>0</v>
      </c>
      <c r="F1691" s="105">
        <f t="shared" si="212"/>
        <v>0</v>
      </c>
      <c r="G1691" s="250"/>
      <c r="H1691" s="251"/>
      <c r="I1691" s="256"/>
      <c r="J1691" s="252"/>
      <c r="K1691" s="251"/>
      <c r="L1691" s="110"/>
      <c r="M1691" s="250">
        <v>12000</v>
      </c>
      <c r="N1691" s="251"/>
      <c r="O1691" s="256">
        <f t="shared" si="214"/>
        <v>0</v>
      </c>
      <c r="P1691" s="251"/>
      <c r="Q1691" s="251"/>
      <c r="R1691" s="262"/>
    </row>
    <row r="1692" spans="1:18" s="304" customFormat="1" ht="24">
      <c r="A1692" s="248"/>
      <c r="B1692" s="249" t="s">
        <v>900</v>
      </c>
      <c r="C1692" s="250">
        <v>25000</v>
      </c>
      <c r="D1692" s="251">
        <f t="shared" si="215"/>
        <v>25000</v>
      </c>
      <c r="E1692" s="251">
        <f t="shared" si="217"/>
        <v>25000</v>
      </c>
      <c r="F1692" s="105">
        <f t="shared" si="212"/>
        <v>100</v>
      </c>
      <c r="G1692" s="250"/>
      <c r="H1692" s="251"/>
      <c r="I1692" s="256"/>
      <c r="J1692" s="252"/>
      <c r="K1692" s="251"/>
      <c r="L1692" s="110"/>
      <c r="M1692" s="250">
        <v>25000</v>
      </c>
      <c r="N1692" s="251">
        <v>25000</v>
      </c>
      <c r="O1692" s="256">
        <f t="shared" si="214"/>
        <v>100</v>
      </c>
      <c r="P1692" s="251"/>
      <c r="Q1692" s="251"/>
      <c r="R1692" s="262"/>
    </row>
    <row r="1693" spans="1:18" s="304" customFormat="1" ht="36">
      <c r="A1693" s="248"/>
      <c r="B1693" s="249" t="s">
        <v>866</v>
      </c>
      <c r="C1693" s="250">
        <v>100000</v>
      </c>
      <c r="D1693" s="251">
        <f t="shared" si="215"/>
        <v>100000</v>
      </c>
      <c r="E1693" s="251">
        <f t="shared" si="217"/>
        <v>0</v>
      </c>
      <c r="F1693" s="105">
        <f t="shared" si="212"/>
        <v>0</v>
      </c>
      <c r="G1693" s="250"/>
      <c r="H1693" s="251"/>
      <c r="I1693" s="108"/>
      <c r="J1693" s="252"/>
      <c r="K1693" s="251"/>
      <c r="L1693" s="110"/>
      <c r="M1693" s="250">
        <v>100000</v>
      </c>
      <c r="N1693" s="251"/>
      <c r="O1693" s="256">
        <f t="shared" si="214"/>
        <v>0</v>
      </c>
      <c r="P1693" s="251"/>
      <c r="Q1693" s="251"/>
      <c r="R1693" s="262"/>
    </row>
    <row r="1694" spans="1:18" s="304" customFormat="1" ht="36" hidden="1">
      <c r="A1694" s="248"/>
      <c r="B1694" s="249" t="s">
        <v>901</v>
      </c>
      <c r="C1694" s="250"/>
      <c r="D1694" s="251">
        <f t="shared" si="215"/>
        <v>0</v>
      </c>
      <c r="E1694" s="251">
        <f t="shared" si="217"/>
        <v>0</v>
      </c>
      <c r="F1694" s="105" t="e">
        <f t="shared" si="212"/>
        <v>#DIV/0!</v>
      </c>
      <c r="G1694" s="250"/>
      <c r="H1694" s="251"/>
      <c r="I1694" s="108"/>
      <c r="J1694" s="252"/>
      <c r="K1694" s="251"/>
      <c r="L1694" s="110"/>
      <c r="M1694" s="250"/>
      <c r="N1694" s="251"/>
      <c r="O1694" s="256" t="e">
        <f t="shared" si="214"/>
        <v>#DIV/0!</v>
      </c>
      <c r="P1694" s="251"/>
      <c r="Q1694" s="251"/>
      <c r="R1694" s="262"/>
    </row>
    <row r="1695" spans="1:18" s="304" customFormat="1" ht="36">
      <c r="A1695" s="248"/>
      <c r="B1695" s="249" t="s">
        <v>902</v>
      </c>
      <c r="C1695" s="250">
        <v>15000</v>
      </c>
      <c r="D1695" s="251">
        <f t="shared" si="215"/>
        <v>15000</v>
      </c>
      <c r="E1695" s="251">
        <f t="shared" si="217"/>
        <v>0</v>
      </c>
      <c r="F1695" s="105">
        <f t="shared" si="212"/>
        <v>0</v>
      </c>
      <c r="G1695" s="250"/>
      <c r="H1695" s="251"/>
      <c r="I1695" s="108"/>
      <c r="J1695" s="252"/>
      <c r="K1695" s="251"/>
      <c r="L1695" s="110"/>
      <c r="M1695" s="250">
        <v>15000</v>
      </c>
      <c r="N1695" s="251"/>
      <c r="O1695" s="256">
        <f t="shared" si="214"/>
        <v>0</v>
      </c>
      <c r="P1695" s="251"/>
      <c r="Q1695" s="251"/>
      <c r="R1695" s="262"/>
    </row>
    <row r="1696" spans="1:18" s="185" customFormat="1" ht="96">
      <c r="A1696" s="191">
        <v>6220</v>
      </c>
      <c r="B1696" s="198" t="s">
        <v>903</v>
      </c>
      <c r="C1696" s="128">
        <f>SUM(C1697:C1700)</f>
        <v>0</v>
      </c>
      <c r="D1696" s="104">
        <f t="shared" si="215"/>
        <v>303000</v>
      </c>
      <c r="E1696" s="129">
        <f t="shared" si="217"/>
        <v>0</v>
      </c>
      <c r="F1696" s="105">
        <f t="shared" si="212"/>
        <v>0</v>
      </c>
      <c r="G1696" s="128"/>
      <c r="H1696" s="104"/>
      <c r="I1696" s="108"/>
      <c r="J1696" s="193"/>
      <c r="K1696" s="129"/>
      <c r="L1696" s="110"/>
      <c r="M1696" s="193">
        <f>SUM(M1697:M1700)</f>
        <v>303000</v>
      </c>
      <c r="N1696" s="129">
        <f>SUM(N1697:N1700)</f>
        <v>0</v>
      </c>
      <c r="O1696" s="256">
        <f>N1696/M1696*100</f>
        <v>0</v>
      </c>
      <c r="P1696" s="129"/>
      <c r="Q1696" s="129"/>
      <c r="R1696" s="200"/>
    </row>
    <row r="1697" spans="1:18" s="304" customFormat="1" ht="12.75">
      <c r="A1697" s="248"/>
      <c r="B1697" s="249" t="s">
        <v>904</v>
      </c>
      <c r="C1697" s="250"/>
      <c r="D1697" s="251">
        <f t="shared" si="215"/>
        <v>303000</v>
      </c>
      <c r="E1697" s="251">
        <f t="shared" si="217"/>
        <v>0</v>
      </c>
      <c r="F1697" s="105">
        <f t="shared" si="212"/>
        <v>0</v>
      </c>
      <c r="G1697" s="250"/>
      <c r="H1697" s="251"/>
      <c r="I1697" s="108"/>
      <c r="J1697" s="252"/>
      <c r="K1697" s="251"/>
      <c r="L1697" s="110"/>
      <c r="M1697" s="252">
        <v>303000</v>
      </c>
      <c r="N1697" s="251"/>
      <c r="O1697" s="256">
        <f>N1697/M1697*100</f>
        <v>0</v>
      </c>
      <c r="P1697" s="251"/>
      <c r="Q1697" s="251"/>
      <c r="R1697" s="262"/>
    </row>
    <row r="1698" spans="1:18" s="304" customFormat="1" ht="36" hidden="1">
      <c r="A1698" s="248"/>
      <c r="B1698" s="249" t="s">
        <v>905</v>
      </c>
      <c r="C1698" s="250"/>
      <c r="D1698" s="251">
        <f>G1698+J1698+P1698+M1698</f>
        <v>0</v>
      </c>
      <c r="E1698" s="251">
        <f>SUM(H1698+K1698+N1698+Q1698)</f>
        <v>0</v>
      </c>
      <c r="F1698" s="105" t="e">
        <f>E1698/D1698*100</f>
        <v>#DIV/0!</v>
      </c>
      <c r="G1698" s="250"/>
      <c r="H1698" s="251"/>
      <c r="I1698" s="108"/>
      <c r="J1698" s="252"/>
      <c r="K1698" s="251"/>
      <c r="L1698" s="110"/>
      <c r="M1698" s="252"/>
      <c r="N1698" s="251"/>
      <c r="O1698" s="256" t="e">
        <f>N1698/M1698*100</f>
        <v>#DIV/0!</v>
      </c>
      <c r="P1698" s="251"/>
      <c r="Q1698" s="251"/>
      <c r="R1698" s="262"/>
    </row>
    <row r="1699" spans="1:18" s="304" customFormat="1" ht="48" hidden="1">
      <c r="A1699" s="248"/>
      <c r="B1699" s="249" t="s">
        <v>906</v>
      </c>
      <c r="C1699" s="250"/>
      <c r="D1699" s="251">
        <f>G1699+J1699+P1699+M1699</f>
        <v>0</v>
      </c>
      <c r="E1699" s="251">
        <f>SUM(H1699+K1699+N1699+Q1699)</f>
        <v>0</v>
      </c>
      <c r="F1699" s="105" t="e">
        <f>E1699/D1699*100</f>
        <v>#DIV/0!</v>
      </c>
      <c r="G1699" s="250"/>
      <c r="H1699" s="251"/>
      <c r="I1699" s="108"/>
      <c r="J1699" s="252"/>
      <c r="K1699" s="251"/>
      <c r="L1699" s="110"/>
      <c r="M1699" s="252"/>
      <c r="N1699" s="251"/>
      <c r="O1699" s="256" t="e">
        <f>N1699/M1699*100</f>
        <v>#DIV/0!</v>
      </c>
      <c r="P1699" s="251"/>
      <c r="Q1699" s="251"/>
      <c r="R1699" s="262"/>
    </row>
    <row r="1700" spans="1:18" s="304" customFormat="1" ht="24" hidden="1">
      <c r="A1700" s="248"/>
      <c r="B1700" s="249" t="s">
        <v>907</v>
      </c>
      <c r="C1700" s="250"/>
      <c r="D1700" s="251">
        <f>G1700+J1700+P1700+M1700</f>
        <v>0</v>
      </c>
      <c r="E1700" s="251">
        <f>SUM(H1700+K1700+N1700+Q1700)</f>
        <v>0</v>
      </c>
      <c r="F1700" s="105" t="e">
        <f>E1700/D1700*100</f>
        <v>#DIV/0!</v>
      </c>
      <c r="G1700" s="250"/>
      <c r="H1700" s="251"/>
      <c r="I1700" s="108"/>
      <c r="J1700" s="252"/>
      <c r="K1700" s="251"/>
      <c r="L1700" s="110"/>
      <c r="M1700" s="252"/>
      <c r="N1700" s="251"/>
      <c r="O1700" s="256"/>
      <c r="P1700" s="251"/>
      <c r="Q1700" s="251"/>
      <c r="R1700" s="262"/>
    </row>
    <row r="1701" spans="1:18" s="185" customFormat="1" ht="36">
      <c r="A1701" s="191">
        <v>6050</v>
      </c>
      <c r="B1701" s="198" t="s">
        <v>908</v>
      </c>
      <c r="C1701" s="128">
        <v>220000</v>
      </c>
      <c r="D1701" s="104">
        <f t="shared" si="215"/>
        <v>520000</v>
      </c>
      <c r="E1701" s="104">
        <f>H1701+K1701+Q1701+N1701</f>
        <v>0</v>
      </c>
      <c r="F1701" s="105">
        <f t="shared" si="212"/>
        <v>0</v>
      </c>
      <c r="G1701" s="128"/>
      <c r="H1701" s="104"/>
      <c r="I1701" s="108"/>
      <c r="J1701" s="193"/>
      <c r="K1701" s="129"/>
      <c r="L1701" s="110"/>
      <c r="M1701" s="128">
        <f>220000+300000</f>
        <v>520000</v>
      </c>
      <c r="N1701" s="129"/>
      <c r="O1701" s="256">
        <f t="shared" si="214"/>
        <v>0</v>
      </c>
      <c r="P1701" s="129"/>
      <c r="Q1701" s="129"/>
      <c r="R1701" s="200"/>
    </row>
    <row r="1702" spans="1:18" s="185" customFormat="1" ht="24" hidden="1">
      <c r="A1702" s="191">
        <v>6058</v>
      </c>
      <c r="B1702" s="198" t="s">
        <v>396</v>
      </c>
      <c r="C1702" s="128"/>
      <c r="D1702" s="104">
        <f t="shared" si="215"/>
        <v>0</v>
      </c>
      <c r="E1702" s="104">
        <f>H1702+K1702+Q1702+N1702</f>
        <v>0</v>
      </c>
      <c r="F1702" s="105" t="e">
        <f t="shared" si="212"/>
        <v>#DIV/0!</v>
      </c>
      <c r="G1702" s="128"/>
      <c r="H1702" s="104"/>
      <c r="I1702" s="108"/>
      <c r="J1702" s="193"/>
      <c r="K1702" s="129"/>
      <c r="L1702" s="110"/>
      <c r="M1702" s="128"/>
      <c r="N1702" s="129"/>
      <c r="O1702" s="108" t="e">
        <f t="shared" si="214"/>
        <v>#DIV/0!</v>
      </c>
      <c r="P1702" s="129"/>
      <c r="Q1702" s="129"/>
      <c r="R1702" s="200"/>
    </row>
    <row r="1703" spans="1:18" s="185" customFormat="1" ht="24" hidden="1">
      <c r="A1703" s="191">
        <v>6059</v>
      </c>
      <c r="B1703" s="198" t="s">
        <v>396</v>
      </c>
      <c r="C1703" s="128"/>
      <c r="D1703" s="104">
        <f t="shared" si="215"/>
        <v>0</v>
      </c>
      <c r="E1703" s="129">
        <f>SUM(H1703+K1703+N1703+Q1703)</f>
        <v>0</v>
      </c>
      <c r="F1703" s="105" t="e">
        <f>E1703/D1703*100</f>
        <v>#DIV/0!</v>
      </c>
      <c r="G1703" s="128"/>
      <c r="H1703" s="104"/>
      <c r="I1703" s="170"/>
      <c r="J1703" s="193"/>
      <c r="K1703" s="129"/>
      <c r="L1703" s="110"/>
      <c r="M1703" s="128"/>
      <c r="N1703" s="129"/>
      <c r="O1703" s="108" t="e">
        <f t="shared" si="214"/>
        <v>#DIV/0!</v>
      </c>
      <c r="P1703" s="129"/>
      <c r="Q1703" s="129"/>
      <c r="R1703" s="200"/>
    </row>
    <row r="1704" spans="1:18" ht="24.75" customHeight="1">
      <c r="A1704" s="186">
        <v>92120</v>
      </c>
      <c r="B1704" s="294" t="s">
        <v>909</v>
      </c>
      <c r="C1704" s="188">
        <f>SUM(C1706:C1710)</f>
        <v>637000</v>
      </c>
      <c r="D1704" s="137">
        <f t="shared" si="215"/>
        <v>637000</v>
      </c>
      <c r="E1704" s="119">
        <f>H1704+K1704+Q1704+N1704</f>
        <v>0</v>
      </c>
      <c r="F1704" s="120">
        <f t="shared" si="212"/>
        <v>0</v>
      </c>
      <c r="G1704" s="188">
        <f>SUM(G1705:G1710)</f>
        <v>637000</v>
      </c>
      <c r="H1704" s="119">
        <f>SUM(H1705:H1710)</f>
        <v>0</v>
      </c>
      <c r="I1704" s="127">
        <f aca="true" t="shared" si="218" ref="I1704:I1712">H1704/G1704*100</f>
        <v>0</v>
      </c>
      <c r="J1704" s="124"/>
      <c r="K1704" s="119"/>
      <c r="L1704" s="125"/>
      <c r="M1704" s="119"/>
      <c r="N1704" s="119"/>
      <c r="O1704" s="190"/>
      <c r="P1704" s="119"/>
      <c r="Q1704" s="119"/>
      <c r="R1704" s="283"/>
    </row>
    <row r="1705" spans="1:18" s="269" customFormat="1" ht="72" hidden="1">
      <c r="A1705" s="314">
        <v>2820</v>
      </c>
      <c r="B1705" s="315" t="s">
        <v>579</v>
      </c>
      <c r="C1705" s="148"/>
      <c r="D1705" s="104">
        <f t="shared" si="215"/>
        <v>0</v>
      </c>
      <c r="E1705" s="129">
        <f aca="true" t="shared" si="219" ref="E1705:E1711">SUM(H1705+K1705+N1705+Q1705)</f>
        <v>0</v>
      </c>
      <c r="F1705" s="105" t="e">
        <f t="shared" si="212"/>
        <v>#DIV/0!</v>
      </c>
      <c r="G1705" s="148"/>
      <c r="H1705" s="149"/>
      <c r="I1705" s="108" t="e">
        <f t="shared" si="218"/>
        <v>#DIV/0!</v>
      </c>
      <c r="J1705" s="153"/>
      <c r="K1705" s="149"/>
      <c r="L1705" s="154"/>
      <c r="M1705" s="149"/>
      <c r="N1705" s="149"/>
      <c r="O1705" s="225"/>
      <c r="P1705" s="149"/>
      <c r="Q1705" s="149"/>
      <c r="R1705" s="226"/>
    </row>
    <row r="1706" spans="1:18" s="269" customFormat="1" ht="24">
      <c r="A1706" s="267">
        <v>4170</v>
      </c>
      <c r="B1706" s="305" t="s">
        <v>392</v>
      </c>
      <c r="C1706" s="160">
        <v>15000</v>
      </c>
      <c r="D1706" s="104">
        <f t="shared" si="215"/>
        <v>15000</v>
      </c>
      <c r="E1706" s="129">
        <f t="shared" si="219"/>
        <v>0</v>
      </c>
      <c r="F1706" s="105">
        <f t="shared" si="212"/>
        <v>0</v>
      </c>
      <c r="G1706" s="160">
        <v>15000</v>
      </c>
      <c r="H1706" s="104"/>
      <c r="I1706" s="108">
        <f t="shared" si="218"/>
        <v>0</v>
      </c>
      <c r="J1706" s="109"/>
      <c r="K1706" s="104"/>
      <c r="L1706" s="110"/>
      <c r="M1706" s="104"/>
      <c r="N1706" s="104"/>
      <c r="O1706" s="194"/>
      <c r="P1706" s="104"/>
      <c r="Q1706" s="104"/>
      <c r="R1706" s="200"/>
    </row>
    <row r="1707" spans="1:18" s="185" customFormat="1" ht="25.5" customHeight="1" hidden="1">
      <c r="A1707" s="191">
        <v>4270</v>
      </c>
      <c r="B1707" s="198" t="s">
        <v>910</v>
      </c>
      <c r="C1707" s="128"/>
      <c r="D1707" s="104">
        <f>G1707+J1707+P1707+M1707</f>
        <v>0</v>
      </c>
      <c r="E1707" s="129">
        <f>SUM(H1707+K1707+N1707+Q1707)</f>
        <v>0</v>
      </c>
      <c r="F1707" s="105"/>
      <c r="G1707" s="128"/>
      <c r="H1707" s="129"/>
      <c r="I1707" s="108"/>
      <c r="J1707" s="193"/>
      <c r="K1707" s="129"/>
      <c r="L1707" s="110"/>
      <c r="M1707" s="129"/>
      <c r="N1707" s="129"/>
      <c r="O1707" s="194"/>
      <c r="P1707" s="129"/>
      <c r="Q1707" s="129"/>
      <c r="R1707" s="200"/>
    </row>
    <row r="1708" spans="1:18" s="185" customFormat="1" ht="24">
      <c r="A1708" s="191">
        <v>4300</v>
      </c>
      <c r="B1708" s="198" t="s">
        <v>364</v>
      </c>
      <c r="C1708" s="128">
        <v>12000</v>
      </c>
      <c r="D1708" s="104">
        <f>G1708+J1708+P1708+M1708</f>
        <v>12000</v>
      </c>
      <c r="E1708" s="129">
        <f>SUM(H1708+K1708+N1708+Q1708)</f>
        <v>0</v>
      </c>
      <c r="F1708" s="105">
        <f>E1708/D1708*100</f>
        <v>0</v>
      </c>
      <c r="G1708" s="128">
        <v>12000</v>
      </c>
      <c r="H1708" s="129"/>
      <c r="I1708" s="108">
        <f>H1708/G1708*100</f>
        <v>0</v>
      </c>
      <c r="J1708" s="337"/>
      <c r="K1708" s="129"/>
      <c r="L1708" s="110"/>
      <c r="M1708" s="129"/>
      <c r="N1708" s="129"/>
      <c r="O1708" s="194"/>
      <c r="P1708" s="129"/>
      <c r="Q1708" s="129"/>
      <c r="R1708" s="200"/>
    </row>
    <row r="1709" spans="1:18" s="185" customFormat="1" ht="72">
      <c r="A1709" s="191">
        <v>4340</v>
      </c>
      <c r="B1709" s="198" t="s">
        <v>911</v>
      </c>
      <c r="C1709" s="128">
        <v>610000</v>
      </c>
      <c r="D1709" s="104">
        <f t="shared" si="215"/>
        <v>610000</v>
      </c>
      <c r="E1709" s="129">
        <f t="shared" si="219"/>
        <v>0</v>
      </c>
      <c r="F1709" s="105">
        <f t="shared" si="212"/>
        <v>0</v>
      </c>
      <c r="G1709" s="128">
        <v>610000</v>
      </c>
      <c r="H1709" s="129"/>
      <c r="I1709" s="108">
        <f t="shared" si="218"/>
        <v>0</v>
      </c>
      <c r="J1709" s="337"/>
      <c r="K1709" s="129"/>
      <c r="L1709" s="110"/>
      <c r="M1709" s="129"/>
      <c r="N1709" s="129"/>
      <c r="O1709" s="194"/>
      <c r="P1709" s="129"/>
      <c r="Q1709" s="129"/>
      <c r="R1709" s="200"/>
    </row>
    <row r="1710" spans="1:18" s="185" customFormat="1" ht="36" hidden="1">
      <c r="A1710" s="227">
        <v>6060</v>
      </c>
      <c r="B1710" s="228" t="s">
        <v>515</v>
      </c>
      <c r="C1710" s="229"/>
      <c r="D1710" s="230">
        <f t="shared" si="215"/>
        <v>0</v>
      </c>
      <c r="E1710" s="236">
        <f t="shared" si="219"/>
        <v>0</v>
      </c>
      <c r="F1710" s="168" t="e">
        <f t="shared" si="212"/>
        <v>#DIV/0!</v>
      </c>
      <c r="G1710" s="229"/>
      <c r="H1710" s="236"/>
      <c r="I1710" s="170" t="e">
        <f t="shared" si="218"/>
        <v>#DIV/0!</v>
      </c>
      <c r="J1710" s="365"/>
      <c r="K1710" s="236"/>
      <c r="L1710" s="319"/>
      <c r="M1710" s="236"/>
      <c r="N1710" s="236"/>
      <c r="O1710" s="237"/>
      <c r="P1710" s="236"/>
      <c r="Q1710" s="236"/>
      <c r="R1710" s="238"/>
    </row>
    <row r="1711" spans="1:18" s="221" customFormat="1" ht="17.25" customHeight="1">
      <c r="A1711" s="239">
        <v>92195</v>
      </c>
      <c r="B1711" s="296" t="s">
        <v>378</v>
      </c>
      <c r="C1711" s="136">
        <f>SUM(C1712:C1718)</f>
        <v>33500</v>
      </c>
      <c r="D1711" s="137">
        <f t="shared" si="215"/>
        <v>33500</v>
      </c>
      <c r="E1711" s="137">
        <f t="shared" si="219"/>
        <v>2870</v>
      </c>
      <c r="F1711" s="120">
        <f t="shared" si="212"/>
        <v>8.567164179104477</v>
      </c>
      <c r="G1711" s="136">
        <f>SUM(G1712:G1720)</f>
        <v>33500</v>
      </c>
      <c r="H1711" s="137">
        <f>SUM(H1712:H1720)</f>
        <v>2870</v>
      </c>
      <c r="I1711" s="127">
        <f t="shared" si="218"/>
        <v>8.567164179104477</v>
      </c>
      <c r="J1711" s="338"/>
      <c r="K1711" s="137"/>
      <c r="L1711" s="125"/>
      <c r="M1711" s="137"/>
      <c r="N1711" s="137"/>
      <c r="O1711" s="265"/>
      <c r="P1711" s="137"/>
      <c r="Q1711" s="137"/>
      <c r="R1711" s="266"/>
    </row>
    <row r="1712" spans="1:18" s="269" customFormat="1" ht="61.5" customHeight="1" hidden="1">
      <c r="A1712" s="267">
        <v>2820</v>
      </c>
      <c r="B1712" s="305" t="s">
        <v>472</v>
      </c>
      <c r="C1712" s="160"/>
      <c r="D1712" s="104">
        <f t="shared" si="215"/>
        <v>0</v>
      </c>
      <c r="E1712" s="104">
        <f>H1712+K1712+Q1712+N1712</f>
        <v>0</v>
      </c>
      <c r="F1712" s="105" t="e">
        <f t="shared" si="212"/>
        <v>#DIV/0!</v>
      </c>
      <c r="G1712" s="160"/>
      <c r="H1712" s="104"/>
      <c r="I1712" s="108" t="e">
        <f t="shared" si="218"/>
        <v>#DIV/0!</v>
      </c>
      <c r="J1712" s="348"/>
      <c r="K1712" s="104"/>
      <c r="L1712" s="110"/>
      <c r="M1712" s="104"/>
      <c r="N1712" s="104"/>
      <c r="O1712" s="194"/>
      <c r="P1712" s="104"/>
      <c r="Q1712" s="104"/>
      <c r="R1712" s="200"/>
    </row>
    <row r="1713" spans="1:18" s="269" customFormat="1" ht="72" hidden="1">
      <c r="A1713" s="267">
        <v>2550</v>
      </c>
      <c r="B1713" s="305" t="s">
        <v>912</v>
      </c>
      <c r="C1713" s="160"/>
      <c r="D1713" s="104">
        <f t="shared" si="215"/>
        <v>0</v>
      </c>
      <c r="E1713" s="129">
        <f aca="true" t="shared" si="220" ref="E1713:E1739">SUM(H1713+K1713+N1713+Q1713)</f>
        <v>0</v>
      </c>
      <c r="F1713" s="105"/>
      <c r="G1713" s="160"/>
      <c r="H1713" s="104"/>
      <c r="I1713" s="108"/>
      <c r="J1713" s="348"/>
      <c r="K1713" s="104"/>
      <c r="L1713" s="110"/>
      <c r="M1713" s="104"/>
      <c r="N1713" s="104"/>
      <c r="O1713" s="194"/>
      <c r="P1713" s="104"/>
      <c r="Q1713" s="104"/>
      <c r="R1713" s="200"/>
    </row>
    <row r="1714" spans="1:18" s="185" customFormat="1" ht="48" hidden="1">
      <c r="A1714" s="191">
        <v>3040</v>
      </c>
      <c r="B1714" s="198" t="s">
        <v>913</v>
      </c>
      <c r="C1714" s="128"/>
      <c r="D1714" s="104">
        <f t="shared" si="215"/>
        <v>0</v>
      </c>
      <c r="E1714" s="129">
        <f t="shared" si="220"/>
        <v>0</v>
      </c>
      <c r="F1714" s="105" t="e">
        <f t="shared" si="212"/>
        <v>#DIV/0!</v>
      </c>
      <c r="G1714" s="128">
        <f>1500-1500</f>
        <v>0</v>
      </c>
      <c r="H1714" s="129"/>
      <c r="I1714" s="108" t="e">
        <f aca="true" t="shared" si="221" ref="I1714:I1754">H1714/G1714*100</f>
        <v>#DIV/0!</v>
      </c>
      <c r="J1714" s="337"/>
      <c r="K1714" s="129"/>
      <c r="L1714" s="110"/>
      <c r="M1714" s="129"/>
      <c r="N1714" s="129"/>
      <c r="O1714" s="194"/>
      <c r="P1714" s="129"/>
      <c r="Q1714" s="129"/>
      <c r="R1714" s="200"/>
    </row>
    <row r="1715" spans="1:18" s="185" customFormat="1" ht="28.5" customHeight="1">
      <c r="A1715" s="191">
        <v>4210</v>
      </c>
      <c r="B1715" s="198" t="s">
        <v>914</v>
      </c>
      <c r="C1715" s="128">
        <v>25300</v>
      </c>
      <c r="D1715" s="104">
        <f t="shared" si="215"/>
        <v>25300</v>
      </c>
      <c r="E1715" s="129">
        <f t="shared" si="220"/>
        <v>2270</v>
      </c>
      <c r="F1715" s="105">
        <f t="shared" si="212"/>
        <v>8.972332015810276</v>
      </c>
      <c r="G1715" s="128">
        <v>25300</v>
      </c>
      <c r="H1715" s="129">
        <v>2270</v>
      </c>
      <c r="I1715" s="256">
        <f t="shared" si="221"/>
        <v>8.972332015810276</v>
      </c>
      <c r="J1715" s="337"/>
      <c r="K1715" s="129"/>
      <c r="L1715" s="110"/>
      <c r="M1715" s="129"/>
      <c r="N1715" s="129"/>
      <c r="O1715" s="194"/>
      <c r="P1715" s="129"/>
      <c r="Q1715" s="129"/>
      <c r="R1715" s="200"/>
    </row>
    <row r="1716" spans="1:18" s="185" customFormat="1" ht="24" hidden="1">
      <c r="A1716" s="191">
        <v>4300</v>
      </c>
      <c r="B1716" s="198" t="s">
        <v>915</v>
      </c>
      <c r="C1716" s="128"/>
      <c r="D1716" s="104">
        <f t="shared" si="215"/>
        <v>0</v>
      </c>
      <c r="E1716" s="129">
        <f t="shared" si="220"/>
        <v>0</v>
      </c>
      <c r="F1716" s="105" t="e">
        <f t="shared" si="212"/>
        <v>#DIV/0!</v>
      </c>
      <c r="G1716" s="128"/>
      <c r="H1716" s="129"/>
      <c r="I1716" s="256" t="e">
        <f t="shared" si="221"/>
        <v>#DIV/0!</v>
      </c>
      <c r="J1716" s="337"/>
      <c r="K1716" s="129"/>
      <c r="L1716" s="110"/>
      <c r="M1716" s="129"/>
      <c r="N1716" s="129"/>
      <c r="O1716" s="194"/>
      <c r="P1716" s="129"/>
      <c r="Q1716" s="129"/>
      <c r="R1716" s="200"/>
    </row>
    <row r="1717" spans="1:18" s="185" customFormat="1" ht="24">
      <c r="A1717" s="191">
        <v>4300</v>
      </c>
      <c r="B1717" s="198" t="s">
        <v>916</v>
      </c>
      <c r="C1717" s="128">
        <v>8000</v>
      </c>
      <c r="D1717" s="104">
        <f t="shared" si="215"/>
        <v>8000</v>
      </c>
      <c r="E1717" s="129">
        <f t="shared" si="220"/>
        <v>600</v>
      </c>
      <c r="F1717" s="105">
        <f t="shared" si="212"/>
        <v>7.5</v>
      </c>
      <c r="G1717" s="128">
        <v>8000</v>
      </c>
      <c r="H1717" s="129">
        <v>600</v>
      </c>
      <c r="I1717" s="256">
        <f t="shared" si="221"/>
        <v>7.5</v>
      </c>
      <c r="J1717" s="337"/>
      <c r="K1717" s="129"/>
      <c r="L1717" s="110"/>
      <c r="M1717" s="129"/>
      <c r="N1717" s="129"/>
      <c r="O1717" s="194"/>
      <c r="P1717" s="129"/>
      <c r="Q1717" s="129"/>
      <c r="R1717" s="200"/>
    </row>
    <row r="1718" spans="1:18" s="185" customFormat="1" ht="27" customHeight="1" thickBot="1">
      <c r="A1718" s="191">
        <v>4430</v>
      </c>
      <c r="B1718" s="198" t="s">
        <v>917</v>
      </c>
      <c r="C1718" s="128">
        <v>200</v>
      </c>
      <c r="D1718" s="104">
        <f t="shared" si="215"/>
        <v>200</v>
      </c>
      <c r="E1718" s="129">
        <f t="shared" si="220"/>
        <v>0</v>
      </c>
      <c r="F1718" s="105">
        <f t="shared" si="212"/>
        <v>0</v>
      </c>
      <c r="G1718" s="128">
        <v>200</v>
      </c>
      <c r="H1718" s="129"/>
      <c r="I1718" s="256">
        <f t="shared" si="221"/>
        <v>0</v>
      </c>
      <c r="J1718" s="337"/>
      <c r="K1718" s="129"/>
      <c r="L1718" s="110"/>
      <c r="M1718" s="129"/>
      <c r="N1718" s="129"/>
      <c r="O1718" s="194"/>
      <c r="P1718" s="129"/>
      <c r="Q1718" s="129"/>
      <c r="R1718" s="200"/>
    </row>
    <row r="1719" spans="1:18" s="185" customFormat="1" ht="60.75" hidden="1" thickBot="1">
      <c r="A1719" s="191">
        <v>4740</v>
      </c>
      <c r="B1719" s="198" t="s">
        <v>918</v>
      </c>
      <c r="C1719" s="128"/>
      <c r="D1719" s="104">
        <f>G1719+J1719+P1719+M1719</f>
        <v>0</v>
      </c>
      <c r="E1719" s="129">
        <f>SUM(H1719+K1719+N1719+Q1719)</f>
        <v>0</v>
      </c>
      <c r="F1719" s="105" t="e">
        <f>E1719/D1719*100</f>
        <v>#DIV/0!</v>
      </c>
      <c r="G1719" s="128"/>
      <c r="H1719" s="129"/>
      <c r="I1719" s="256" t="e">
        <f t="shared" si="221"/>
        <v>#DIV/0!</v>
      </c>
      <c r="J1719" s="337"/>
      <c r="K1719" s="129"/>
      <c r="L1719" s="110"/>
      <c r="M1719" s="129"/>
      <c r="N1719" s="129"/>
      <c r="O1719" s="194"/>
      <c r="P1719" s="129"/>
      <c r="Q1719" s="129"/>
      <c r="R1719" s="200"/>
    </row>
    <row r="1720" spans="1:18" s="221" customFormat="1" ht="48.75" hidden="1" thickBot="1">
      <c r="A1720" s="209"/>
      <c r="B1720" s="371" t="s">
        <v>919</v>
      </c>
      <c r="C1720" s="211"/>
      <c r="D1720" s="213">
        <f t="shared" si="215"/>
        <v>0</v>
      </c>
      <c r="E1720" s="213">
        <f t="shared" si="220"/>
        <v>0</v>
      </c>
      <c r="F1720" s="163" t="e">
        <f t="shared" si="212"/>
        <v>#DIV/0!</v>
      </c>
      <c r="G1720" s="211">
        <f>SUM(G1721:G1739)</f>
        <v>0</v>
      </c>
      <c r="H1720" s="213">
        <f>SUM(H1721:H1739)</f>
        <v>0</v>
      </c>
      <c r="I1720" s="256" t="e">
        <f t="shared" si="221"/>
        <v>#DIV/0!</v>
      </c>
      <c r="J1720" s="527"/>
      <c r="K1720" s="213"/>
      <c r="L1720" s="289"/>
      <c r="M1720" s="213"/>
      <c r="N1720" s="213"/>
      <c r="O1720" s="219"/>
      <c r="P1720" s="213"/>
      <c r="Q1720" s="213"/>
      <c r="R1720" s="220"/>
    </row>
    <row r="1721" spans="1:18" s="269" customFormat="1" ht="24.75" hidden="1" thickBot="1">
      <c r="A1721" s="267">
        <v>4110</v>
      </c>
      <c r="B1721" s="423" t="s">
        <v>352</v>
      </c>
      <c r="C1721" s="160"/>
      <c r="D1721" s="104">
        <f t="shared" si="215"/>
        <v>0</v>
      </c>
      <c r="E1721" s="129">
        <f t="shared" si="220"/>
        <v>0</v>
      </c>
      <c r="F1721" s="105" t="e">
        <f t="shared" si="212"/>
        <v>#DIV/0!</v>
      </c>
      <c r="G1721" s="160"/>
      <c r="H1721" s="104"/>
      <c r="I1721" s="256" t="e">
        <f t="shared" si="221"/>
        <v>#DIV/0!</v>
      </c>
      <c r="J1721" s="348"/>
      <c r="K1721" s="104"/>
      <c r="L1721" s="110"/>
      <c r="M1721" s="104"/>
      <c r="N1721" s="104"/>
      <c r="O1721" s="194"/>
      <c r="P1721" s="104"/>
      <c r="Q1721" s="104"/>
      <c r="R1721" s="200"/>
    </row>
    <row r="1722" spans="1:18" s="269" customFormat="1" ht="24.75" hidden="1" thickBot="1">
      <c r="A1722" s="267">
        <v>4118</v>
      </c>
      <c r="B1722" s="423" t="s">
        <v>352</v>
      </c>
      <c r="C1722" s="160"/>
      <c r="D1722" s="104">
        <f>G1722+J1722+P1722+M1722</f>
        <v>0</v>
      </c>
      <c r="E1722" s="129">
        <f>SUM(H1722+K1722+N1722+Q1722)</f>
        <v>0</v>
      </c>
      <c r="F1722" s="105" t="e">
        <f>E1722/D1722*100</f>
        <v>#DIV/0!</v>
      </c>
      <c r="G1722" s="160"/>
      <c r="H1722" s="104"/>
      <c r="I1722" s="256" t="e">
        <f t="shared" si="221"/>
        <v>#DIV/0!</v>
      </c>
      <c r="J1722" s="348"/>
      <c r="K1722" s="104"/>
      <c r="L1722" s="110"/>
      <c r="M1722" s="104"/>
      <c r="N1722" s="104"/>
      <c r="O1722" s="194"/>
      <c r="P1722" s="104"/>
      <c r="Q1722" s="104"/>
      <c r="R1722" s="200"/>
    </row>
    <row r="1723" spans="1:18" s="269" customFormat="1" ht="24.75" hidden="1" thickBot="1">
      <c r="A1723" s="267">
        <v>4119</v>
      </c>
      <c r="B1723" s="423" t="s">
        <v>352</v>
      </c>
      <c r="C1723" s="160"/>
      <c r="D1723" s="104">
        <f t="shared" si="215"/>
        <v>0</v>
      </c>
      <c r="E1723" s="129">
        <f t="shared" si="220"/>
        <v>0</v>
      </c>
      <c r="F1723" s="105" t="e">
        <f t="shared" si="212"/>
        <v>#DIV/0!</v>
      </c>
      <c r="G1723" s="160"/>
      <c r="H1723" s="104"/>
      <c r="I1723" s="256" t="e">
        <f t="shared" si="221"/>
        <v>#DIV/0!</v>
      </c>
      <c r="J1723" s="348"/>
      <c r="K1723" s="104"/>
      <c r="L1723" s="110"/>
      <c r="M1723" s="104"/>
      <c r="N1723" s="104"/>
      <c r="O1723" s="194"/>
      <c r="P1723" s="104"/>
      <c r="Q1723" s="104"/>
      <c r="R1723" s="200"/>
    </row>
    <row r="1724" spans="1:18" s="269" customFormat="1" ht="13.5" hidden="1" thickBot="1">
      <c r="A1724" s="267">
        <v>4120</v>
      </c>
      <c r="B1724" s="423" t="s">
        <v>504</v>
      </c>
      <c r="C1724" s="160"/>
      <c r="D1724" s="104">
        <f t="shared" si="215"/>
        <v>0</v>
      </c>
      <c r="E1724" s="129">
        <f t="shared" si="220"/>
        <v>0</v>
      </c>
      <c r="F1724" s="105" t="e">
        <f t="shared" si="212"/>
        <v>#DIV/0!</v>
      </c>
      <c r="G1724" s="160"/>
      <c r="H1724" s="104"/>
      <c r="I1724" s="256" t="e">
        <f t="shared" si="221"/>
        <v>#DIV/0!</v>
      </c>
      <c r="J1724" s="348"/>
      <c r="K1724" s="104"/>
      <c r="L1724" s="110"/>
      <c r="M1724" s="104"/>
      <c r="N1724" s="104"/>
      <c r="O1724" s="194"/>
      <c r="P1724" s="104"/>
      <c r="Q1724" s="104"/>
      <c r="R1724" s="200"/>
    </row>
    <row r="1725" spans="1:18" s="269" customFormat="1" ht="13.5" hidden="1" thickBot="1">
      <c r="A1725" s="267">
        <v>4128</v>
      </c>
      <c r="B1725" s="423" t="s">
        <v>504</v>
      </c>
      <c r="C1725" s="160"/>
      <c r="D1725" s="104">
        <f>G1725+J1725+P1725+M1725</f>
        <v>0</v>
      </c>
      <c r="E1725" s="129">
        <f>SUM(H1725+K1725+N1725+Q1725)</f>
        <v>0</v>
      </c>
      <c r="F1725" s="105" t="e">
        <f>E1725/D1725*100</f>
        <v>#DIV/0!</v>
      </c>
      <c r="G1725" s="160"/>
      <c r="H1725" s="104"/>
      <c r="I1725" s="256" t="e">
        <f t="shared" si="221"/>
        <v>#DIV/0!</v>
      </c>
      <c r="J1725" s="348"/>
      <c r="K1725" s="104"/>
      <c r="L1725" s="110"/>
      <c r="M1725" s="104"/>
      <c r="N1725" s="104"/>
      <c r="O1725" s="194"/>
      <c r="P1725" s="104"/>
      <c r="Q1725" s="104"/>
      <c r="R1725" s="200"/>
    </row>
    <row r="1726" spans="1:18" s="269" customFormat="1" ht="13.5" hidden="1" thickBot="1">
      <c r="A1726" s="267">
        <v>4129</v>
      </c>
      <c r="B1726" s="423" t="s">
        <v>504</v>
      </c>
      <c r="C1726" s="160"/>
      <c r="D1726" s="104">
        <f t="shared" si="215"/>
        <v>0</v>
      </c>
      <c r="E1726" s="129">
        <f t="shared" si="220"/>
        <v>0</v>
      </c>
      <c r="F1726" s="105" t="e">
        <f t="shared" si="212"/>
        <v>#DIV/0!</v>
      </c>
      <c r="G1726" s="160"/>
      <c r="H1726" s="104"/>
      <c r="I1726" s="256" t="e">
        <f t="shared" si="221"/>
        <v>#DIV/0!</v>
      </c>
      <c r="J1726" s="348"/>
      <c r="K1726" s="104"/>
      <c r="L1726" s="110"/>
      <c r="M1726" s="104"/>
      <c r="N1726" s="104"/>
      <c r="O1726" s="194"/>
      <c r="P1726" s="104"/>
      <c r="Q1726" s="104"/>
      <c r="R1726" s="200"/>
    </row>
    <row r="1727" spans="1:18" s="269" customFormat="1" ht="24.75" hidden="1" thickBot="1">
      <c r="A1727" s="191">
        <v>4178</v>
      </c>
      <c r="B1727" s="198" t="s">
        <v>851</v>
      </c>
      <c r="C1727" s="160"/>
      <c r="D1727" s="104">
        <f t="shared" si="215"/>
        <v>0</v>
      </c>
      <c r="E1727" s="129">
        <f t="shared" si="220"/>
        <v>0</v>
      </c>
      <c r="F1727" s="105" t="e">
        <f t="shared" si="212"/>
        <v>#DIV/0!</v>
      </c>
      <c r="G1727" s="160"/>
      <c r="H1727" s="104"/>
      <c r="I1727" s="256" t="e">
        <f t="shared" si="221"/>
        <v>#DIV/0!</v>
      </c>
      <c r="J1727" s="348"/>
      <c r="K1727" s="104"/>
      <c r="L1727" s="110"/>
      <c r="M1727" s="104"/>
      <c r="N1727" s="104"/>
      <c r="O1727" s="194"/>
      <c r="P1727" s="104"/>
      <c r="Q1727" s="104"/>
      <c r="R1727" s="200"/>
    </row>
    <row r="1728" spans="1:18" s="269" customFormat="1" ht="24.75" hidden="1" thickBot="1">
      <c r="A1728" s="267">
        <v>4179</v>
      </c>
      <c r="B1728" s="198" t="s">
        <v>851</v>
      </c>
      <c r="C1728" s="160"/>
      <c r="D1728" s="104">
        <f t="shared" si="215"/>
        <v>0</v>
      </c>
      <c r="E1728" s="129">
        <f t="shared" si="220"/>
        <v>0</v>
      </c>
      <c r="F1728" s="105" t="e">
        <f t="shared" si="212"/>
        <v>#DIV/0!</v>
      </c>
      <c r="G1728" s="160"/>
      <c r="H1728" s="104"/>
      <c r="I1728" s="256" t="e">
        <f t="shared" si="221"/>
        <v>#DIV/0!</v>
      </c>
      <c r="J1728" s="348"/>
      <c r="K1728" s="104"/>
      <c r="L1728" s="110"/>
      <c r="M1728" s="104"/>
      <c r="N1728" s="104"/>
      <c r="O1728" s="194"/>
      <c r="P1728" s="104"/>
      <c r="Q1728" s="104"/>
      <c r="R1728" s="200"/>
    </row>
    <row r="1729" spans="1:18" s="269" customFormat="1" ht="24.75" hidden="1" thickBot="1">
      <c r="A1729" s="267">
        <v>4218</v>
      </c>
      <c r="B1729" s="198" t="s">
        <v>612</v>
      </c>
      <c r="C1729" s="160"/>
      <c r="D1729" s="104">
        <f t="shared" si="215"/>
        <v>0</v>
      </c>
      <c r="E1729" s="129">
        <f t="shared" si="220"/>
        <v>0</v>
      </c>
      <c r="F1729" s="105" t="e">
        <f t="shared" si="212"/>
        <v>#DIV/0!</v>
      </c>
      <c r="G1729" s="160"/>
      <c r="H1729" s="104"/>
      <c r="I1729" s="256" t="e">
        <f t="shared" si="221"/>
        <v>#DIV/0!</v>
      </c>
      <c r="J1729" s="348"/>
      <c r="K1729" s="104"/>
      <c r="L1729" s="110"/>
      <c r="M1729" s="104"/>
      <c r="N1729" s="104"/>
      <c r="O1729" s="194"/>
      <c r="P1729" s="104"/>
      <c r="Q1729" s="104"/>
      <c r="R1729" s="200"/>
    </row>
    <row r="1730" spans="1:18" s="269" customFormat="1" ht="24.75" hidden="1" thickBot="1">
      <c r="A1730" s="267">
        <v>4219</v>
      </c>
      <c r="B1730" s="198" t="s">
        <v>612</v>
      </c>
      <c r="C1730" s="160"/>
      <c r="D1730" s="104">
        <f t="shared" si="215"/>
        <v>0</v>
      </c>
      <c r="E1730" s="129">
        <f t="shared" si="220"/>
        <v>0</v>
      </c>
      <c r="F1730" s="105" t="e">
        <f t="shared" si="212"/>
        <v>#DIV/0!</v>
      </c>
      <c r="G1730" s="160"/>
      <c r="H1730" s="104"/>
      <c r="I1730" s="256" t="e">
        <f t="shared" si="221"/>
        <v>#DIV/0!</v>
      </c>
      <c r="J1730" s="348"/>
      <c r="K1730" s="104"/>
      <c r="L1730" s="110"/>
      <c r="M1730" s="104"/>
      <c r="N1730" s="104"/>
      <c r="O1730" s="194"/>
      <c r="P1730" s="104"/>
      <c r="Q1730" s="104"/>
      <c r="R1730" s="200"/>
    </row>
    <row r="1731" spans="1:18" s="269" customFormat="1" ht="24.75" hidden="1" thickBot="1">
      <c r="A1731" s="267">
        <v>4300</v>
      </c>
      <c r="B1731" s="198" t="s">
        <v>364</v>
      </c>
      <c r="C1731" s="160"/>
      <c r="D1731" s="104">
        <f>G1731+J1731+P1731+M1731</f>
        <v>0</v>
      </c>
      <c r="E1731" s="129">
        <f>SUM(H1731+K1731+N1731+Q1731)</f>
        <v>0</v>
      </c>
      <c r="F1731" s="105" t="e">
        <f>E1731/D1731*100</f>
        <v>#DIV/0!</v>
      </c>
      <c r="G1731" s="160"/>
      <c r="H1731" s="104"/>
      <c r="I1731" s="256" t="e">
        <f t="shared" si="221"/>
        <v>#DIV/0!</v>
      </c>
      <c r="J1731" s="348"/>
      <c r="K1731" s="104"/>
      <c r="L1731" s="110"/>
      <c r="M1731" s="104"/>
      <c r="N1731" s="104"/>
      <c r="O1731" s="194"/>
      <c r="P1731" s="104"/>
      <c r="Q1731" s="104"/>
      <c r="R1731" s="200"/>
    </row>
    <row r="1732" spans="1:18" s="269" customFormat="1" ht="24.75" hidden="1" thickBot="1">
      <c r="A1732" s="267">
        <v>4308</v>
      </c>
      <c r="B1732" s="198" t="s">
        <v>364</v>
      </c>
      <c r="C1732" s="160"/>
      <c r="D1732" s="104">
        <f t="shared" si="215"/>
        <v>0</v>
      </c>
      <c r="E1732" s="129">
        <f t="shared" si="220"/>
        <v>0</v>
      </c>
      <c r="F1732" s="105" t="e">
        <f t="shared" si="212"/>
        <v>#DIV/0!</v>
      </c>
      <c r="G1732" s="160"/>
      <c r="H1732" s="104"/>
      <c r="I1732" s="256" t="e">
        <f t="shared" si="221"/>
        <v>#DIV/0!</v>
      </c>
      <c r="J1732" s="348"/>
      <c r="K1732" s="104"/>
      <c r="L1732" s="110"/>
      <c r="M1732" s="104"/>
      <c r="N1732" s="104"/>
      <c r="O1732" s="194"/>
      <c r="P1732" s="104"/>
      <c r="Q1732" s="104"/>
      <c r="R1732" s="200"/>
    </row>
    <row r="1733" spans="1:18" s="269" customFormat="1" ht="24.75" hidden="1" thickBot="1">
      <c r="A1733" s="267">
        <v>4309</v>
      </c>
      <c r="B1733" s="198" t="s">
        <v>364</v>
      </c>
      <c r="C1733" s="160"/>
      <c r="D1733" s="104">
        <f t="shared" si="215"/>
        <v>0</v>
      </c>
      <c r="E1733" s="129">
        <f t="shared" si="220"/>
        <v>0</v>
      </c>
      <c r="F1733" s="105" t="e">
        <f t="shared" si="212"/>
        <v>#DIV/0!</v>
      </c>
      <c r="G1733" s="160"/>
      <c r="H1733" s="104"/>
      <c r="I1733" s="256" t="e">
        <f t="shared" si="221"/>
        <v>#DIV/0!</v>
      </c>
      <c r="J1733" s="348"/>
      <c r="K1733" s="104"/>
      <c r="L1733" s="110"/>
      <c r="M1733" s="104"/>
      <c r="N1733" s="104"/>
      <c r="O1733" s="194"/>
      <c r="P1733" s="104"/>
      <c r="Q1733" s="104"/>
      <c r="R1733" s="200"/>
    </row>
    <row r="1734" spans="1:18" s="269" customFormat="1" ht="36.75" hidden="1" thickBot="1">
      <c r="A1734" s="191">
        <v>4380</v>
      </c>
      <c r="B1734" s="198" t="s">
        <v>679</v>
      </c>
      <c r="C1734" s="160"/>
      <c r="D1734" s="104">
        <f>G1734+J1734+P1734+M1734</f>
        <v>0</v>
      </c>
      <c r="E1734" s="129">
        <f>SUM(H1734+K1734+N1734+Q1734)</f>
        <v>0</v>
      </c>
      <c r="F1734" s="105" t="e">
        <f>E1734/D1734*100</f>
        <v>#DIV/0!</v>
      </c>
      <c r="G1734" s="160"/>
      <c r="H1734" s="104"/>
      <c r="I1734" s="256" t="e">
        <f t="shared" si="221"/>
        <v>#DIV/0!</v>
      </c>
      <c r="J1734" s="348"/>
      <c r="K1734" s="104"/>
      <c r="L1734" s="110"/>
      <c r="M1734" s="104"/>
      <c r="N1734" s="104"/>
      <c r="O1734" s="194"/>
      <c r="P1734" s="104"/>
      <c r="Q1734" s="104"/>
      <c r="R1734" s="200"/>
    </row>
    <row r="1735" spans="1:18" s="185" customFormat="1" ht="36.75" hidden="1" thickBot="1">
      <c r="A1735" s="191">
        <v>4388</v>
      </c>
      <c r="B1735" s="198" t="s">
        <v>679</v>
      </c>
      <c r="C1735" s="128"/>
      <c r="D1735" s="104">
        <f t="shared" si="215"/>
        <v>0</v>
      </c>
      <c r="E1735" s="129">
        <f t="shared" si="220"/>
        <v>0</v>
      </c>
      <c r="F1735" s="105" t="e">
        <f t="shared" si="212"/>
        <v>#DIV/0!</v>
      </c>
      <c r="G1735" s="128"/>
      <c r="H1735" s="129"/>
      <c r="I1735" s="256" t="e">
        <f t="shared" si="221"/>
        <v>#DIV/0!</v>
      </c>
      <c r="J1735" s="337"/>
      <c r="K1735" s="129"/>
      <c r="L1735" s="110"/>
      <c r="M1735" s="129"/>
      <c r="N1735" s="129"/>
      <c r="O1735" s="194"/>
      <c r="P1735" s="129"/>
      <c r="Q1735" s="129"/>
      <c r="R1735" s="200"/>
    </row>
    <row r="1736" spans="1:18" s="185" customFormat="1" ht="36.75" hidden="1" thickBot="1">
      <c r="A1736" s="191">
        <v>4389</v>
      </c>
      <c r="B1736" s="198" t="s">
        <v>679</v>
      </c>
      <c r="C1736" s="128"/>
      <c r="D1736" s="104">
        <f>G1736+J1736+P1736+M1736</f>
        <v>0</v>
      </c>
      <c r="E1736" s="129">
        <f>SUM(H1736+K1736+N1736+Q1736)</f>
        <v>0</v>
      </c>
      <c r="F1736" s="105" t="e">
        <f>E1736/D1736*100</f>
        <v>#DIV/0!</v>
      </c>
      <c r="G1736" s="128"/>
      <c r="H1736" s="129"/>
      <c r="I1736" s="256" t="e">
        <f t="shared" si="221"/>
        <v>#DIV/0!</v>
      </c>
      <c r="J1736" s="337"/>
      <c r="K1736" s="129"/>
      <c r="L1736" s="110"/>
      <c r="M1736" s="129"/>
      <c r="N1736" s="129"/>
      <c r="O1736" s="194"/>
      <c r="P1736" s="129"/>
      <c r="Q1736" s="129"/>
      <c r="R1736" s="200"/>
    </row>
    <row r="1737" spans="1:18" s="185" customFormat="1" ht="13.5" hidden="1" thickBot="1">
      <c r="A1737" s="191">
        <v>4430</v>
      </c>
      <c r="B1737" s="198" t="s">
        <v>366</v>
      </c>
      <c r="C1737" s="128"/>
      <c r="D1737" s="104">
        <f>G1737+J1737+P1737+M1737</f>
        <v>0</v>
      </c>
      <c r="E1737" s="129">
        <f>SUM(H1737+K1737+N1737+Q1737)</f>
        <v>0</v>
      </c>
      <c r="F1737" s="105" t="e">
        <f>E1737/D1737*100</f>
        <v>#DIV/0!</v>
      </c>
      <c r="G1737" s="128"/>
      <c r="H1737" s="129"/>
      <c r="I1737" s="256" t="e">
        <f t="shared" si="221"/>
        <v>#DIV/0!</v>
      </c>
      <c r="J1737" s="337"/>
      <c r="K1737" s="129"/>
      <c r="L1737" s="110"/>
      <c r="M1737" s="129"/>
      <c r="N1737" s="129"/>
      <c r="O1737" s="194"/>
      <c r="P1737" s="129"/>
      <c r="Q1737" s="129"/>
      <c r="R1737" s="200"/>
    </row>
    <row r="1738" spans="1:18" s="185" customFormat="1" ht="13.5" hidden="1" thickBot="1">
      <c r="A1738" s="191">
        <v>4438</v>
      </c>
      <c r="B1738" s="198" t="s">
        <v>366</v>
      </c>
      <c r="C1738" s="128"/>
      <c r="D1738" s="104">
        <f>G1738+J1738+P1738+M1738</f>
        <v>0</v>
      </c>
      <c r="E1738" s="129">
        <f>SUM(H1738+K1738+N1738+Q1738)</f>
        <v>0</v>
      </c>
      <c r="F1738" s="105" t="e">
        <f>E1738/D1738*100</f>
        <v>#DIV/0!</v>
      </c>
      <c r="G1738" s="128"/>
      <c r="H1738" s="129"/>
      <c r="I1738" s="256" t="e">
        <f t="shared" si="221"/>
        <v>#DIV/0!</v>
      </c>
      <c r="J1738" s="337"/>
      <c r="K1738" s="129"/>
      <c r="L1738" s="110"/>
      <c r="M1738" s="129"/>
      <c r="N1738" s="129"/>
      <c r="O1738" s="194"/>
      <c r="P1738" s="129"/>
      <c r="Q1738" s="129"/>
      <c r="R1738" s="200"/>
    </row>
    <row r="1739" spans="1:18" s="185" customFormat="1" ht="13.5" hidden="1" thickBot="1">
      <c r="A1739" s="191">
        <v>4439</v>
      </c>
      <c r="B1739" s="198" t="s">
        <v>366</v>
      </c>
      <c r="C1739" s="128"/>
      <c r="D1739" s="104">
        <f t="shared" si="215"/>
        <v>0</v>
      </c>
      <c r="E1739" s="129">
        <f t="shared" si="220"/>
        <v>0</v>
      </c>
      <c r="F1739" s="105" t="e">
        <f aca="true" t="shared" si="222" ref="F1739:F1757">E1739/D1739*100</f>
        <v>#DIV/0!</v>
      </c>
      <c r="G1739" s="128"/>
      <c r="H1739" s="129"/>
      <c r="I1739" s="256" t="e">
        <f t="shared" si="221"/>
        <v>#DIV/0!</v>
      </c>
      <c r="J1739" s="337"/>
      <c r="K1739" s="129"/>
      <c r="L1739" s="110"/>
      <c r="M1739" s="129"/>
      <c r="N1739" s="129"/>
      <c r="O1739" s="194"/>
      <c r="P1739" s="129"/>
      <c r="Q1739" s="129"/>
      <c r="R1739" s="200"/>
    </row>
    <row r="1740" spans="1:18" s="461" customFormat="1" ht="39" customHeight="1" thickBot="1" thickTop="1">
      <c r="A1740" s="459">
        <v>926</v>
      </c>
      <c r="B1740" s="460" t="s">
        <v>920</v>
      </c>
      <c r="C1740" s="203">
        <f>SUM(C1741+C1758+C1755)</f>
        <v>6631300</v>
      </c>
      <c r="D1740" s="78">
        <f t="shared" si="215"/>
        <v>6701300</v>
      </c>
      <c r="E1740" s="78">
        <f>H1740+K1740+Q1740+N1740</f>
        <v>1269877</v>
      </c>
      <c r="F1740" s="79">
        <f t="shared" si="222"/>
        <v>18.94971125005596</v>
      </c>
      <c r="G1740" s="203">
        <f>SUM(G1741+G1758+G1755)</f>
        <v>6701300</v>
      </c>
      <c r="H1740" s="78">
        <f>SUM(H1741+H1758+H1755)</f>
        <v>1269877</v>
      </c>
      <c r="I1740" s="81">
        <f t="shared" si="221"/>
        <v>18.94971125005596</v>
      </c>
      <c r="J1740" s="528"/>
      <c r="K1740" s="78"/>
      <c r="L1740" s="84"/>
      <c r="M1740" s="78"/>
      <c r="N1740" s="78"/>
      <c r="O1740" s="184"/>
      <c r="P1740" s="78"/>
      <c r="Q1740" s="78"/>
      <c r="R1740" s="293"/>
    </row>
    <row r="1741" spans="1:18" ht="21.75" customHeight="1" thickTop="1">
      <c r="A1741" s="186">
        <v>92601</v>
      </c>
      <c r="B1741" s="294" t="s">
        <v>921</v>
      </c>
      <c r="C1741" s="188">
        <f>SUM(C1742:C1746)+C1751</f>
        <v>3150000</v>
      </c>
      <c r="D1741" s="91">
        <f t="shared" si="215"/>
        <v>3150000</v>
      </c>
      <c r="E1741" s="97">
        <f>H1741+K1741+Q1741+N1741</f>
        <v>98</v>
      </c>
      <c r="F1741" s="168">
        <f t="shared" si="222"/>
        <v>0.003111111111111111</v>
      </c>
      <c r="G1741" s="188">
        <f>SUM(G1742:G1746)+G1751</f>
        <v>3150000</v>
      </c>
      <c r="H1741" s="119">
        <f>SUM(H1742:H1746)+H1751</f>
        <v>98</v>
      </c>
      <c r="I1741" s="127">
        <f t="shared" si="221"/>
        <v>0.003111111111111111</v>
      </c>
      <c r="J1741" s="124"/>
      <c r="K1741" s="119"/>
      <c r="L1741" s="125"/>
      <c r="M1741" s="119"/>
      <c r="N1741" s="119"/>
      <c r="O1741" s="190"/>
      <c r="P1741" s="119"/>
      <c r="Q1741" s="119"/>
      <c r="R1741" s="283"/>
    </row>
    <row r="1742" spans="1:18" ht="61.5" customHeight="1" hidden="1">
      <c r="A1742" s="172">
        <v>2820</v>
      </c>
      <c r="B1742" s="320" t="s">
        <v>579</v>
      </c>
      <c r="C1742" s="128"/>
      <c r="D1742" s="104">
        <f t="shared" si="215"/>
        <v>0</v>
      </c>
      <c r="E1742" s="129">
        <f>H1742+K1742+Q1742+N1742</f>
        <v>0</v>
      </c>
      <c r="F1742" s="105" t="e">
        <f t="shared" si="222"/>
        <v>#DIV/0!</v>
      </c>
      <c r="G1742" s="128"/>
      <c r="H1742" s="150"/>
      <c r="I1742" s="108" t="e">
        <f t="shared" si="221"/>
        <v>#DIV/0!</v>
      </c>
      <c r="J1742" s="223"/>
      <c r="K1742" s="150"/>
      <c r="L1742" s="154"/>
      <c r="M1742" s="150"/>
      <c r="N1742" s="150"/>
      <c r="O1742" s="225"/>
      <c r="P1742" s="150"/>
      <c r="Q1742" s="150"/>
      <c r="R1742" s="226"/>
    </row>
    <row r="1743" spans="1:18" ht="20.25" customHeight="1" hidden="1">
      <c r="A1743" s="191">
        <v>4300</v>
      </c>
      <c r="B1743" s="198" t="s">
        <v>364</v>
      </c>
      <c r="C1743" s="128"/>
      <c r="D1743" s="104">
        <f t="shared" si="215"/>
        <v>0</v>
      </c>
      <c r="E1743" s="129">
        <f>H1743+K1743+Q1743+N1743</f>
        <v>0</v>
      </c>
      <c r="F1743" s="105" t="e">
        <f t="shared" si="222"/>
        <v>#DIV/0!</v>
      </c>
      <c r="G1743" s="128"/>
      <c r="H1743" s="129"/>
      <c r="I1743" s="108" t="e">
        <f t="shared" si="221"/>
        <v>#DIV/0!</v>
      </c>
      <c r="J1743" s="193"/>
      <c r="K1743" s="129"/>
      <c r="L1743" s="110"/>
      <c r="M1743" s="129"/>
      <c r="N1743" s="129"/>
      <c r="O1743" s="194"/>
      <c r="P1743" s="129"/>
      <c r="Q1743" s="129"/>
      <c r="R1743" s="200"/>
    </row>
    <row r="1744" spans="1:18" ht="24" hidden="1">
      <c r="A1744" s="191">
        <v>4270</v>
      </c>
      <c r="B1744" s="198" t="s">
        <v>362</v>
      </c>
      <c r="C1744" s="128"/>
      <c r="D1744" s="104">
        <f t="shared" si="215"/>
        <v>0</v>
      </c>
      <c r="E1744" s="129">
        <f aca="true" t="shared" si="223" ref="E1744:E1750">SUM(H1744+K1744+N1744+Q1744)</f>
        <v>0</v>
      </c>
      <c r="F1744" s="105" t="e">
        <f t="shared" si="222"/>
        <v>#DIV/0!</v>
      </c>
      <c r="G1744" s="128"/>
      <c r="H1744" s="104"/>
      <c r="I1744" s="108" t="e">
        <f t="shared" si="221"/>
        <v>#DIV/0!</v>
      </c>
      <c r="J1744" s="193"/>
      <c r="K1744" s="129"/>
      <c r="L1744" s="110"/>
      <c r="M1744" s="129"/>
      <c r="N1744" s="129"/>
      <c r="O1744" s="194"/>
      <c r="P1744" s="129"/>
      <c r="Q1744" s="129"/>
      <c r="R1744" s="200"/>
    </row>
    <row r="1745" spans="1:18" ht="60">
      <c r="A1745" s="191">
        <v>6010</v>
      </c>
      <c r="B1745" s="198" t="s">
        <v>922</v>
      </c>
      <c r="C1745" s="128">
        <v>2000000</v>
      </c>
      <c r="D1745" s="104">
        <f t="shared" si="215"/>
        <v>2000000</v>
      </c>
      <c r="E1745" s="129">
        <f t="shared" si="223"/>
        <v>0</v>
      </c>
      <c r="F1745" s="105">
        <f t="shared" si="222"/>
        <v>0</v>
      </c>
      <c r="G1745" s="128">
        <v>2000000</v>
      </c>
      <c r="H1745" s="104"/>
      <c r="I1745" s="108">
        <f t="shared" si="221"/>
        <v>0</v>
      </c>
      <c r="J1745" s="193"/>
      <c r="K1745" s="129"/>
      <c r="L1745" s="110"/>
      <c r="M1745" s="129"/>
      <c r="N1745" s="129"/>
      <c r="O1745" s="194"/>
      <c r="P1745" s="129"/>
      <c r="Q1745" s="129"/>
      <c r="R1745" s="200"/>
    </row>
    <row r="1746" spans="1:18" ht="27.75" customHeight="1">
      <c r="A1746" s="191">
        <v>6050</v>
      </c>
      <c r="B1746" s="198" t="s">
        <v>396</v>
      </c>
      <c r="C1746" s="128">
        <f>SUM(C1747:C1750)</f>
        <v>1150000</v>
      </c>
      <c r="D1746" s="104">
        <f t="shared" si="215"/>
        <v>1150000</v>
      </c>
      <c r="E1746" s="129">
        <f t="shared" si="223"/>
        <v>98</v>
      </c>
      <c r="F1746" s="105">
        <f t="shared" si="222"/>
        <v>0.008521739130434783</v>
      </c>
      <c r="G1746" s="128">
        <f>SUM(G1747:G1750)</f>
        <v>1150000</v>
      </c>
      <c r="H1746" s="129">
        <f>SUM(H1747:H1750)</f>
        <v>98</v>
      </c>
      <c r="I1746" s="108">
        <f t="shared" si="221"/>
        <v>0.008521739130434783</v>
      </c>
      <c r="J1746" s="193"/>
      <c r="K1746" s="129"/>
      <c r="L1746" s="110"/>
      <c r="M1746" s="129"/>
      <c r="N1746" s="129"/>
      <c r="O1746" s="194"/>
      <c r="P1746" s="129"/>
      <c r="Q1746" s="129"/>
      <c r="R1746" s="200"/>
    </row>
    <row r="1747" spans="1:18" s="254" customFormat="1" ht="13.5" customHeight="1">
      <c r="A1747" s="248"/>
      <c r="B1747" s="249" t="s">
        <v>923</v>
      </c>
      <c r="C1747" s="355">
        <v>1000000</v>
      </c>
      <c r="D1747" s="356">
        <f t="shared" si="215"/>
        <v>1000000</v>
      </c>
      <c r="E1747" s="356">
        <f t="shared" si="223"/>
        <v>98</v>
      </c>
      <c r="F1747" s="105">
        <f t="shared" si="222"/>
        <v>0.0098</v>
      </c>
      <c r="G1747" s="355">
        <v>1000000</v>
      </c>
      <c r="H1747" s="356">
        <v>98</v>
      </c>
      <c r="I1747" s="256">
        <f t="shared" si="221"/>
        <v>0.0098</v>
      </c>
      <c r="J1747" s="357"/>
      <c r="K1747" s="356"/>
      <c r="L1747" s="110"/>
      <c r="M1747" s="356"/>
      <c r="N1747" s="356"/>
      <c r="O1747" s="110"/>
      <c r="P1747" s="356"/>
      <c r="Q1747" s="356"/>
      <c r="R1747" s="262"/>
    </row>
    <row r="1748" spans="1:18" s="254" customFormat="1" ht="36">
      <c r="A1748" s="248"/>
      <c r="B1748" s="249" t="s">
        <v>924</v>
      </c>
      <c r="C1748" s="355">
        <v>50000</v>
      </c>
      <c r="D1748" s="356">
        <f>G1748+J1748+P1748+M1748</f>
        <v>50000</v>
      </c>
      <c r="E1748" s="356">
        <f>SUM(H1748+K1748+N1748+Q1748)</f>
        <v>0</v>
      </c>
      <c r="F1748" s="105">
        <f t="shared" si="222"/>
        <v>0</v>
      </c>
      <c r="G1748" s="355">
        <v>50000</v>
      </c>
      <c r="H1748" s="356"/>
      <c r="I1748" s="256"/>
      <c r="J1748" s="357"/>
      <c r="K1748" s="356"/>
      <c r="L1748" s="110"/>
      <c r="M1748" s="356"/>
      <c r="N1748" s="356"/>
      <c r="O1748" s="110"/>
      <c r="P1748" s="356"/>
      <c r="Q1748" s="356"/>
      <c r="R1748" s="262"/>
    </row>
    <row r="1749" spans="1:18" s="254" customFormat="1" ht="36" hidden="1">
      <c r="A1749" s="248"/>
      <c r="B1749" s="249" t="s">
        <v>925</v>
      </c>
      <c r="C1749" s="355"/>
      <c r="D1749" s="356">
        <f>G1749+J1749+P1749+M1749</f>
        <v>0</v>
      </c>
      <c r="E1749" s="356">
        <f>SUM(H1749+K1749+N1749+Q1749)</f>
        <v>0</v>
      </c>
      <c r="F1749" s="105" t="e">
        <f>E1749/D1749*100</f>
        <v>#DIV/0!</v>
      </c>
      <c r="G1749" s="355"/>
      <c r="H1749" s="356"/>
      <c r="I1749" s="256" t="e">
        <f t="shared" si="221"/>
        <v>#DIV/0!</v>
      </c>
      <c r="J1749" s="357"/>
      <c r="K1749" s="356"/>
      <c r="L1749" s="110"/>
      <c r="M1749" s="356"/>
      <c r="N1749" s="356"/>
      <c r="O1749" s="110"/>
      <c r="P1749" s="356"/>
      <c r="Q1749" s="356"/>
      <c r="R1749" s="262"/>
    </row>
    <row r="1750" spans="1:18" s="254" customFormat="1" ht="36">
      <c r="A1750" s="248"/>
      <c r="B1750" s="249" t="s">
        <v>926</v>
      </c>
      <c r="C1750" s="355">
        <v>100000</v>
      </c>
      <c r="D1750" s="356">
        <f t="shared" si="215"/>
        <v>100000</v>
      </c>
      <c r="E1750" s="356">
        <f t="shared" si="223"/>
        <v>0</v>
      </c>
      <c r="F1750" s="105">
        <f t="shared" si="222"/>
        <v>0</v>
      </c>
      <c r="G1750" s="355">
        <v>100000</v>
      </c>
      <c r="H1750" s="356"/>
      <c r="I1750" s="256">
        <f t="shared" si="221"/>
        <v>0</v>
      </c>
      <c r="J1750" s="357"/>
      <c r="K1750" s="356"/>
      <c r="L1750" s="110"/>
      <c r="M1750" s="356"/>
      <c r="N1750" s="356"/>
      <c r="O1750" s="110"/>
      <c r="P1750" s="356"/>
      <c r="Q1750" s="356"/>
      <c r="R1750" s="262"/>
    </row>
    <row r="1751" spans="1:18" s="221" customFormat="1" ht="48" hidden="1">
      <c r="A1751" s="209"/>
      <c r="B1751" s="371" t="s">
        <v>927</v>
      </c>
      <c r="C1751" s="211">
        <f>SUM(C1752:C1754)</f>
        <v>0</v>
      </c>
      <c r="D1751" s="213">
        <f aca="true" t="shared" si="224" ref="D1751:E1755">G1751+J1751+P1751+M1751</f>
        <v>0</v>
      </c>
      <c r="E1751" s="213">
        <f t="shared" si="224"/>
        <v>0</v>
      </c>
      <c r="F1751" s="105" t="e">
        <f t="shared" si="222"/>
        <v>#DIV/0!</v>
      </c>
      <c r="G1751" s="211">
        <f>SUM(G1752:G1754)</f>
        <v>0</v>
      </c>
      <c r="H1751" s="213">
        <f>SUM(H1752:H1754)</f>
        <v>0</v>
      </c>
      <c r="I1751" s="256" t="e">
        <f t="shared" si="221"/>
        <v>#DIV/0!</v>
      </c>
      <c r="J1751" s="215"/>
      <c r="K1751" s="213"/>
      <c r="L1751" s="289"/>
      <c r="M1751" s="213"/>
      <c r="N1751" s="213"/>
      <c r="O1751" s="219"/>
      <c r="P1751" s="213"/>
      <c r="Q1751" s="213"/>
      <c r="R1751" s="220"/>
    </row>
    <row r="1752" spans="1:18" s="221" customFormat="1" ht="24" hidden="1">
      <c r="A1752" s="191">
        <v>6050</v>
      </c>
      <c r="B1752" s="198" t="s">
        <v>396</v>
      </c>
      <c r="C1752" s="160"/>
      <c r="D1752" s="104">
        <f t="shared" si="224"/>
        <v>0</v>
      </c>
      <c r="E1752" s="104">
        <f t="shared" si="224"/>
        <v>0</v>
      </c>
      <c r="F1752" s="105" t="e">
        <f t="shared" si="222"/>
        <v>#DIV/0!</v>
      </c>
      <c r="G1752" s="160"/>
      <c r="H1752" s="104"/>
      <c r="I1752" s="256" t="e">
        <f t="shared" si="221"/>
        <v>#DIV/0!</v>
      </c>
      <c r="J1752" s="215"/>
      <c r="K1752" s="213"/>
      <c r="L1752" s="289"/>
      <c r="M1752" s="213"/>
      <c r="N1752" s="213"/>
      <c r="O1752" s="219"/>
      <c r="P1752" s="213"/>
      <c r="Q1752" s="213"/>
      <c r="R1752" s="220"/>
    </row>
    <row r="1753" spans="1:18" ht="24" hidden="1">
      <c r="A1753" s="191">
        <v>6058</v>
      </c>
      <c r="B1753" s="198" t="s">
        <v>396</v>
      </c>
      <c r="C1753" s="160"/>
      <c r="D1753" s="104">
        <f t="shared" si="224"/>
        <v>0</v>
      </c>
      <c r="E1753" s="104">
        <f t="shared" si="224"/>
        <v>0</v>
      </c>
      <c r="F1753" s="105" t="e">
        <f t="shared" si="222"/>
        <v>#DIV/0!</v>
      </c>
      <c r="G1753" s="128"/>
      <c r="H1753" s="129"/>
      <c r="I1753" s="256" t="e">
        <f t="shared" si="221"/>
        <v>#DIV/0!</v>
      </c>
      <c r="J1753" s="193"/>
      <c r="K1753" s="129"/>
      <c r="L1753" s="110"/>
      <c r="M1753" s="129"/>
      <c r="N1753" s="129"/>
      <c r="O1753" s="194"/>
      <c r="P1753" s="129"/>
      <c r="Q1753" s="129"/>
      <c r="R1753" s="200"/>
    </row>
    <row r="1754" spans="1:18" ht="24" hidden="1">
      <c r="A1754" s="191">
        <v>6059</v>
      </c>
      <c r="B1754" s="198" t="s">
        <v>396</v>
      </c>
      <c r="C1754" s="160"/>
      <c r="D1754" s="104">
        <f t="shared" si="224"/>
        <v>0</v>
      </c>
      <c r="E1754" s="104">
        <f t="shared" si="224"/>
        <v>0</v>
      </c>
      <c r="F1754" s="105" t="e">
        <f t="shared" si="222"/>
        <v>#DIV/0!</v>
      </c>
      <c r="G1754" s="128"/>
      <c r="H1754" s="129"/>
      <c r="I1754" s="256" t="e">
        <f t="shared" si="221"/>
        <v>#DIV/0!</v>
      </c>
      <c r="J1754" s="193"/>
      <c r="K1754" s="129"/>
      <c r="L1754" s="110"/>
      <c r="M1754" s="129"/>
      <c r="N1754" s="129"/>
      <c r="O1754" s="194"/>
      <c r="P1754" s="129"/>
      <c r="Q1754" s="129"/>
      <c r="R1754" s="200"/>
    </row>
    <row r="1755" spans="1:18" s="185" customFormat="1" ht="36">
      <c r="A1755" s="186">
        <v>92605</v>
      </c>
      <c r="B1755" s="294" t="s">
        <v>928</v>
      </c>
      <c r="C1755" s="188">
        <f>SUM(C1756:C1756)</f>
        <v>3300000</v>
      </c>
      <c r="D1755" s="137">
        <f t="shared" si="224"/>
        <v>3370000</v>
      </c>
      <c r="E1755" s="119">
        <f t="shared" si="224"/>
        <v>1254313</v>
      </c>
      <c r="F1755" s="120">
        <f t="shared" si="222"/>
        <v>37.219970326409495</v>
      </c>
      <c r="G1755" s="188">
        <f>SUM(G1756:G1757)</f>
        <v>3370000</v>
      </c>
      <c r="H1755" s="119">
        <f>SUM(H1756:H1757)</f>
        <v>1254313</v>
      </c>
      <c r="I1755" s="214">
        <f>H1755/G1755*100</f>
        <v>37.219970326409495</v>
      </c>
      <c r="J1755" s="124"/>
      <c r="K1755" s="119"/>
      <c r="L1755" s="125"/>
      <c r="M1755" s="119"/>
      <c r="N1755" s="119"/>
      <c r="O1755" s="190"/>
      <c r="P1755" s="119"/>
      <c r="Q1755" s="119"/>
      <c r="R1755" s="283"/>
    </row>
    <row r="1756" spans="1:18" ht="63.75" customHeight="1">
      <c r="A1756" s="191">
        <v>2820</v>
      </c>
      <c r="B1756" s="198" t="s">
        <v>472</v>
      </c>
      <c r="C1756" s="128">
        <v>3300000</v>
      </c>
      <c r="D1756" s="104">
        <f>G1756+J1756+P1756+M1756</f>
        <v>3370000</v>
      </c>
      <c r="E1756" s="129">
        <f aca="true" t="shared" si="225" ref="E1756:E1770">SUM(H1756+K1756+N1756+Q1756)</f>
        <v>1254313</v>
      </c>
      <c r="F1756" s="105">
        <f t="shared" si="222"/>
        <v>37.219970326409495</v>
      </c>
      <c r="G1756" s="128">
        <f>3300000+70000</f>
        <v>3370000</v>
      </c>
      <c r="H1756" s="129">
        <v>1254313</v>
      </c>
      <c r="I1756" s="222">
        <f>H1756/G1756*100</f>
        <v>37.219970326409495</v>
      </c>
      <c r="J1756" s="193"/>
      <c r="K1756" s="129"/>
      <c r="L1756" s="110"/>
      <c r="M1756" s="129"/>
      <c r="N1756" s="129"/>
      <c r="O1756" s="194"/>
      <c r="P1756" s="129"/>
      <c r="Q1756" s="129"/>
      <c r="R1756" s="200"/>
    </row>
    <row r="1757" spans="1:18" ht="27.75" customHeight="1" hidden="1">
      <c r="A1757" s="191">
        <v>4300</v>
      </c>
      <c r="B1757" s="198" t="s">
        <v>364</v>
      </c>
      <c r="C1757" s="128"/>
      <c r="D1757" s="104">
        <f>G1757+J1757+P1757+M1757</f>
        <v>0</v>
      </c>
      <c r="E1757" s="129">
        <f t="shared" si="225"/>
        <v>0</v>
      </c>
      <c r="F1757" s="105" t="e">
        <f t="shared" si="222"/>
        <v>#DIV/0!</v>
      </c>
      <c r="G1757" s="128"/>
      <c r="H1757" s="129"/>
      <c r="I1757" s="256" t="e">
        <f>H1757/G1757*100</f>
        <v>#DIV/0!</v>
      </c>
      <c r="J1757" s="193"/>
      <c r="K1757" s="129"/>
      <c r="L1757" s="110"/>
      <c r="M1757" s="129"/>
      <c r="N1757" s="129"/>
      <c r="O1757" s="194"/>
      <c r="P1757" s="129"/>
      <c r="Q1757" s="129"/>
      <c r="R1757" s="200"/>
    </row>
    <row r="1758" spans="1:18" ht="15.75" customHeight="1">
      <c r="A1758" s="186">
        <v>92695</v>
      </c>
      <c r="B1758" s="294" t="s">
        <v>929</v>
      </c>
      <c r="C1758" s="188">
        <f>SUM(C1760:C1770)</f>
        <v>181300</v>
      </c>
      <c r="D1758" s="137">
        <f>G1758+J1758+P1758+M1758</f>
        <v>181300</v>
      </c>
      <c r="E1758" s="119">
        <f>H1758+K1758+Q1758+N1758</f>
        <v>15466</v>
      </c>
      <c r="F1758" s="120">
        <f>E1758/D1758*100</f>
        <v>8.53061224489796</v>
      </c>
      <c r="G1758" s="188">
        <f>SUM(G1759:G1770)</f>
        <v>181300</v>
      </c>
      <c r="H1758" s="119">
        <f>SUM(H1759:H1770)</f>
        <v>15466</v>
      </c>
      <c r="I1758" s="214">
        <f>H1758/G1758*100</f>
        <v>8.53061224489796</v>
      </c>
      <c r="J1758" s="124"/>
      <c r="K1758" s="119"/>
      <c r="L1758" s="125"/>
      <c r="M1758" s="119"/>
      <c r="N1758" s="119"/>
      <c r="O1758" s="190"/>
      <c r="P1758" s="119"/>
      <c r="Q1758" s="119"/>
      <c r="R1758" s="283"/>
    </row>
    <row r="1759" spans="1:18" s="269" customFormat="1" ht="29.25" customHeight="1" hidden="1">
      <c r="A1759" s="267">
        <v>3240</v>
      </c>
      <c r="B1759" s="198" t="s">
        <v>930</v>
      </c>
      <c r="C1759" s="160"/>
      <c r="D1759" s="149"/>
      <c r="E1759" s="149"/>
      <c r="F1759" s="105"/>
      <c r="G1759" s="160"/>
      <c r="H1759" s="104"/>
      <c r="I1759" s="108"/>
      <c r="J1759" s="109"/>
      <c r="K1759" s="104"/>
      <c r="L1759" s="110"/>
      <c r="M1759" s="104"/>
      <c r="N1759" s="104"/>
      <c r="O1759" s="194"/>
      <c r="P1759" s="104"/>
      <c r="Q1759" s="104"/>
      <c r="R1759" s="200"/>
    </row>
    <row r="1760" spans="1:18" ht="27.75" customHeight="1" hidden="1">
      <c r="A1760" s="191">
        <v>3020</v>
      </c>
      <c r="B1760" s="198" t="s">
        <v>856</v>
      </c>
      <c r="C1760" s="128"/>
      <c r="D1760" s="104">
        <f aca="true" t="shared" si="226" ref="D1760:D1770">G1760+J1760+P1760+M1760</f>
        <v>0</v>
      </c>
      <c r="E1760" s="129">
        <f t="shared" si="225"/>
        <v>0</v>
      </c>
      <c r="F1760" s="105"/>
      <c r="G1760" s="128"/>
      <c r="H1760" s="129"/>
      <c r="I1760" s="108"/>
      <c r="J1760" s="193"/>
      <c r="K1760" s="129"/>
      <c r="L1760" s="110"/>
      <c r="M1760" s="129"/>
      <c r="N1760" s="129"/>
      <c r="O1760" s="194"/>
      <c r="P1760" s="129"/>
      <c r="Q1760" s="129"/>
      <c r="R1760" s="200"/>
    </row>
    <row r="1761" spans="1:18" ht="39.75" customHeight="1">
      <c r="A1761" s="191">
        <v>3040</v>
      </c>
      <c r="B1761" s="198" t="s">
        <v>734</v>
      </c>
      <c r="C1761" s="128">
        <v>36000</v>
      </c>
      <c r="D1761" s="104">
        <f t="shared" si="226"/>
        <v>36000</v>
      </c>
      <c r="E1761" s="129">
        <f t="shared" si="225"/>
        <v>300</v>
      </c>
      <c r="F1761" s="105">
        <f aca="true" t="shared" si="227" ref="F1761:F1776">E1761/D1761*100</f>
        <v>0.8333333333333334</v>
      </c>
      <c r="G1761" s="128">
        <v>36000</v>
      </c>
      <c r="H1761" s="129">
        <v>300</v>
      </c>
      <c r="I1761" s="256">
        <f aca="true" t="shared" si="228" ref="I1761:I1770">H1761/G1761*100</f>
        <v>0.8333333333333334</v>
      </c>
      <c r="J1761" s="193"/>
      <c r="K1761" s="129"/>
      <c r="L1761" s="110"/>
      <c r="M1761" s="129"/>
      <c r="N1761" s="129"/>
      <c r="O1761" s="194"/>
      <c r="P1761" s="129"/>
      <c r="Q1761" s="129"/>
      <c r="R1761" s="200"/>
    </row>
    <row r="1762" spans="1:18" ht="12.75">
      <c r="A1762" s="191">
        <v>3250</v>
      </c>
      <c r="B1762" s="198" t="s">
        <v>730</v>
      </c>
      <c r="C1762" s="128">
        <v>61000</v>
      </c>
      <c r="D1762" s="104">
        <f>G1762+J1762+P1762+M1762</f>
        <v>61000</v>
      </c>
      <c r="E1762" s="129">
        <f>SUM(H1762+K1762+N1762+Q1762)</f>
        <v>12055</v>
      </c>
      <c r="F1762" s="105">
        <f>E1762/D1762*100</f>
        <v>19.762295081967213</v>
      </c>
      <c r="G1762" s="128">
        <v>61000</v>
      </c>
      <c r="H1762" s="129">
        <v>12055</v>
      </c>
      <c r="I1762" s="256">
        <f t="shared" si="228"/>
        <v>19.762295081967213</v>
      </c>
      <c r="J1762" s="193"/>
      <c r="K1762" s="129"/>
      <c r="L1762" s="110"/>
      <c r="M1762" s="129"/>
      <c r="N1762" s="129"/>
      <c r="O1762" s="194"/>
      <c r="P1762" s="129"/>
      <c r="Q1762" s="129"/>
      <c r="R1762" s="200"/>
    </row>
    <row r="1763" spans="1:18" ht="24">
      <c r="A1763" s="191">
        <v>4110</v>
      </c>
      <c r="B1763" s="423" t="s">
        <v>352</v>
      </c>
      <c r="C1763" s="128">
        <v>10700</v>
      </c>
      <c r="D1763" s="104">
        <f>G1763+J1763+P1763+M1763</f>
        <v>10700</v>
      </c>
      <c r="E1763" s="129">
        <f>SUM(H1763+K1763+N1763+Q1763)</f>
        <v>0</v>
      </c>
      <c r="F1763" s="105">
        <f>E1763/D1763*100</f>
        <v>0</v>
      </c>
      <c r="G1763" s="128">
        <v>10700</v>
      </c>
      <c r="H1763" s="129"/>
      <c r="I1763" s="256">
        <f t="shared" si="228"/>
        <v>0</v>
      </c>
      <c r="J1763" s="193"/>
      <c r="K1763" s="129"/>
      <c r="L1763" s="110"/>
      <c r="M1763" s="129"/>
      <c r="N1763" s="129"/>
      <c r="O1763" s="194"/>
      <c r="P1763" s="129"/>
      <c r="Q1763" s="129"/>
      <c r="R1763" s="200"/>
    </row>
    <row r="1764" spans="1:18" ht="12.75">
      <c r="A1764" s="191">
        <v>4120</v>
      </c>
      <c r="B1764" s="423" t="s">
        <v>504</v>
      </c>
      <c r="C1764" s="128">
        <v>1500</v>
      </c>
      <c r="D1764" s="104">
        <f>G1764+J1764+P1764+M1764</f>
        <v>1500</v>
      </c>
      <c r="E1764" s="129">
        <f>SUM(H1764+K1764+N1764+Q1764)</f>
        <v>0</v>
      </c>
      <c r="F1764" s="105">
        <f>E1764/D1764*100</f>
        <v>0</v>
      </c>
      <c r="G1764" s="128">
        <v>1500</v>
      </c>
      <c r="H1764" s="129"/>
      <c r="I1764" s="256">
        <f t="shared" si="228"/>
        <v>0</v>
      </c>
      <c r="J1764" s="193"/>
      <c r="K1764" s="129"/>
      <c r="L1764" s="110"/>
      <c r="M1764" s="129"/>
      <c r="N1764" s="129"/>
      <c r="O1764" s="194"/>
      <c r="P1764" s="129"/>
      <c r="Q1764" s="129"/>
      <c r="R1764" s="200"/>
    </row>
    <row r="1765" spans="1:18" ht="27" customHeight="1">
      <c r="A1765" s="191">
        <v>4210</v>
      </c>
      <c r="B1765" s="198" t="s">
        <v>612</v>
      </c>
      <c r="C1765" s="128">
        <v>26000</v>
      </c>
      <c r="D1765" s="104">
        <f t="shared" si="226"/>
        <v>26000</v>
      </c>
      <c r="E1765" s="129">
        <f t="shared" si="225"/>
        <v>1543</v>
      </c>
      <c r="F1765" s="105">
        <f t="shared" si="227"/>
        <v>5.934615384615385</v>
      </c>
      <c r="G1765" s="128">
        <v>26000</v>
      </c>
      <c r="H1765" s="129">
        <v>1543</v>
      </c>
      <c r="I1765" s="256">
        <f t="shared" si="228"/>
        <v>5.934615384615385</v>
      </c>
      <c r="J1765" s="193"/>
      <c r="K1765" s="129"/>
      <c r="L1765" s="110"/>
      <c r="M1765" s="129"/>
      <c r="N1765" s="129"/>
      <c r="O1765" s="194"/>
      <c r="P1765" s="129"/>
      <c r="Q1765" s="129"/>
      <c r="R1765" s="200"/>
    </row>
    <row r="1766" spans="1:18" ht="28.5" customHeight="1">
      <c r="A1766" s="191">
        <v>4210</v>
      </c>
      <c r="B1766" s="198" t="s">
        <v>931</v>
      </c>
      <c r="C1766" s="128">
        <v>24500</v>
      </c>
      <c r="D1766" s="104">
        <f t="shared" si="226"/>
        <v>21100</v>
      </c>
      <c r="E1766" s="129">
        <f t="shared" si="225"/>
        <v>518</v>
      </c>
      <c r="F1766" s="105">
        <f t="shared" si="227"/>
        <v>2.454976303317536</v>
      </c>
      <c r="G1766" s="128">
        <f>24500-3400</f>
        <v>21100</v>
      </c>
      <c r="H1766" s="129">
        <v>518</v>
      </c>
      <c r="I1766" s="256">
        <f t="shared" si="228"/>
        <v>2.454976303317536</v>
      </c>
      <c r="J1766" s="193"/>
      <c r="K1766" s="129"/>
      <c r="L1766" s="110"/>
      <c r="M1766" s="129"/>
      <c r="N1766" s="129"/>
      <c r="O1766" s="194"/>
      <c r="P1766" s="129"/>
      <c r="Q1766" s="129"/>
      <c r="R1766" s="200"/>
    </row>
    <row r="1767" spans="1:18" ht="28.5" customHeight="1">
      <c r="A1767" s="191">
        <v>4300</v>
      </c>
      <c r="B1767" s="198" t="s">
        <v>932</v>
      </c>
      <c r="C1767" s="128">
        <v>10340</v>
      </c>
      <c r="D1767" s="104">
        <f>G1767+J1767+P1767+M1767</f>
        <v>13740</v>
      </c>
      <c r="E1767" s="129">
        <f>SUM(H1767+K1767+N1767+Q1767)</f>
        <v>1050</v>
      </c>
      <c r="F1767" s="105">
        <f>E1767/D1767*100</f>
        <v>7.641921397379912</v>
      </c>
      <c r="G1767" s="128">
        <f>10340+3400</f>
        <v>13740</v>
      </c>
      <c r="H1767" s="129">
        <v>1050</v>
      </c>
      <c r="I1767" s="256">
        <f t="shared" si="228"/>
        <v>7.641921397379912</v>
      </c>
      <c r="J1767" s="193"/>
      <c r="K1767" s="129"/>
      <c r="L1767" s="110"/>
      <c r="M1767" s="129"/>
      <c r="N1767" s="129"/>
      <c r="O1767" s="194"/>
      <c r="P1767" s="129"/>
      <c r="Q1767" s="129"/>
      <c r="R1767" s="200"/>
    </row>
    <row r="1768" spans="1:18" ht="24">
      <c r="A1768" s="191">
        <v>4300</v>
      </c>
      <c r="B1768" s="198" t="s">
        <v>364</v>
      </c>
      <c r="C1768" s="128">
        <v>11000</v>
      </c>
      <c r="D1768" s="104">
        <f t="shared" si="226"/>
        <v>11000</v>
      </c>
      <c r="E1768" s="129">
        <f t="shared" si="225"/>
        <v>0</v>
      </c>
      <c r="F1768" s="105">
        <f t="shared" si="227"/>
        <v>0</v>
      </c>
      <c r="G1768" s="128">
        <v>11000</v>
      </c>
      <c r="H1768" s="129"/>
      <c r="I1768" s="256">
        <f t="shared" si="228"/>
        <v>0</v>
      </c>
      <c r="J1768" s="193"/>
      <c r="K1768" s="129"/>
      <c r="L1768" s="110"/>
      <c r="M1768" s="129"/>
      <c r="N1768" s="129"/>
      <c r="O1768" s="194"/>
      <c r="P1768" s="129"/>
      <c r="Q1768" s="129"/>
      <c r="R1768" s="200"/>
    </row>
    <row r="1769" spans="1:18" ht="60" hidden="1">
      <c r="A1769" s="267">
        <v>4740</v>
      </c>
      <c r="B1769" s="291" t="s">
        <v>933</v>
      </c>
      <c r="C1769" s="128"/>
      <c r="D1769" s="104">
        <f>G1769+J1769+P1769+M1769</f>
        <v>0</v>
      </c>
      <c r="E1769" s="129">
        <f>SUM(H1769+K1769+N1769+Q1769)</f>
        <v>0</v>
      </c>
      <c r="F1769" s="105" t="e">
        <f>E1769/D1769*100</f>
        <v>#DIV/0!</v>
      </c>
      <c r="G1769" s="128"/>
      <c r="H1769" s="129"/>
      <c r="I1769" s="256" t="e">
        <f t="shared" si="228"/>
        <v>#DIV/0!</v>
      </c>
      <c r="J1769" s="193"/>
      <c r="K1769" s="129"/>
      <c r="L1769" s="110"/>
      <c r="M1769" s="129"/>
      <c r="N1769" s="129"/>
      <c r="O1769" s="194"/>
      <c r="P1769" s="129"/>
      <c r="Q1769" s="129"/>
      <c r="R1769" s="200"/>
    </row>
    <row r="1770" spans="1:18" ht="24" customHeight="1" thickBot="1">
      <c r="A1770" s="191">
        <v>4430</v>
      </c>
      <c r="B1770" s="198" t="s">
        <v>934</v>
      </c>
      <c r="C1770" s="128">
        <v>260</v>
      </c>
      <c r="D1770" s="104">
        <f t="shared" si="226"/>
        <v>260</v>
      </c>
      <c r="E1770" s="129">
        <f t="shared" si="225"/>
        <v>0</v>
      </c>
      <c r="F1770" s="105">
        <f t="shared" si="227"/>
        <v>0</v>
      </c>
      <c r="G1770" s="128">
        <v>260</v>
      </c>
      <c r="H1770" s="129"/>
      <c r="I1770" s="256">
        <f t="shared" si="228"/>
        <v>0</v>
      </c>
      <c r="J1770" s="193"/>
      <c r="K1770" s="129"/>
      <c r="L1770" s="110"/>
      <c r="M1770" s="129"/>
      <c r="N1770" s="129"/>
      <c r="O1770" s="194"/>
      <c r="P1770" s="129"/>
      <c r="Q1770" s="129"/>
      <c r="R1770" s="200"/>
    </row>
    <row r="1771" spans="1:18" s="534" customFormat="1" ht="15" customHeight="1" thickTop="1">
      <c r="A1771" s="529"/>
      <c r="B1771" s="530" t="s">
        <v>935</v>
      </c>
      <c r="C1771" s="331">
        <f>C8+C35+C45+C38+C224+C1549+C187+C563+C932+C1603+C946+C1003+C1740+C159+C258+C437+C476+C550+C555+C1338+C530+C1311+C470</f>
        <v>329931255</v>
      </c>
      <c r="D1771" s="91">
        <f>G1771+J1771+P1771+M1771</f>
        <v>337858117</v>
      </c>
      <c r="E1771" s="91">
        <f>E8+E35+E45+E38+E224+E1549+E187+E563+E932+E1603+E946+E1003+E1740+E159+E258+E437+E476+E550+E555+E1338+E530+E1311+E470</f>
        <v>72911008</v>
      </c>
      <c r="F1771" s="531">
        <f t="shared" si="227"/>
        <v>21.58036297822615</v>
      </c>
      <c r="G1771" s="331">
        <f>G8+G35+G45+G38+G224+G1549+G187+G563+G932+G1603+G946+G1003+G1740+G159+G258+G437+G476+G550+G555+G1338+G1311+G530+G470</f>
        <v>208492166</v>
      </c>
      <c r="H1771" s="91">
        <f>H8+H35+H45+H38+H224+H1549+H187+H563+H932+H1603+H946+H1003+H1740+H159+H258+H437+H476+H550+H555+H1338+H530+H1311+H470</f>
        <v>42873994</v>
      </c>
      <c r="I1771" s="378">
        <f>H1771/G1771*100</f>
        <v>20.563839314710748</v>
      </c>
      <c r="J1771" s="332">
        <f>J8+J35+J45+J38+J224+J1549+J187+J563+J932+J1603+J946+J1003+J1740+J159+J258+J437+J476+J550+J555+J1338+J1311+J530+J470</f>
        <v>20754917</v>
      </c>
      <c r="K1771" s="91">
        <f>K8+K35+K45+K38+K224+K1549+K187+K563+K932+K1603+K946+K1003+K1740+K159+K258+K437+K476+K550+K555+K1338+K1311+K530+K470</f>
        <v>4988738</v>
      </c>
      <c r="L1771" s="532">
        <f>K1771/J1771*100</f>
        <v>24.036415081785197</v>
      </c>
      <c r="M1771" s="331">
        <f>M8+M35+M45+M38+M224+M1549+M187+M563+M932+M1603+M946+M1003+M1740+M159+M258+M437+M476+M550+M555+M1338+M1311+M530+M470</f>
        <v>99937848</v>
      </c>
      <c r="N1771" s="533">
        <f>N8+N35+N45+N38+N224+N1549+N187+N563+N932+N1603+N946+N1003+N1740+N159+N258+N437+N476+N550+N555+N1338+N530+N1311+N470</f>
        <v>22973021</v>
      </c>
      <c r="O1771" s="532">
        <f>N1771/M1771*100</f>
        <v>22.987308071712732</v>
      </c>
      <c r="P1771" s="333">
        <f>P8+P35+P45+P38+P224+P1549+P187+P563+P932+P1603+P946+P1003+P1740+P159+P258+P437+P476+P550+P555+P1338+P1311+P530+P470</f>
        <v>8673186</v>
      </c>
      <c r="Q1771" s="91">
        <f>Q8+Q35+Q45+Q38+Q224+Q1549+Q187+Q563+Q932+Q1603+Q946+Q1003+Q1740+Q159+Q258+Q437+Q476+Q550+Q555+Q1338+Q1311+Q530+Q470</f>
        <v>2075255</v>
      </c>
      <c r="R1771" s="95">
        <f>Q1771/P1771*100</f>
        <v>23.927251185435203</v>
      </c>
    </row>
    <row r="1772" spans="1:18" s="539" customFormat="1" ht="15" customHeight="1">
      <c r="A1772" s="535"/>
      <c r="B1772" s="536" t="s">
        <v>936</v>
      </c>
      <c r="C1772" s="300">
        <f>301369145+24600</f>
        <v>301393745</v>
      </c>
      <c r="D1772" s="301">
        <f>G1772+M1772</f>
        <v>308430014</v>
      </c>
      <c r="E1772" s="301">
        <f>H1772+N1772</f>
        <v>65847015</v>
      </c>
      <c r="F1772" s="163">
        <f t="shared" si="227"/>
        <v>21.34909444967311</v>
      </c>
      <c r="G1772" s="300">
        <f>G1771</f>
        <v>208492166</v>
      </c>
      <c r="H1772" s="301">
        <f>H1771</f>
        <v>42873994</v>
      </c>
      <c r="I1772" s="256">
        <f>H1772/G1772*100</f>
        <v>20.563839314710748</v>
      </c>
      <c r="J1772" s="537"/>
      <c r="K1772" s="301"/>
      <c r="L1772" s="538"/>
      <c r="M1772" s="300">
        <f>M1771</f>
        <v>99937848</v>
      </c>
      <c r="N1772" s="301">
        <f>N1771</f>
        <v>22973021</v>
      </c>
      <c r="O1772" s="108"/>
      <c r="P1772" s="302"/>
      <c r="Q1772" s="301"/>
      <c r="R1772" s="217"/>
    </row>
    <row r="1773" spans="1:18" s="254" customFormat="1" ht="12">
      <c r="A1773" s="540"/>
      <c r="B1773" s="541" t="s">
        <v>937</v>
      </c>
      <c r="C1773" s="355"/>
      <c r="D1773" s="356"/>
      <c r="E1773" s="356"/>
      <c r="F1773" s="105"/>
      <c r="G1773" s="542"/>
      <c r="H1773" s="356"/>
      <c r="I1773" s="256"/>
      <c r="J1773" s="542"/>
      <c r="K1773" s="356"/>
      <c r="L1773" s="543"/>
      <c r="M1773" s="542"/>
      <c r="N1773" s="356"/>
      <c r="O1773" s="162"/>
      <c r="P1773" s="357"/>
      <c r="Q1773" s="356"/>
      <c r="R1773" s="108"/>
    </row>
    <row r="1774" spans="1:18" s="254" customFormat="1" ht="48">
      <c r="A1774" s="540"/>
      <c r="B1774" s="544" t="s">
        <v>938</v>
      </c>
      <c r="C1774" s="355">
        <f>16600+8000</f>
        <v>24600</v>
      </c>
      <c r="D1774" s="356">
        <f>G1774+J1774+M1774+P1774</f>
        <v>24600</v>
      </c>
      <c r="E1774" s="356">
        <f>H1774+K1774+N1774+Q1774</f>
        <v>0</v>
      </c>
      <c r="F1774" s="163">
        <f t="shared" si="227"/>
        <v>0</v>
      </c>
      <c r="G1774" s="542">
        <f>G253</f>
        <v>16600</v>
      </c>
      <c r="H1774" s="356">
        <f>H253</f>
        <v>0</v>
      </c>
      <c r="I1774" s="256">
        <f>H1774/G1774*100</f>
        <v>0</v>
      </c>
      <c r="J1774" s="542"/>
      <c r="K1774" s="356"/>
      <c r="L1774" s="543"/>
      <c r="M1774" s="542">
        <f>M369</f>
        <v>8000</v>
      </c>
      <c r="N1774" s="356">
        <f>N369</f>
        <v>0</v>
      </c>
      <c r="O1774" s="256">
        <f>N1774/M1774*100</f>
        <v>0</v>
      </c>
      <c r="P1774" s="357"/>
      <c r="Q1774" s="356"/>
      <c r="R1774" s="108"/>
    </row>
    <row r="1775" spans="1:18" s="254" customFormat="1" ht="48">
      <c r="A1775" s="540"/>
      <c r="B1775" s="544" t="s">
        <v>939</v>
      </c>
      <c r="C1775" s="355"/>
      <c r="D1775" s="356">
        <f>G1775+J1775+M1775+P1775</f>
        <v>2933164</v>
      </c>
      <c r="E1775" s="356">
        <f>H1775+K1775+N1775+Q1775</f>
        <v>763991</v>
      </c>
      <c r="F1775" s="163">
        <f t="shared" si="227"/>
        <v>26.046651329417653</v>
      </c>
      <c r="G1775" s="542">
        <f>G186+G1061</f>
        <v>800000</v>
      </c>
      <c r="H1775" s="356">
        <f>H186+H1061</f>
        <v>202399</v>
      </c>
      <c r="I1775" s="256">
        <f>H1775/G1775*100</f>
        <v>25.299875</v>
      </c>
      <c r="J1775" s="542"/>
      <c r="K1775" s="356"/>
      <c r="L1775" s="543"/>
      <c r="M1775" s="542">
        <f>M270+M1005+M1155</f>
        <v>2133164</v>
      </c>
      <c r="N1775" s="356">
        <f>N270+N1005+N1155</f>
        <v>561592</v>
      </c>
      <c r="O1775" s="108">
        <f>N1775/M1775*100</f>
        <v>26.326714682977965</v>
      </c>
      <c r="P1775" s="357"/>
      <c r="Q1775" s="356"/>
      <c r="R1775" s="108"/>
    </row>
    <row r="1776" spans="1:18" s="539" customFormat="1" ht="15" customHeight="1" thickBot="1">
      <c r="A1776" s="545"/>
      <c r="B1776" s="546" t="s">
        <v>940</v>
      </c>
      <c r="C1776" s="547">
        <v>28537510</v>
      </c>
      <c r="D1776" s="548">
        <f>J1776+P1776</f>
        <v>29428103</v>
      </c>
      <c r="E1776" s="548">
        <f>K1776+Q1776</f>
        <v>7063993</v>
      </c>
      <c r="F1776" s="413">
        <f t="shared" si="227"/>
        <v>24.00424179567402</v>
      </c>
      <c r="G1776" s="547"/>
      <c r="H1776" s="548"/>
      <c r="I1776" s="549"/>
      <c r="J1776" s="547">
        <f>J1771</f>
        <v>20754917</v>
      </c>
      <c r="K1776" s="548">
        <f>K1771</f>
        <v>4988738</v>
      </c>
      <c r="L1776" s="550"/>
      <c r="M1776" s="547"/>
      <c r="N1776" s="551"/>
      <c r="O1776" s="552"/>
      <c r="P1776" s="553">
        <f>P1771</f>
        <v>8673186</v>
      </c>
      <c r="Q1776" s="548">
        <f>Q1771</f>
        <v>2075255</v>
      </c>
      <c r="R1776" s="554"/>
    </row>
    <row r="1777" spans="1:14" ht="13.5" thickTop="1">
      <c r="A1777" s="1038" t="s">
        <v>312</v>
      </c>
      <c r="M1777" s="12"/>
      <c r="N1777" s="12"/>
    </row>
    <row r="1778" ht="12.75">
      <c r="A1778" s="1038" t="s">
        <v>310</v>
      </c>
    </row>
    <row r="1779" ht="12.75">
      <c r="A1779" s="1038" t="s">
        <v>314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31">
      <selection activeCell="A36" sqref="A36"/>
    </sheetView>
  </sheetViews>
  <sheetFormatPr defaultColWidth="9.00390625" defaultRowHeight="12.75"/>
  <cols>
    <col min="1" max="1" width="38.25390625" style="1037" customWidth="1"/>
    <col min="2" max="3" width="19.75390625" style="1006" customWidth="1"/>
    <col min="4" max="16384" width="9.125" style="1007" customWidth="1"/>
  </cols>
  <sheetData>
    <row r="1" ht="15.75">
      <c r="A1" s="1005" t="s">
        <v>281</v>
      </c>
    </row>
    <row r="2" ht="15">
      <c r="A2" s="1008" t="s">
        <v>311</v>
      </c>
    </row>
    <row r="3" ht="13.5" thickBot="1">
      <c r="A3" s="1007"/>
    </row>
    <row r="4" spans="1:3" s="1012" customFormat="1" ht="27.75" customHeight="1">
      <c r="A4" s="1009" t="s">
        <v>325</v>
      </c>
      <c r="B4" s="1010" t="s">
        <v>330</v>
      </c>
      <c r="C4" s="1011" t="s">
        <v>328</v>
      </c>
    </row>
    <row r="5" spans="1:3" s="1016" customFormat="1" ht="10.5" customHeight="1" thickBot="1">
      <c r="A5" s="1013">
        <v>1</v>
      </c>
      <c r="B5" s="1014">
        <v>2</v>
      </c>
      <c r="C5" s="1015">
        <v>3</v>
      </c>
    </row>
    <row r="6" spans="1:3" s="1005" customFormat="1" ht="21" customHeight="1">
      <c r="A6" s="1017" t="s">
        <v>282</v>
      </c>
      <c r="B6" s="1018">
        <v>299712187</v>
      </c>
      <c r="C6" s="1019">
        <v>85549558.27</v>
      </c>
    </row>
    <row r="7" spans="1:3" s="1005" customFormat="1" ht="21" customHeight="1">
      <c r="A7" s="1020" t="s">
        <v>283</v>
      </c>
      <c r="B7" s="1021">
        <f>SUM(B8:B9)</f>
        <v>337858117</v>
      </c>
      <c r="C7" s="1022">
        <f>SUM(C8:C9)</f>
        <v>72911008.38</v>
      </c>
    </row>
    <row r="8" spans="1:3" ht="15" customHeight="1">
      <c r="A8" s="1023" t="s">
        <v>284</v>
      </c>
      <c r="B8" s="1024">
        <v>262180158</v>
      </c>
      <c r="C8" s="1025">
        <v>64674608.8</v>
      </c>
    </row>
    <row r="9" spans="1:3" ht="15" customHeight="1">
      <c r="A9" s="1023" t="s">
        <v>285</v>
      </c>
      <c r="B9" s="1024">
        <v>75677959</v>
      </c>
      <c r="C9" s="1025">
        <v>8236399.58</v>
      </c>
    </row>
    <row r="10" spans="1:3" s="1005" customFormat="1" ht="21" customHeight="1">
      <c r="A10" s="1020" t="s">
        <v>286</v>
      </c>
      <c r="B10" s="1021">
        <f>B6-B7</f>
        <v>-38145930</v>
      </c>
      <c r="C10" s="1022">
        <f>C6-C7</f>
        <v>12638549.89</v>
      </c>
    </row>
    <row r="11" spans="1:3" s="1005" customFormat="1" ht="21" customHeight="1">
      <c r="A11" s="1020" t="s">
        <v>287</v>
      </c>
      <c r="B11" s="1021">
        <f>B12-B25</f>
        <v>38145930</v>
      </c>
      <c r="C11" s="1022">
        <f>C12-C25</f>
        <v>27876865.130000003</v>
      </c>
    </row>
    <row r="12" spans="1:3" s="1029" customFormat="1" ht="15" customHeight="1">
      <c r="A12" s="1026" t="s">
        <v>288</v>
      </c>
      <c r="B12" s="1027">
        <f>B13+B15+B16+B18+B20+B22+B23</f>
        <v>48207130</v>
      </c>
      <c r="C12" s="1028">
        <f>C13+C23</f>
        <v>29902214.76</v>
      </c>
    </row>
    <row r="13" spans="1:3" ht="15" customHeight="1">
      <c r="A13" s="1023" t="s">
        <v>289</v>
      </c>
      <c r="B13" s="1024">
        <v>25000000</v>
      </c>
      <c r="C13" s="1025"/>
    </row>
    <row r="14" spans="1:3" ht="51">
      <c r="A14" s="1030" t="s">
        <v>290</v>
      </c>
      <c r="B14" s="1024"/>
      <c r="C14" s="1025"/>
    </row>
    <row r="15" spans="1:3" ht="15" customHeight="1">
      <c r="A15" s="1031" t="s">
        <v>291</v>
      </c>
      <c r="B15" s="1032">
        <v>0</v>
      </c>
      <c r="C15" s="1033">
        <v>0</v>
      </c>
    </row>
    <row r="16" spans="1:3" ht="15" customHeight="1">
      <c r="A16" s="1031" t="s">
        <v>292</v>
      </c>
      <c r="B16" s="1032">
        <v>0</v>
      </c>
      <c r="C16" s="1033">
        <v>0</v>
      </c>
    </row>
    <row r="17" spans="1:3" ht="15" customHeight="1">
      <c r="A17" s="1023" t="s">
        <v>293</v>
      </c>
      <c r="B17" s="1032">
        <v>0</v>
      </c>
      <c r="C17" s="1033">
        <v>0</v>
      </c>
    </row>
    <row r="18" spans="1:3" ht="15" customHeight="1">
      <c r="A18" s="1023" t="s">
        <v>294</v>
      </c>
      <c r="B18" s="1032">
        <v>0</v>
      </c>
      <c r="C18" s="1033">
        <v>0</v>
      </c>
    </row>
    <row r="19" spans="1:3" ht="51">
      <c r="A19" s="1030" t="s">
        <v>295</v>
      </c>
      <c r="B19" s="1032">
        <v>0</v>
      </c>
      <c r="C19" s="1033">
        <v>0</v>
      </c>
    </row>
    <row r="20" spans="1:3" ht="25.5">
      <c r="A20" s="1023" t="s">
        <v>296</v>
      </c>
      <c r="B20" s="1032">
        <v>0</v>
      </c>
      <c r="C20" s="1033">
        <v>0</v>
      </c>
    </row>
    <row r="21" spans="1:3" ht="51">
      <c r="A21" s="1030" t="s">
        <v>297</v>
      </c>
      <c r="B21" s="1032">
        <v>0</v>
      </c>
      <c r="C21" s="1033">
        <v>0</v>
      </c>
    </row>
    <row r="22" spans="1:3" ht="15" customHeight="1">
      <c r="A22" s="1023" t="s">
        <v>298</v>
      </c>
      <c r="B22" s="1032">
        <v>0</v>
      </c>
      <c r="C22" s="1033">
        <v>0</v>
      </c>
    </row>
    <row r="23" spans="1:3" ht="15" customHeight="1">
      <c r="A23" s="1023" t="s">
        <v>299</v>
      </c>
      <c r="B23" s="1024">
        <f>B24</f>
        <v>23207130</v>
      </c>
      <c r="C23" s="1025">
        <v>29902214.76</v>
      </c>
    </row>
    <row r="24" spans="1:3" ht="15" customHeight="1">
      <c r="A24" s="1023" t="s">
        <v>300</v>
      </c>
      <c r="B24" s="1024">
        <v>23207130</v>
      </c>
      <c r="C24" s="1025"/>
    </row>
    <row r="25" spans="1:3" s="1029" customFormat="1" ht="15" customHeight="1">
      <c r="A25" s="1026" t="s">
        <v>301</v>
      </c>
      <c r="B25" s="1027">
        <f>B26</f>
        <v>10061200</v>
      </c>
      <c r="C25" s="1028">
        <f>C26+C33</f>
        <v>2025349.63</v>
      </c>
    </row>
    <row r="26" spans="1:3" ht="15" customHeight="1">
      <c r="A26" s="1023" t="s">
        <v>302</v>
      </c>
      <c r="B26" s="1024">
        <v>10061200</v>
      </c>
      <c r="C26" s="1025">
        <v>2025349.63</v>
      </c>
    </row>
    <row r="27" spans="1:3" ht="51">
      <c r="A27" s="1030" t="s">
        <v>303</v>
      </c>
      <c r="B27" s="1024"/>
      <c r="C27" s="1025"/>
    </row>
    <row r="28" spans="1:3" ht="15" customHeight="1">
      <c r="A28" s="1023" t="s">
        <v>304</v>
      </c>
      <c r="B28" s="1032">
        <v>0</v>
      </c>
      <c r="C28" s="1033">
        <v>0</v>
      </c>
    </row>
    <row r="29" spans="1:3" ht="15" customHeight="1">
      <c r="A29" s="1023" t="s">
        <v>305</v>
      </c>
      <c r="B29" s="1032">
        <v>0</v>
      </c>
      <c r="C29" s="1033">
        <v>0</v>
      </c>
    </row>
    <row r="30" spans="1:3" ht="51">
      <c r="A30" s="1030" t="s">
        <v>306</v>
      </c>
      <c r="B30" s="1032">
        <v>0</v>
      </c>
      <c r="C30" s="1033">
        <v>0</v>
      </c>
    </row>
    <row r="31" spans="1:3" ht="15" customHeight="1">
      <c r="A31" s="1023" t="s">
        <v>307</v>
      </c>
      <c r="B31" s="1032">
        <v>0</v>
      </c>
      <c r="C31" s="1033">
        <v>0</v>
      </c>
    </row>
    <row r="32" spans="1:3" ht="51">
      <c r="A32" s="1030" t="s">
        <v>308</v>
      </c>
      <c r="B32" s="1032">
        <v>0</v>
      </c>
      <c r="C32" s="1033">
        <v>0</v>
      </c>
    </row>
    <row r="33" spans="1:3" ht="15" customHeight="1" thickBot="1">
      <c r="A33" s="1034" t="s">
        <v>309</v>
      </c>
      <c r="B33" s="1035">
        <v>0</v>
      </c>
      <c r="C33" s="1036"/>
    </row>
    <row r="34" ht="12.75">
      <c r="A34" s="1038" t="s">
        <v>313</v>
      </c>
    </row>
    <row r="35" ht="12.75">
      <c r="A35" s="1038" t="s">
        <v>310</v>
      </c>
    </row>
    <row r="36" ht="12.75">
      <c r="A36" s="1038" t="s">
        <v>314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2008-05-12T07:30:07Z</cp:lastPrinted>
  <dcterms:created xsi:type="dcterms:W3CDTF">2008-05-09T10:25:18Z</dcterms:created>
  <dcterms:modified xsi:type="dcterms:W3CDTF">2008-05-12T07:38:40Z</dcterms:modified>
  <cp:category/>
  <cp:version/>
  <cp:contentType/>
  <cp:contentStatus/>
</cp:coreProperties>
</file>