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601" activeTab="0"/>
  </bookViews>
  <sheets>
    <sheet name="TABELA nr 4" sheetId="1" r:id="rId1"/>
  </sheets>
  <definedNames>
    <definedName name="_xlnm.Print_Titles" localSheetId="0">'TABELA nr 4'!$6:$8</definedName>
  </definedNames>
  <calcPr fullCalcOnLoad="1"/>
</workbook>
</file>

<file path=xl/sharedStrings.xml><?xml version="1.0" encoding="utf-8"?>
<sst xmlns="http://schemas.openxmlformats.org/spreadsheetml/2006/main" count="1878" uniqueCount="645">
  <si>
    <t>Referenda ogólnokrajowe i konstytucyjne</t>
  </si>
  <si>
    <t>OBRONA NARODOWA</t>
  </si>
  <si>
    <t>Pozostałe wydatki obronne</t>
  </si>
  <si>
    <t>Zakup pomocy nauk., dydaktycznych i książek</t>
  </si>
  <si>
    <t>BEZPIECZEŃSTWO PUBLICZNE I OCHRONA PRZECIWPOŻAROWA</t>
  </si>
  <si>
    <t>Komendy powiatowe Policji</t>
  </si>
  <si>
    <t>Wpłaty jednostek na fundusz celowy</t>
  </si>
  <si>
    <t>Komendy powiatowe Państwowej Straży Pożarnej</t>
  </si>
  <si>
    <t>Wydatki osobowe niezaliczane do uposażeń wypłacane żołnierzom i funkcjonariuszom</t>
  </si>
  <si>
    <t xml:space="preserve">Wynagrodzenia osobowe pracowników </t>
  </si>
  <si>
    <t>Równoważniki pieniężne i ekwiwalenty dla żołnierzy i funkcjonariuszy</t>
  </si>
  <si>
    <t>Zakup sprzętu i ubrojenia</t>
  </si>
  <si>
    <t>Zakup środków żywności</t>
  </si>
  <si>
    <t>Zakup sprzętu i uzbrojenia</t>
  </si>
  <si>
    <t>Odpisy na ZFŚS</t>
  </si>
  <si>
    <t>Pozostałe podatki na rzecz budżetów jednostek samorządu terytorialnego</t>
  </si>
  <si>
    <t>Opłaty na rzecz budżetu państwa</t>
  </si>
  <si>
    <t>Ochotnicze straże pożarne</t>
  </si>
  <si>
    <t>Dotacja celowa z budżetu  lub dofinansowanie zadań zleconych do realizacji stowarzyszeniom</t>
  </si>
  <si>
    <t>Obrona cywilna</t>
  </si>
  <si>
    <r>
      <t xml:space="preserve">Wydatki na zakupy inwestycyjne jednostek budżetowych - </t>
    </r>
    <r>
      <rPr>
        <i/>
        <sz val="9"/>
        <rFont val="Times New Roman CE"/>
        <family val="1"/>
      </rPr>
      <t>zakup projektu multimedialnego</t>
    </r>
  </si>
  <si>
    <r>
      <t>Zakup pozostałych usług -</t>
    </r>
    <r>
      <rPr>
        <sz val="8"/>
        <rFont val="Times New Roman CE"/>
        <family val="1"/>
      </rPr>
      <t xml:space="preserve"> </t>
    </r>
    <r>
      <rPr>
        <i/>
        <sz val="8"/>
        <rFont val="Times New Roman CE"/>
        <family val="1"/>
      </rPr>
      <t>Zintegrowany System Ratownictwa</t>
    </r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</si>
  <si>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</si>
  <si>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</si>
  <si>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r>
      <t xml:space="preserve">Wynagrodzenia osobowe pracowników - IK </t>
    </r>
    <r>
      <rPr>
        <i/>
        <sz val="9"/>
        <rFont val="Times New Roman CE"/>
        <family val="1"/>
      </rPr>
      <t>(inkasenci)</t>
    </r>
  </si>
  <si>
    <r>
      <t>Wynagrodzenia agencyjno - prowizyjne -</t>
    </r>
    <r>
      <rPr>
        <i/>
        <sz val="9"/>
        <rFont val="Times New Roman CE"/>
        <family val="1"/>
      </rPr>
      <t xml:space="preserve"> Fk</t>
    </r>
  </si>
  <si>
    <r>
      <t>Wynagrodzenia agencyjno - prowizyjne</t>
    </r>
    <r>
      <rPr>
        <i/>
        <sz val="9"/>
        <rFont val="Times New Roman CE"/>
        <family val="1"/>
      </rPr>
      <t xml:space="preserve"> IK</t>
    </r>
  </si>
  <si>
    <r>
      <t xml:space="preserve">Składki na ubezpieczenia społeczne -  </t>
    </r>
    <r>
      <rPr>
        <i/>
        <sz val="9"/>
        <rFont val="Times New Roman CE"/>
        <family val="1"/>
      </rPr>
      <t>IK</t>
    </r>
  </si>
  <si>
    <t>GMINA  ZLECONE                                                                 I  POROZUMIENIA</t>
  </si>
  <si>
    <t>POWIAT ZLECONE                        I  POROZUMIENIA</t>
  </si>
  <si>
    <t xml:space="preserve"> WYKONANIE   PLANU   WYDATKÓW   MIASTA   KOSZALINA   ZA  I  PÓŁROCZE   2008   ROKU                                                                                                    </t>
  </si>
  <si>
    <t>Tabela nr 4</t>
  </si>
  <si>
    <r>
      <t>Składki na ubezpieczenia społeczne -</t>
    </r>
    <r>
      <rPr>
        <i/>
        <sz val="9"/>
        <rFont val="Times New Roman CE"/>
        <family val="1"/>
      </rPr>
      <t xml:space="preserve"> Fk</t>
    </r>
  </si>
  <si>
    <r>
      <t>Składki na FP -</t>
    </r>
    <r>
      <rPr>
        <i/>
        <sz val="9"/>
        <rFont val="Times New Roman CE"/>
        <family val="1"/>
      </rPr>
      <t xml:space="preserve"> IK</t>
    </r>
  </si>
  <si>
    <r>
      <t xml:space="preserve">Składki na FP - </t>
    </r>
    <r>
      <rPr>
        <i/>
        <sz val="9"/>
        <rFont val="Times New Roman CE"/>
        <family val="1"/>
      </rPr>
      <t xml:space="preserve"> Fk</t>
    </r>
  </si>
  <si>
    <t>Wynagrodzenia bezosobowe - IK</t>
  </si>
  <si>
    <r>
      <t>Zakup usług pozostałych -</t>
    </r>
    <r>
      <rPr>
        <i/>
        <sz val="9"/>
        <rFont val="Times New Roman CE"/>
        <family val="1"/>
      </rPr>
      <t xml:space="preserve"> Fk</t>
    </r>
  </si>
  <si>
    <r>
      <t xml:space="preserve">Zakup usług pozostałych - </t>
    </r>
    <r>
      <rPr>
        <i/>
        <sz val="9"/>
        <rFont val="Times New Roman CE"/>
        <family val="1"/>
      </rPr>
      <t>IK</t>
    </r>
  </si>
  <si>
    <t>OBSŁUGA DŁUGU PUBLICZNEGO</t>
  </si>
  <si>
    <t>RÓŻNE ROZLICZENIA</t>
  </si>
  <si>
    <t>Część równoważąca subwencji ogólnej dla powiatów</t>
  </si>
  <si>
    <t>Wpłaty jednostek samorządu terytorialnego do budżetu państwa</t>
  </si>
  <si>
    <t>Rezerwy ogólne i celowe</t>
  </si>
  <si>
    <t>Rezerwa ogólna do 1% wydatków</t>
  </si>
  <si>
    <t>OŚWIATA I WYCHOWANIE</t>
  </si>
  <si>
    <t>Szkoły podstawowe</t>
  </si>
  <si>
    <t>Dotacja podmiotowa z budżetu dla niepublicznej jednostki systemu oświaty</t>
  </si>
  <si>
    <t>Zakupy pomocy naukowych, dydaktycznych i książek</t>
  </si>
  <si>
    <t>Zakup usług dostępu do sieci Internet</t>
  </si>
  <si>
    <t>Wydatki na zakupy inwestycyjne jednostek budżetowych</t>
  </si>
  <si>
    <t>Szkoły podstawowe specjalne</t>
  </si>
  <si>
    <t>Składki na ubezpieczenia zdrowotne</t>
  </si>
  <si>
    <t>Oddziały przedszkolne w szkołach podstawowych</t>
  </si>
  <si>
    <t>Wydatki osobowe nie zaliczone do wynagrodzeń</t>
  </si>
  <si>
    <t xml:space="preserve">Przedszkola </t>
  </si>
  <si>
    <t>Przedszkola specjalne</t>
  </si>
  <si>
    <t>Zakup pomocy naukowych, dydakt. i książek</t>
  </si>
  <si>
    <t>Gimnazja</t>
  </si>
  <si>
    <t>Gimnazja specjalne</t>
  </si>
  <si>
    <t>Licea ogólnokształcące</t>
  </si>
  <si>
    <t>na podstawie porozumień z organami administracji rządowej</t>
  </si>
  <si>
    <t>Dotacja podmiotowa dla niepublicznej szkoły lub innej placówki oświatowo-wychowawczej</t>
  </si>
  <si>
    <t>Zakup usług remont. KS</t>
  </si>
  <si>
    <t>Licea profilowane</t>
  </si>
  <si>
    <t xml:space="preserve">Szkoły zawodowe </t>
  </si>
  <si>
    <t>Zasądzone renty</t>
  </si>
  <si>
    <t>Wpłata na PFRON</t>
  </si>
  <si>
    <t>Szkoły pomaturalne i policealne</t>
  </si>
  <si>
    <t>Szkoły zawodowe specjalne</t>
  </si>
  <si>
    <t>Centrum Kształcenia Ustawicznego i Praktycznego oraz Ośrodki Dokształcania Zawodowego</t>
  </si>
  <si>
    <t>Komisje egzaminacyjne</t>
  </si>
  <si>
    <t>Dokształcanie i doskonalenie nauczycieli</t>
  </si>
  <si>
    <t>Dotacja podmiotowa dla zakładu budżetowego</t>
  </si>
  <si>
    <r>
      <t>Zakup usług pozostałych -</t>
    </r>
    <r>
      <rPr>
        <i/>
        <sz val="9"/>
        <rFont val="Times New Roman CE"/>
        <family val="1"/>
      </rPr>
      <t xml:space="preserve"> doskonalenie</t>
    </r>
  </si>
  <si>
    <t>Odpis na ZFŚS emerytów</t>
  </si>
  <si>
    <t>Dotacja celowa z budżetu na finansowanie i dofinansowanie zadań zleconych do realizacji stowarzyszeniom OP</t>
  </si>
  <si>
    <t xml:space="preserve">SZKOLNICTWO WYŻSZE </t>
  </si>
  <si>
    <t>Stypendia i zasiłki dla studentów</t>
  </si>
  <si>
    <t>Nagrody o charakterze szczególnym niezaliczane do wynagrodzeń</t>
  </si>
  <si>
    <t>OCHRONA ZDROWIA</t>
  </si>
  <si>
    <t>Szpitale ogólne</t>
  </si>
  <si>
    <t>Programy polityki zdrowotnej</t>
  </si>
  <si>
    <r>
      <t xml:space="preserve">Dotacja podmiotowa z budżetu dla jednostek niezaliczanych do sektora finansów publicznych </t>
    </r>
    <r>
      <rPr>
        <i/>
        <sz val="9"/>
        <rFont val="Times New Roman CE"/>
        <family val="1"/>
      </rPr>
      <t>(porozumienia z j.s.t.)</t>
    </r>
  </si>
  <si>
    <t>Dotacja podmiotowa z budżetu dla pozostałych jednostek sektora  finansów publicznych</t>
  </si>
  <si>
    <t>Zwalczanie narkomanii</t>
  </si>
  <si>
    <r>
      <t xml:space="preserve">Dotacja przedmiotowa z budżetu dla pozostałych jednostek sektora finansów publicznych - </t>
    </r>
    <r>
      <rPr>
        <i/>
        <sz val="9"/>
        <rFont val="Times New Roman CE"/>
        <family val="1"/>
      </rPr>
      <t>realizacja "Programu zwalczania narkomanii".</t>
    </r>
  </si>
  <si>
    <t>Dotacja podmiotowa z budżetu dla pozostałych jednostek sektora  finansów publicznych- realizacja "Programu zwalczania narkomanii".</t>
  </si>
  <si>
    <t xml:space="preserve">Dotacja celowa z budżetu na finansowanie lub dofinansowanie zadań zleconych do realizacji stowarzyszeniom </t>
  </si>
  <si>
    <t>Przeciwdziałanie alkoholizmowi</t>
  </si>
  <si>
    <t>Dotacja podmiotowa z budżetu dla samorządowej instytucji kultury</t>
  </si>
  <si>
    <t xml:space="preserve">Składki na ubezpieczenia zdrowotne  oraz świadczenia dla osób nie objętych obowiązkiem ubezpieczenia zdrowotnego  </t>
  </si>
  <si>
    <t>Izby Wytrzeźwień</t>
  </si>
  <si>
    <r>
      <t xml:space="preserve">Zakup usług zdrowotnych - </t>
    </r>
    <r>
      <rPr>
        <i/>
        <sz val="9"/>
        <rFont val="Times New Roman CE"/>
        <family val="1"/>
      </rPr>
      <t>badania lekarskie</t>
    </r>
  </si>
  <si>
    <t>Opłata na rzecz budżetu jednostek samorz. terytor.</t>
  </si>
  <si>
    <t>Koszty postępowania sądowego i prokuratorskie</t>
  </si>
  <si>
    <t>POMOC SPOŁECZNA</t>
  </si>
  <si>
    <t>Placówki opiekuńczo-wychowawcze -Rodzinne Domy Dziecka</t>
  </si>
  <si>
    <t>Dotacja celowa z budżetu lub dofinansowanie zadań zleconych do realizacji stowarzyszeniom</t>
  </si>
  <si>
    <t>Świadczenia społeczne</t>
  </si>
  <si>
    <t>Zakup usług przez j.s.t. od innych j.s.t.</t>
  </si>
  <si>
    <t>Domy pomocy społecznej</t>
  </si>
  <si>
    <t>Ośrodki wsparcia</t>
  </si>
  <si>
    <t>"Złoty Wiek"</t>
  </si>
  <si>
    <t>"Odrodzenie" - ŚDS 1</t>
  </si>
  <si>
    <t>Rodziny zastępcze</t>
  </si>
  <si>
    <t>Dodotkowe wynagrodzenia roczne</t>
  </si>
  <si>
    <t>Dodatki mieszkaniowe</t>
  </si>
  <si>
    <t>Zwrot dotacji wykorzystanych niezgodnie z przeznaczeniem lub pobranych w nadmiernej wysokości</t>
  </si>
  <si>
    <t>Zasiłki rodzinne, pielęgnacyjne i wychowawcze</t>
  </si>
  <si>
    <t>Powiatowe centra pomocy rodzinie</t>
  </si>
  <si>
    <t>Ośrodki pomocy społecznej</t>
  </si>
  <si>
    <t>Podatek od towarów i usług VAT</t>
  </si>
  <si>
    <t xml:space="preserve">Koszty postępowania sądowego i prokuratorskiego </t>
  </si>
  <si>
    <r>
      <t xml:space="preserve">Wydatki na zakupy inwestycyjne jednostek budżetowych </t>
    </r>
    <r>
      <rPr>
        <i/>
        <sz val="9"/>
        <rFont val="Times New Roman CE"/>
        <family val="1"/>
      </rPr>
      <t xml:space="preserve">- zestawów komputerowych </t>
    </r>
  </si>
  <si>
    <t>Jednostki specjalistyczne poradnictwa, mieszkania chronione i ośrodki  interwencji kryzysowej</t>
  </si>
  <si>
    <t>Ośrodki adopcyjno-opiekuńcze</t>
  </si>
  <si>
    <t xml:space="preserve">Podróże służbowe krajowe </t>
  </si>
  <si>
    <t>Usługi opiekuńcze i specjalistyczne usługi opiekuńcze</t>
  </si>
  <si>
    <t>Pomoc dla repatriantów</t>
  </si>
  <si>
    <t>Dotacja celowa z budżetu na finansowanie lub dofinansowanie zadań zleconych do realizacji stowarzyszeniom</t>
  </si>
  <si>
    <r>
      <t>Zakup usług pozostałych -</t>
    </r>
    <r>
      <rPr>
        <i/>
        <sz val="9"/>
        <rFont val="Times New Roman CE"/>
        <family val="1"/>
      </rPr>
      <t xml:space="preserve"> RO</t>
    </r>
  </si>
  <si>
    <t>Zakup usług pozostałych KS</t>
  </si>
  <si>
    <t xml:space="preserve">POZOSTAŁE ZADANIA W ZAKRESIE POLITYKI SPOŁECZNEJ </t>
  </si>
  <si>
    <t>Żłobki</t>
  </si>
  <si>
    <t>Rehabilitacja zawodowa i społeczna osób niepełnosprawnych</t>
  </si>
  <si>
    <t>EDUKACYJNA OPIEKA WYCHOWAWCZA</t>
  </si>
  <si>
    <t>Świetlice szkolne</t>
  </si>
  <si>
    <t>Specjalne ośrodki szkolno-wychowawcze</t>
  </si>
  <si>
    <t>Zakup pomocy naukowych, dydakt. książek</t>
  </si>
  <si>
    <t>Zakup pomocy naukowych, dydakt.i książek</t>
  </si>
  <si>
    <t>Placówki wychowania pozaszkolnego</t>
  </si>
  <si>
    <t>Internaty i bursy szkolne</t>
  </si>
  <si>
    <t>Pomoc materialna dla uczniów</t>
  </si>
  <si>
    <t xml:space="preserve">Stypendia oraz inne formy pomocy dla uczniów </t>
  </si>
  <si>
    <t>Szkolne Schroniska Młodzieżowe</t>
  </si>
  <si>
    <t>Stołówki szkolne</t>
  </si>
  <si>
    <t>Pozostałe wydatki</t>
  </si>
  <si>
    <r>
      <t xml:space="preserve">Dotacja celowa z budżetu na finansowanie  lub dofinansowanie zadań zleconych do realizacji stowarzyszeniom - </t>
    </r>
    <r>
      <rPr>
        <i/>
        <sz val="9"/>
        <rFont val="Times New Roman CE"/>
        <family val="1"/>
      </rPr>
      <t xml:space="preserve">czynsz </t>
    </r>
  </si>
  <si>
    <r>
      <t xml:space="preserve">Zakup materiałów i wyposażenia  </t>
    </r>
    <r>
      <rPr>
        <i/>
        <sz val="9"/>
        <rFont val="Times New Roman CE"/>
        <family val="1"/>
      </rPr>
      <t>RO</t>
    </r>
  </si>
  <si>
    <r>
      <t>Zakup usług pozostałych</t>
    </r>
    <r>
      <rPr>
        <i/>
        <sz val="9"/>
        <rFont val="Times New Roman CE"/>
        <family val="1"/>
      </rPr>
      <t xml:space="preserve"> RO</t>
    </r>
  </si>
  <si>
    <t>GOSPODARKA KOMUNALNA  I  OCHRONA ŚRODOWISKA</t>
  </si>
  <si>
    <t>Gospodarka ściekowa i ochrona wód</t>
  </si>
  <si>
    <t>1. Oczyszczalnia ścieków w Jamnie</t>
  </si>
  <si>
    <t>2. Uzbrojenie oś. "Unii Europejskiej"</t>
  </si>
  <si>
    <t>3. Kolektor XXVI</t>
  </si>
  <si>
    <t>4. Uzbrojenie osiedla " Podgórne-Batalionów Chłopskich"</t>
  </si>
  <si>
    <t>5. Kolektor sanitarny "A" - II etap</t>
  </si>
  <si>
    <t>6. Kanalizacja sanitarna w ul.Zwycięstwa (przy ul.Zdobywców Wału Pomorskiego)</t>
  </si>
  <si>
    <t>7. Uzbrojenie ul.Zdobywców Wału Pomorskiego - odcinek ul. Wopistów do ul. Sanatoryjnej</t>
  </si>
  <si>
    <t>8. Uzbrojenie ul.Zdobywców Wału Pomorskiego - odcinek ul. Sianowskiej do ul. Słonecznej</t>
  </si>
  <si>
    <t>Oczyszczanie miast i wsi</t>
  </si>
  <si>
    <t>Utrzymanie zieleni w miastach i gminach</t>
  </si>
  <si>
    <t>Schroniska dla zwierząt</t>
  </si>
  <si>
    <r>
      <t xml:space="preserve">Zakup usług pozostałych - </t>
    </r>
    <r>
      <rPr>
        <i/>
        <sz val="9"/>
        <rFont val="Times New Roman CE"/>
        <family val="1"/>
      </rPr>
      <t>bieżące utrzymanie</t>
    </r>
  </si>
  <si>
    <t>Oświetlenie ulic, placów i dróg</t>
  </si>
  <si>
    <t xml:space="preserve">Zakup usług remontowych </t>
  </si>
  <si>
    <t xml:space="preserve">Dotacje celowe z budżetu na finansowanie  lub dofinansowanie  inwestycji i zakupów inwestycyjnych jednostek nie zaliczanych do sektora finansów publicznych </t>
  </si>
  <si>
    <t>Wydatki na zakup i objęcie akcji oraz wniesienie wkładów do spółek prawa handlowego (PGK)</t>
  </si>
  <si>
    <t>KULTURA I OCHRONA DZIEDZICTWA NARODOWEGO</t>
  </si>
  <si>
    <t>Zadania w zakresie kinematografii</t>
  </si>
  <si>
    <t xml:space="preserve">Dotacja podmiotowa z budżetu dla instytucji kultury  </t>
  </si>
  <si>
    <t>Pozostałe zadania w zakresie kultury</t>
  </si>
  <si>
    <r>
      <t xml:space="preserve">Zakup usług pozostałych - </t>
    </r>
    <r>
      <rPr>
        <i/>
        <sz val="9"/>
        <rFont val="Times New Roman CE"/>
        <family val="1"/>
      </rPr>
      <t xml:space="preserve">organizacja różnych imprez </t>
    </r>
  </si>
  <si>
    <t xml:space="preserve">Zakup materiałów i wyposażenia - RWZ </t>
  </si>
  <si>
    <t>Wynagrodzenia bezosobowe - RWZ</t>
  </si>
  <si>
    <t>Dotacja celowa z budżetu na finansowanie lub dofinansowanie zadań zleconych do realizacji stowarzyszeniom OP</t>
  </si>
  <si>
    <t>Dotacja podmiotowa z budżetu dla samorządowej instytucji kultury w tym:</t>
  </si>
  <si>
    <t>działalność bieżąca</t>
  </si>
  <si>
    <t>porozumienia</t>
  </si>
  <si>
    <t>Gala Baletowa</t>
  </si>
  <si>
    <t>Filharmonie, orkiestry, chóry i kapele</t>
  </si>
  <si>
    <t xml:space="preserve">Dotacja podmiotowa z budżetu dla samorządowej instytucji kultury w tym:  </t>
  </si>
  <si>
    <t>"Lato Muzyczne z Filharmonią"</t>
  </si>
  <si>
    <t>Dotacje celowe z budżetu na finansowanie  lub dofinansowanie kosztów realizacji inwestycji i zakupów inwestycyjnych  innych jednostek sektora finansów publicznych</t>
  </si>
  <si>
    <t>Domy i ośrodki kultury, świetlice i kluby</t>
  </si>
  <si>
    <t>na imprezy</t>
  </si>
  <si>
    <t xml:space="preserve">Modernizacja budynku MOK </t>
  </si>
  <si>
    <r>
      <t>Wydatki inwestycyjne jednostek budżetowych -</t>
    </r>
    <r>
      <rPr>
        <i/>
        <sz val="8"/>
        <rFont val="Times New Roman CE"/>
        <family val="1"/>
      </rPr>
      <t>MDK</t>
    </r>
  </si>
  <si>
    <t>Biblioteki</t>
  </si>
  <si>
    <t>"Roczniki Koszalińskie"</t>
  </si>
  <si>
    <t>festiwal "Integracja Ja i Ty"</t>
  </si>
  <si>
    <t>Muzea</t>
  </si>
  <si>
    <t>Ochrona zabytków i opieka nad zabytkami</t>
  </si>
  <si>
    <r>
      <t>Zakup usług remontowych -</t>
    </r>
    <r>
      <rPr>
        <i/>
        <sz val="9"/>
        <rFont val="Times New Roman CE"/>
        <family val="1"/>
      </rPr>
      <t>remont murów miejskich</t>
    </r>
  </si>
  <si>
    <t>Dotacja podmiotowa z budżetu państwa dla instytucji kultury - Filharmonia Koszalińska (organizacja koncertów dla młodzieży)</t>
  </si>
  <si>
    <t>Nagrody o charakterze szczególnym niezaliczane do wynagrodzeń - KS</t>
  </si>
  <si>
    <r>
      <t xml:space="preserve">Zakup materiałów i wyposażenia - </t>
    </r>
    <r>
      <rPr>
        <i/>
        <sz val="9"/>
        <rFont val="Times New Roman CE"/>
        <family val="1"/>
      </rPr>
      <t xml:space="preserve"> RO</t>
    </r>
  </si>
  <si>
    <r>
      <t>Zakup usług pozostałych -</t>
    </r>
    <r>
      <rPr>
        <i/>
        <sz val="9"/>
        <rFont val="Times New Roman CE"/>
        <family val="1"/>
      </rPr>
      <t xml:space="preserve"> KS</t>
    </r>
  </si>
  <si>
    <r>
      <t xml:space="preserve">Różne opłaty i składki </t>
    </r>
    <r>
      <rPr>
        <i/>
        <sz val="9"/>
        <rFont val="Times New Roman CE"/>
        <family val="1"/>
      </rPr>
      <t>- RO</t>
    </r>
  </si>
  <si>
    <t>KULTURA FIZYCZNA I SPORT</t>
  </si>
  <si>
    <t>Obiekty sportowe</t>
  </si>
  <si>
    <t xml:space="preserve">Bałtyk </t>
  </si>
  <si>
    <t>Zadania w zakresie kultury fizycznej i sportu</t>
  </si>
  <si>
    <t xml:space="preserve">Pozostała działalność </t>
  </si>
  <si>
    <t>Stypendia oraz inne formy pomocy dla uczniów KST</t>
  </si>
  <si>
    <r>
      <t>Zakup materiałów i wyposażenia -</t>
    </r>
    <r>
      <rPr>
        <i/>
        <sz val="9"/>
        <rFont val="Times New Roman CE"/>
        <family val="1"/>
      </rPr>
      <t xml:space="preserve"> RO</t>
    </r>
  </si>
  <si>
    <r>
      <t>Różne opłaty i składki -</t>
    </r>
    <r>
      <rPr>
        <i/>
        <sz val="9"/>
        <rFont val="Times New Roman CE"/>
        <family val="1"/>
      </rPr>
      <t xml:space="preserve"> RO</t>
    </r>
  </si>
  <si>
    <t>OGÓŁEM</t>
  </si>
  <si>
    <t>własne</t>
  </si>
  <si>
    <t>zlecone</t>
  </si>
  <si>
    <t>Wydatki inwestycyjne jednostek budżetowych - ul. Połczyńska</t>
  </si>
  <si>
    <t>Ewidencja dróg</t>
  </si>
  <si>
    <t>"Szlak gotyku ceglanego EuRoB II"</t>
  </si>
  <si>
    <t>GMINA WŁASNE</t>
  </si>
  <si>
    <t xml:space="preserve">Składki na ubezpieczenia społeczne </t>
  </si>
  <si>
    <t>Promocja jednostek samorządu terytorialnego</t>
  </si>
  <si>
    <t>Zakup usług pozostałych - PI</t>
  </si>
  <si>
    <t>"Promocja rozwoju Koszalina - Vademecum Inwestora"</t>
  </si>
  <si>
    <t>"Koszaliński katolog usług polsko - niemieckich"</t>
  </si>
  <si>
    <t>POWIAT WŁASNE</t>
  </si>
  <si>
    <t>Obsługa papierów wartościowych, kredytów i  pożyczek j.s.t.</t>
  </si>
  <si>
    <r>
      <t xml:space="preserve">Dotacja podmiotowa z budżetu dla niepublicznej jednostki systemu oświaty </t>
    </r>
    <r>
      <rPr>
        <i/>
        <sz val="9"/>
        <rFont val="Times New Roman CE"/>
        <family val="1"/>
      </rPr>
      <t>- nauka pływania</t>
    </r>
  </si>
  <si>
    <t>Środowiskowy Dom Samopomocy 2</t>
  </si>
  <si>
    <t xml:space="preserve">Stypendia dla uczniów </t>
  </si>
  <si>
    <r>
      <t xml:space="preserve">Różne opłaty i składki </t>
    </r>
    <r>
      <rPr>
        <i/>
        <sz val="9"/>
        <rFont val="Times New Roman CE"/>
        <family val="1"/>
      </rPr>
      <t>RO</t>
    </r>
  </si>
  <si>
    <t>Międzynarodowy Festiwal Organowy</t>
  </si>
  <si>
    <r>
      <t xml:space="preserve">Wydatki inwestycyjne jednostek budżetowych </t>
    </r>
    <r>
      <rPr>
        <i/>
        <sz val="9"/>
        <rFont val="Times New Roman CE"/>
        <family val="1"/>
      </rPr>
      <t>- akustyka</t>
    </r>
  </si>
  <si>
    <t>wydanie "Koszalińskich Zeszytów Muzealnych" i informator</t>
  </si>
  <si>
    <t>budowa hali widowiskowo - sportowej</t>
  </si>
  <si>
    <t>Zakup usług do sieci Internet - PI</t>
  </si>
  <si>
    <t>Zakup usług do sieci Internet - RWZ</t>
  </si>
  <si>
    <t>Zakup usług pozostałych - KS</t>
  </si>
  <si>
    <t>Zakup materiałów i wyposażenia - PI</t>
  </si>
  <si>
    <t>Zakup materiałów i wyposażenia - Km</t>
  </si>
  <si>
    <t>Zakup usług pozostałych - Km</t>
  </si>
  <si>
    <t>Różne opłaty i składki OA</t>
  </si>
  <si>
    <t>Różne opłaty i składki Rp</t>
  </si>
  <si>
    <t>"Concerto ATC2"</t>
  </si>
  <si>
    <t>"Budowa Centrum rekreacyjno - sportowego w Koszalinie"</t>
  </si>
  <si>
    <t xml:space="preserve">Zakup materiałów i wyposażenia  </t>
  </si>
  <si>
    <t>Wystawa fotografii -             "Scena 5"</t>
  </si>
  <si>
    <t>740 - lecie Koszalina</t>
  </si>
  <si>
    <t xml:space="preserve">Dotacje celowe z budżetu na finansowanie  lub dofinansowanie kosztów realizacji inwestycji i zakupów inwestycyjnych  innych jednostek sektora finansów publicznych </t>
  </si>
  <si>
    <t>Zakup usług remontowych - RO</t>
  </si>
  <si>
    <t>wydawnictwa - "Miesiąc w Koszalinie"</t>
  </si>
  <si>
    <t>Almanach</t>
  </si>
  <si>
    <t>Składki FP</t>
  </si>
  <si>
    <t>Infrastruktura telekomunikacyjna</t>
  </si>
  <si>
    <t>"książka mówiona"</t>
  </si>
  <si>
    <t>Wynagrodzienia bezosobowe</t>
  </si>
  <si>
    <t>Pomoc materialna dla studentów i doktorantów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</si>
  <si>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</si>
  <si>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</si>
  <si>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</si>
  <si>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Zespoły ds orzekania o niepełnosprawności</t>
  </si>
  <si>
    <t>Poradnie psychologiczno - pedagogiczne, w tym poradnie specjalistyczne</t>
  </si>
  <si>
    <t xml:space="preserve">Teatry </t>
  </si>
  <si>
    <t>Wydatki na zakup i objęcie akcji, wniesienie wkładów do spółek prawa handlowego (amfibia)</t>
  </si>
  <si>
    <r>
      <t xml:space="preserve">Zakup usług dostępu do sieci Internet - </t>
    </r>
    <r>
      <rPr>
        <i/>
        <sz val="9"/>
        <rFont val="Times New Roman CE"/>
        <family val="1"/>
      </rPr>
      <t>Inf</t>
    </r>
  </si>
  <si>
    <r>
      <t xml:space="preserve">Zakup usług dostępu do sieci Internet - </t>
    </r>
    <r>
      <rPr>
        <i/>
        <sz val="9"/>
        <rFont val="Times New Roman CE"/>
        <family val="1"/>
      </rPr>
      <t>BZP</t>
    </r>
  </si>
  <si>
    <t>Dotacja celowa z budżetu na finansowanie lub dofinansowanie zadań zleconych do realizacji fundacjom</t>
  </si>
  <si>
    <t>Uposażenia żołnierzy zawodowych i nadterminowych oraz funkcjonariuszy</t>
  </si>
  <si>
    <t>Pozostałe należności żołnierzy zawodowych i nadterminowych oraz funkcjonariuszy</t>
  </si>
  <si>
    <t>Dodatkowe uposażenie roczne dla żołnierzy zawodowych oraz nagrody roczne dla funkcjonariuszy</t>
  </si>
  <si>
    <t>Uposazenia i świadczenia pieniężne wypłacane przez okres roku żoł. i funkcjon. zwolnionym ze służby</t>
  </si>
  <si>
    <r>
      <t>Pozostała działalność</t>
    </r>
    <r>
      <rPr>
        <b/>
        <i/>
        <sz val="9"/>
        <rFont val="Times New Roman CE"/>
        <family val="1"/>
      </rPr>
      <t xml:space="preserve"> -</t>
    </r>
    <r>
      <rPr>
        <b/>
        <i/>
        <sz val="10"/>
        <rFont val="Times New Roman CE"/>
        <family val="1"/>
      </rPr>
      <t xml:space="preserve"> Koszaliński Program Integracji Społecznej START</t>
    </r>
  </si>
  <si>
    <t>Odsetki i dyskonto od krajowych skarbowych papierów wartościowych oraz od krajowych pożyczek i kredytów</t>
  </si>
  <si>
    <t>Wydatki osobowe niezaliczone do wynagrodzeń</t>
  </si>
  <si>
    <t>Wpłaty jednostek na fundusz celowy na finansowanie lub dofinansowanie zadań inwestycyjnych</t>
  </si>
  <si>
    <t>ul. Połczyńska - (projekt odcinka od ul. Działkowej do ul. Żytniej)</t>
  </si>
  <si>
    <t>ul. Gnieźnieńska (od 4-go Marca do Połczyńskiej)</t>
  </si>
  <si>
    <t>ul. Kwiatkowskiego</t>
  </si>
  <si>
    <t>ul. Syrenki</t>
  </si>
  <si>
    <t>ul. Młyńska</t>
  </si>
  <si>
    <t>skrzyżowanie ul.J. Pawła II - Staszica</t>
  </si>
  <si>
    <t>skrzyżowanie ul. A. Krajowej - Bohaterów Warszawy - Morskiej</t>
  </si>
  <si>
    <t>ul. Waryńskiego ze skrzyżowaniem z ul. Zwycięstwa</t>
  </si>
  <si>
    <t>ul. Zwycięstwa (od Św. Wojciecha do Dębowej)</t>
  </si>
  <si>
    <t>Zakup usług obejmujących wykonanie ekspertyz, analiz i opinii</t>
  </si>
  <si>
    <t>Osiedle Unii Europejskiej - drogi</t>
  </si>
  <si>
    <t>ul.Kamieniarska</t>
  </si>
  <si>
    <t>Osiedle Bukowe - drogi</t>
  </si>
  <si>
    <t>Osiedle Topolowe - drogi</t>
  </si>
  <si>
    <t>przebudowa ulicy Brzozowej</t>
  </si>
  <si>
    <t>przebudowa ulicy Wenedów</t>
  </si>
  <si>
    <t>przebudowa ulic: Zawiszy Czarnego, Dąbrówki, Ks. Anastazji, K. Wielkiego</t>
  </si>
  <si>
    <t>przebudowa rejonu ulic Gnieźnieńskiej, 4 - go Marca, Połczyńskiej (ul. Sybiraków)</t>
  </si>
  <si>
    <t>ul. Ułańska - Kadetów</t>
  </si>
  <si>
    <t>ul. Jarzębinowa - chodniki</t>
  </si>
  <si>
    <t>ul. Rzeczna (dojazd do Specj. Oś. Szkolno - Wych.)</t>
  </si>
  <si>
    <t>"Transgraniczna wymiana daświadczeń w Euroregionie Pomerania"</t>
  </si>
  <si>
    <t>Zakup usług obejmujących tłumaczenia</t>
  </si>
  <si>
    <t>Dotacja przedmiotowa z budżetu dla zakładu budżetowego</t>
  </si>
  <si>
    <t>Zakup pozostałych usług - OP</t>
  </si>
  <si>
    <t xml:space="preserve">Zakup usług obejmujących wykonanie ekspertyz, analiz i opinii </t>
  </si>
  <si>
    <t>Szkolenia pracowników niebędących członkami korpusu służby cywilnej</t>
  </si>
  <si>
    <r>
      <t xml:space="preserve">Zakup usług pozostałych - (w tym: 150,0 tys. zł - "Gminny </t>
    </r>
    <r>
      <rPr>
        <i/>
        <sz val="9"/>
        <rFont val="Times New Roman CE"/>
        <family val="1"/>
      </rPr>
      <t>program opieki nad zabytkami")</t>
    </r>
  </si>
  <si>
    <t xml:space="preserve">Opłaty z tytułu zakupu usług telekomunikacyjnych telefonii komórkowej </t>
  </si>
  <si>
    <t>Opłaty z tytułu zakupu usług telekomunikacyjnych telefonii stacjonarnej</t>
  </si>
  <si>
    <t>Opłaty czynszowe za pomieszczenie biurowe</t>
  </si>
  <si>
    <t>Zakup materiałów papierniczych do sprzętu drukarskiego i urządzeń kserograficznych</t>
  </si>
  <si>
    <t>Zakup akcesoriów komputerowych, w tym programów i licencji</t>
  </si>
  <si>
    <r>
      <t>Koszty postępowania sądowego -</t>
    </r>
    <r>
      <rPr>
        <i/>
        <sz val="9"/>
        <rFont val="Times New Roman CE"/>
        <family val="1"/>
      </rPr>
      <t xml:space="preserve"> OP</t>
    </r>
  </si>
  <si>
    <t>Opłaty z tytułu zakupu usług telekomunikacyjnych telefonii komórkowej - OA</t>
  </si>
  <si>
    <t>Opłaty z tytułu zakupu usług telekomunikacyjnych telefonii stacjonarnej -OA</t>
  </si>
  <si>
    <t>Zakup usług obejmujących wykonanie ekspertyz, analiz i opinii - RWZ</t>
  </si>
  <si>
    <t>Zakup usług obejmujących tłumaczenia - RWZ</t>
  </si>
  <si>
    <t>Opłaty z tytułu zakupu usług telekomunikacyjnych telefonii komórkowej</t>
  </si>
  <si>
    <t xml:space="preserve">Opłaty z tytułu zakupu usług telekomunikacyjnych telefonii stacjonarnej </t>
  </si>
  <si>
    <t xml:space="preserve">Zakup usług obejmujących tłumaczenia </t>
  </si>
  <si>
    <t xml:space="preserve">Wynagrodzenia bezosobowe </t>
  </si>
  <si>
    <t>Stypendia różne</t>
  </si>
  <si>
    <t>Europejski fundusz stypendialny dla studentów w Koszalinie 2006/2007</t>
  </si>
  <si>
    <r>
      <t xml:space="preserve">Wydatki inwestycyjne jednostek budżetowych  - </t>
    </r>
    <r>
      <rPr>
        <b/>
        <sz val="9"/>
        <rFont val="Times New Roman CE"/>
        <family val="1"/>
      </rPr>
      <t>budowa Hospicjum</t>
    </r>
  </si>
  <si>
    <t>Rodzinny Dom Dziecka Nr 2</t>
  </si>
  <si>
    <t xml:space="preserve">Zakup usług zdrowotnych </t>
  </si>
  <si>
    <t>Rodzinny Dom Dziecka Nr 3</t>
  </si>
  <si>
    <t>Zakup usług pozostałych - RWZ</t>
  </si>
  <si>
    <t>Zakup usług i wyposażenia</t>
  </si>
  <si>
    <t>Wydatki na zakupy inwestycyjne jednostek budżetowych - KS (zakup 2 samochodów dla MOPS ze środków PFRON - 50% dofin.)</t>
  </si>
  <si>
    <t>Europejski fundusz stypendialny dla uczniów szkół ponadgimnazjalnych w Koszalinie 2006/2007</t>
  </si>
  <si>
    <r>
      <t xml:space="preserve">Wydatki inwestycyjne jednostek budżetowych </t>
    </r>
    <r>
      <rPr>
        <i/>
        <sz val="9"/>
        <rFont val="Times New Roman CE"/>
        <family val="1"/>
      </rPr>
      <t>- budowa schroniska</t>
    </r>
  </si>
  <si>
    <t>Wynagrodzenie bezosobowe</t>
  </si>
  <si>
    <t>organizacja międzynarodowych warsztatów teatralnych</t>
  </si>
  <si>
    <r>
      <t>remont i rozbudowa Muzeum - elewacja -</t>
    </r>
    <r>
      <rPr>
        <b/>
        <i/>
        <sz val="9"/>
        <rFont val="Times New Roman CE"/>
        <family val="1"/>
      </rPr>
      <t xml:space="preserve"> IK</t>
    </r>
  </si>
  <si>
    <t>Wydatki na zakup i objęcie akcji, wniesienie wkładów do spółek prawa handlowego (ZOS)</t>
  </si>
  <si>
    <t>budowa zjazdu narciarskiego na Górze Chełmskiej</t>
  </si>
  <si>
    <t>Zakup usług pozostałych - RO</t>
  </si>
  <si>
    <t>Nagrody o charakterze szczególnym niezaliczane do wynagrodzeń - USC</t>
  </si>
  <si>
    <t>"XII Polsko - Niemiecki Festiwal Młodzieży Koszalin 2007"</t>
  </si>
  <si>
    <t>ulica śródmiejska</t>
  </si>
  <si>
    <t>USC</t>
  </si>
  <si>
    <t>Galeria "Scena"</t>
  </si>
  <si>
    <t>Zakup usług remontowo - konserwatorskich dotyczących obiektów zabytkowych będących w użytkowaniu jednostek budżetowych</t>
  </si>
  <si>
    <r>
      <t xml:space="preserve">Zakup materiałów i wyposażenia </t>
    </r>
    <r>
      <rPr>
        <b/>
        <sz val="9"/>
        <rFont val="Times New Roman CE"/>
        <family val="1"/>
      </rPr>
      <t>"Szkolne projekty Socrates Comenius 2005/2006"</t>
    </r>
  </si>
  <si>
    <r>
      <t xml:space="preserve">Wydatki inwestycyjne jednostek budżetowych - </t>
    </r>
    <r>
      <rPr>
        <i/>
        <sz val="9"/>
        <rFont val="Times New Roman CE"/>
        <family val="1"/>
      </rPr>
      <t>remont targowiska</t>
    </r>
  </si>
  <si>
    <t>Zakup materiałów i wyposażenia - RWZ</t>
  </si>
  <si>
    <t>Zakup usług pozostałych  - RWZ</t>
  </si>
  <si>
    <r>
      <t xml:space="preserve">Zakup akcesoriów komputerowych, w tym programów i licencji                         </t>
    </r>
    <r>
      <rPr>
        <i/>
        <sz val="9"/>
        <rFont val="Times New Roman CE"/>
        <family val="1"/>
      </rPr>
      <t>OA i Inf.</t>
    </r>
  </si>
  <si>
    <t>Zakup materiałów i wyposażenia - R</t>
  </si>
  <si>
    <t>Zakup usług pozostałych - R</t>
  </si>
  <si>
    <t>Dotacja podmiotowa z budżetu dla pozostałych jednostek sektorafinansów publicznych</t>
  </si>
  <si>
    <t>Opłaty na rzecz budżetów j.s.t.</t>
  </si>
  <si>
    <r>
      <t>Wydatki inwestycyjne jednostek budżetowych               (</t>
    </r>
    <r>
      <rPr>
        <i/>
        <sz val="9"/>
        <rFont val="Times New Roman CE"/>
        <family val="1"/>
      </rPr>
      <t>w tym: IK -4.800,0 tys.zł - boisko sportowe przy ZS 13, SP 7, SP 10, SP 17</t>
    </r>
    <r>
      <rPr>
        <sz val="9"/>
        <rFont val="Times New Roman CE"/>
        <family val="0"/>
      </rPr>
      <t>)</t>
    </r>
  </si>
  <si>
    <r>
      <t xml:space="preserve">Wydatki inwestycyjne jednostek budżetowych         </t>
    </r>
    <r>
      <rPr>
        <i/>
        <sz val="9"/>
        <rFont val="Times New Roman CE"/>
        <family val="1"/>
      </rPr>
      <t>(w tym: IK - 100,0 tys. zł - sala sport. przy gim. Nr6)</t>
    </r>
  </si>
  <si>
    <t>Usuwanie skutków klęsk żywiołowych</t>
  </si>
  <si>
    <t>Niewłaściwe obciążenia</t>
  </si>
  <si>
    <r>
      <t xml:space="preserve">Dotacje celowe z budżetu na finansowanie  lub dofinansowanie kosztów realizacji inwestycji i zakupów inwestycyjnych  innych jednostek sektora finansów publicznych </t>
    </r>
    <r>
      <rPr>
        <i/>
        <sz val="9"/>
        <rFont val="Times New Roman CE"/>
        <family val="1"/>
      </rPr>
      <t xml:space="preserve">- remont filii </t>
    </r>
  </si>
  <si>
    <t>adaptacja pomieszczeń w budynku przy ul. Morskiej</t>
  </si>
  <si>
    <t>remont stropu i konserwacja polichromii w budynku głównym</t>
  </si>
  <si>
    <t>"Śpiewająca Polska"</t>
  </si>
  <si>
    <t>Różne opłaty i składki -Rp</t>
  </si>
  <si>
    <t>dofinansowanie imprezy "Noc muzeów"</t>
  </si>
  <si>
    <r>
      <t xml:space="preserve">Wydatki inwestycyjne jednostek budżetowych </t>
    </r>
    <r>
      <rPr>
        <i/>
        <sz val="9"/>
        <rFont val="Times New Roman CE"/>
        <family val="1"/>
      </rPr>
      <t>(elewacja - IK)</t>
    </r>
  </si>
  <si>
    <t xml:space="preserve">Wydatki inwestycyjne jednostek budżetowych             </t>
  </si>
  <si>
    <r>
      <t xml:space="preserve">Zakup materiałów papierniczych do sprzętu drukarskiego i urządzeń kserograficznych - </t>
    </r>
    <r>
      <rPr>
        <i/>
        <sz val="9"/>
        <rFont val="Times New Roman CE"/>
        <family val="1"/>
      </rPr>
      <t>RO</t>
    </r>
  </si>
  <si>
    <t>01095</t>
  </si>
  <si>
    <t>4740</t>
  </si>
  <si>
    <t>Centralny Ośrodek Szkolenia Taekwondo w Koszalinie</t>
  </si>
  <si>
    <t>Dział archeologii</t>
  </si>
  <si>
    <t>Dotacja celowa z budżetu dla pozostałych jednostek zaliczanych do sektora finansow publicznych</t>
  </si>
  <si>
    <t>Dotacja podmiotowa z budżetu dla jednostek niezaliczanych do sektora finansów publicznych</t>
  </si>
  <si>
    <r>
      <t>Wydatki inwestycyjne jednostek budżetowych  -</t>
    </r>
    <r>
      <rPr>
        <i/>
        <sz val="9"/>
        <rFont val="Times New Roman CE"/>
        <family val="1"/>
      </rPr>
      <t xml:space="preserve"> likwidacja barier architektonicznych</t>
    </r>
  </si>
  <si>
    <t>Zakup usług zdrowotnych dla osób nieobjętych obowiązkiem ubezpieczenia zdrowotnego</t>
  </si>
  <si>
    <r>
      <t xml:space="preserve">Zakup usług remontowych - </t>
    </r>
    <r>
      <rPr>
        <i/>
        <sz val="9"/>
        <rFont val="Times New Roman CE"/>
        <family val="1"/>
      </rPr>
      <t>Rady Osiedli</t>
    </r>
  </si>
  <si>
    <t>na podstawie porozumień          z jednostkami samorządu terytorialnego</t>
  </si>
  <si>
    <t>"Zero tolerancji dla przemocy w szkole"</t>
  </si>
  <si>
    <t>"Program opieki i terapii skierowany na uczniów z niepłynnością mowy"</t>
  </si>
  <si>
    <t xml:space="preserve">w tym: </t>
  </si>
  <si>
    <t>Zakup akcesoriów komputerowych , w tym programów i licencji</t>
  </si>
  <si>
    <t>Zakup usług obejmujących wykonanie ekspertyz, analiz i opinii - OA</t>
  </si>
  <si>
    <t>Zakup pozostałych usług - KS</t>
  </si>
  <si>
    <t>remont obiektów mostowych (ul. Monte Cassino)</t>
  </si>
  <si>
    <t>budowa ścieżek rowerowych</t>
  </si>
  <si>
    <t xml:space="preserve">Budowa i przebudowa dróg stanowiących zewnętrzny pierścień układu komunikacyjnego </t>
  </si>
  <si>
    <t>ul. Batalionów Chłopskich z przebudową skrzyżowania ulic: Batalionów Chłopskich - Młyńska</t>
  </si>
  <si>
    <t xml:space="preserve">ul. Gnieźnieńska - skrzyżowanie z ul. 4-go Marca </t>
  </si>
  <si>
    <t>ul. Lechicka (od ul. Słowiańskiej do torów)</t>
  </si>
  <si>
    <t>ul. Mieszka I (od ul. BOWiD do wiaduktu)</t>
  </si>
  <si>
    <t>przebudowa pętli autobusowej przy ul. Szczecińskiej</t>
  </si>
  <si>
    <t>remont ul. Kędzierzyńskiej</t>
  </si>
  <si>
    <t>remont odcinka ul. Zwycięstwa (droga do Maszkowa)</t>
  </si>
  <si>
    <t>budowa parkingu, zatok autobusowych i kanalizacji deszczowej przy ul. Gnieźnieńskiej - etap I</t>
  </si>
  <si>
    <t>Dotacja podmiotowa z budżetu dla uczelni publicznej</t>
  </si>
  <si>
    <t>skrzyżowanie ul.J. Pawła II - Staszica (porozumienia)</t>
  </si>
  <si>
    <t>wystawa pn. "Historia najnowsza Koszalina w latach 1945 - 1990"</t>
  </si>
  <si>
    <t>remont jezdni przy skrzyżowaniu ulic Monte Cassino - Fałta</t>
  </si>
  <si>
    <t>ul. Lutyków, ul. Obotrytów, ul. P. Skargi, ul. Łużycka, ul. Poprzeczna</t>
  </si>
  <si>
    <t>ul. Reymonta, ul. Staffa</t>
  </si>
  <si>
    <t>Osiedle Lipowe - drogi</t>
  </si>
  <si>
    <t>Osiedle Podgórne - Batalionów Chłopskich - drogi</t>
  </si>
  <si>
    <t>przebudowa ul. Marynarzy</t>
  </si>
  <si>
    <t>remont odcinka ul. Bursztynowej</t>
  </si>
  <si>
    <t>Ewidencja dróg - ZDM</t>
  </si>
  <si>
    <r>
      <t xml:space="preserve">Wydatki inwestycyjne jednostek budżetowych </t>
    </r>
    <r>
      <rPr>
        <i/>
        <sz val="9"/>
        <rFont val="Times New Roman CE"/>
        <family val="1"/>
      </rPr>
      <t xml:space="preserve">- modernizacja przedszkoli </t>
    </r>
  </si>
  <si>
    <r>
      <t xml:space="preserve">Wydatki inwestycyjne jednostek budżetowych </t>
    </r>
    <r>
      <rPr>
        <i/>
        <sz val="9"/>
        <rFont val="Times New Roman CE"/>
        <family val="1"/>
      </rPr>
      <t>- (dach na budynku warsztatów w ZS Nr 10 - 400,0 tys. zł; sala gimnast. ZS Nr 8 - 100,0 tys. zł)</t>
    </r>
  </si>
  <si>
    <r>
      <t xml:space="preserve">Wydatki na zakupy inwestycyjne jednostek budżetowych </t>
    </r>
    <r>
      <rPr>
        <i/>
        <sz val="9"/>
        <rFont val="Times New Roman CE"/>
        <family val="1"/>
      </rPr>
      <t xml:space="preserve">(ZS Nr 12) </t>
    </r>
  </si>
  <si>
    <t>Swietlice</t>
  </si>
  <si>
    <t>Ośrodki rewalidacyjno - wychowawcze</t>
  </si>
  <si>
    <t>Dotacja podmiotowa dla niepublicznej jednostki systemu oświaty</t>
  </si>
  <si>
    <t>na realizację projektów dofinans. ze środków zewnętrznych</t>
  </si>
  <si>
    <r>
      <t>Wydatki inwestycyjne jednostek budżetowych -</t>
    </r>
    <r>
      <rPr>
        <i/>
        <sz val="9"/>
        <rFont val="Times New Roman CE"/>
        <family val="1"/>
      </rPr>
      <t xml:space="preserve"> sala koncertowa</t>
    </r>
  </si>
  <si>
    <t>festiwal filmów Wł. Wysockiego</t>
  </si>
  <si>
    <t>Festiwal Pieśni Religijnej</t>
  </si>
  <si>
    <t>odprawa emerytalna i nagrody jubileuszowe</t>
  </si>
  <si>
    <r>
      <t>Świadczenia społeczne</t>
    </r>
    <r>
      <rPr>
        <b/>
        <sz val="9"/>
        <rFont val="Times New Roman CE"/>
        <family val="1"/>
      </rPr>
      <t xml:space="preserve"> -</t>
    </r>
    <r>
      <rPr>
        <b/>
        <i/>
        <sz val="9"/>
        <rFont val="Times New Roman CE"/>
        <family val="1"/>
      </rPr>
      <t>(w tym:</t>
    </r>
    <r>
      <rPr>
        <b/>
        <sz val="9"/>
        <rFont val="Times New Roman CE"/>
        <family val="1"/>
      </rPr>
      <t xml:space="preserve"> Prace społecznie użyteczne - 200,0 tys. zł)</t>
    </r>
  </si>
  <si>
    <t>"Program Comenius - Partnerskie projekty szkół 2007/2008"</t>
  </si>
  <si>
    <t>"Leonardo da Vinci" - Transfer Wiedzy Transfer Umiejętności - Aktywni Ustawicznie</t>
  </si>
  <si>
    <t xml:space="preserve">Wydatki osobowe niazaliczane do wynagrodzeń </t>
  </si>
  <si>
    <r>
      <t>Dotacja podmiotowa z budżetu dla samorządowej instytucji kultury -</t>
    </r>
    <r>
      <rPr>
        <i/>
        <sz val="9"/>
        <rFont val="Times New Roman CE"/>
        <family val="1"/>
      </rPr>
      <t xml:space="preserve"> porozum.</t>
    </r>
  </si>
  <si>
    <r>
      <t>Zakup materiałów i wyposażenia</t>
    </r>
    <r>
      <rPr>
        <i/>
        <sz val="9"/>
        <rFont val="Times New Roman CE"/>
        <family val="1"/>
      </rPr>
      <t xml:space="preserve"> - porozum.</t>
    </r>
  </si>
  <si>
    <t>Dotacje celowe z budżetu na finansowanie lub dofinansowanie kosztów realizacji inwestycji i zakupów inwestycyjnych innych jednostek sektora finansów publicznych</t>
  </si>
  <si>
    <t>ul. Krańcowa</t>
  </si>
  <si>
    <t>Wynagrodzenia bezosobowe - R</t>
  </si>
  <si>
    <t xml:space="preserve">Dotacja celowa z budżetu na finansowanie lub dofinansowanie zadań zleconych do realizacji fundacjom </t>
  </si>
  <si>
    <t xml:space="preserve">Schronisko dla bezdomnych </t>
  </si>
  <si>
    <t>"Polsko - Niemieckie Forum Gospodarcze i Giełda Kooperacyjna w Koszalinie"</t>
  </si>
  <si>
    <t>Dokumentacje pod przyszłe inwestycje i remonty</t>
  </si>
  <si>
    <t>Przebudowa miejsc postojowych w ulicy Młyńskiej</t>
  </si>
  <si>
    <t>wystawa pt. "Mur Chiński"</t>
  </si>
  <si>
    <t>Infrastruktura kolejowa</t>
  </si>
  <si>
    <t>ul. Kosynierów</t>
  </si>
  <si>
    <r>
      <t xml:space="preserve">Zakup usług pozostałych </t>
    </r>
    <r>
      <rPr>
        <b/>
        <i/>
        <sz val="9"/>
        <rFont val="Times New Roman CE"/>
        <family val="1"/>
      </rPr>
      <t>- roboty publiczne</t>
    </r>
  </si>
  <si>
    <t>organizacja 27 KFDF "Młodzi i Film"</t>
  </si>
  <si>
    <t>remont Domku Kata</t>
  </si>
  <si>
    <t>remont elewacji budynku CK 105</t>
  </si>
  <si>
    <t>"Dni Koszalina"</t>
  </si>
  <si>
    <t>Organizacja "Majówki 2008"</t>
  </si>
  <si>
    <t>Współorganizacja koncertu z okazji Dnia Unii Europejskiej, Dnia Zwycięstwa i inauguracji XXX Tygodnia Kultury Studenckiej</t>
  </si>
  <si>
    <t>wyposażenie Filii Bibliotecznej nr 15</t>
  </si>
  <si>
    <t>Zakup usług pozostałych - "Sportowa Dolina"</t>
  </si>
  <si>
    <t>remont siedziby</t>
  </si>
  <si>
    <t>zakup wyposażenia siedziby (meble)</t>
  </si>
  <si>
    <t>Zakup usług obejmujących wykonanie ekspertyz, alaliz i opinii - OA</t>
  </si>
  <si>
    <t>Zakup energii - PI</t>
  </si>
  <si>
    <t>Inne formy pomocy dla uczniów</t>
  </si>
  <si>
    <t>"Umieć czytać historię. Polsko - Niemieckie Spotkania Archiwalne - Koszalin 2008"</t>
  </si>
  <si>
    <r>
      <t>Wynagrodzenia bezosobowe -</t>
    </r>
    <r>
      <rPr>
        <i/>
        <sz val="9"/>
        <rFont val="Times New Roman CE"/>
        <family val="1"/>
      </rPr>
      <t xml:space="preserve"> porozum.</t>
    </r>
  </si>
  <si>
    <t>Dotacje celowe z budżetu ma finansowanie lub dofinansowanie kosztów realizacji inwestycji i zakupów inwestycyjnych iinych jednostek sektora finansów publicznych</t>
  </si>
  <si>
    <t>"Mam skrzydła - lecę do pracy. Koszaliński program aktywizacji zawodowej osób niepełnosprawnych pozostających bez zatrunienia"</t>
  </si>
  <si>
    <t>Zakup akcesoriów komputerowych, w tym progromów i licencji</t>
  </si>
  <si>
    <t>Zakup usług remontowych (w tym: RO - 359.000 zł)</t>
  </si>
  <si>
    <t>odprawa rentowa</t>
  </si>
  <si>
    <t>Zakup usług pozostałych - na utrzymanie nieruchomości przejmowanych przez ZDM od WIK</t>
  </si>
  <si>
    <t>"Reaktywacja połączenia kolejowego Koszalin - Mielno"</t>
  </si>
  <si>
    <t>Dotacja celowa na pomoc finansową udzielaną między j.s.t. na dofinansowanie własnych zadań bieżących</t>
  </si>
  <si>
    <r>
      <t xml:space="preserve">Zakup usług pozostałych </t>
    </r>
    <r>
      <rPr>
        <i/>
        <sz val="9"/>
        <rFont val="Times New Roman CE"/>
        <family val="1"/>
      </rPr>
      <t>- por.  ekspertyzy lekarskie</t>
    </r>
  </si>
  <si>
    <r>
      <t>Wpłaty jednostek na fundusz celowy</t>
    </r>
    <r>
      <rPr>
        <i/>
        <sz val="9"/>
        <rFont val="Times New Roman CE"/>
        <family val="1"/>
      </rPr>
      <t xml:space="preserve"> - zakup paliwa dla Straży Granicznej w Darłowie</t>
    </r>
  </si>
  <si>
    <t>Zarządzanie Kryzysowe</t>
  </si>
  <si>
    <r>
      <t xml:space="preserve">Rezerwa celowa </t>
    </r>
    <r>
      <rPr>
        <i/>
        <sz val="8"/>
        <rFont val="Times New Roman CE"/>
        <family val="1"/>
      </rPr>
      <t>- na realizacje zadań własnych z zakresu zarządzania kryzysowego</t>
    </r>
  </si>
  <si>
    <t>Rezerwa celowa (na realizację zadań dofinans. ze środków zewnętrznych)</t>
  </si>
  <si>
    <t>Rezerwa celowa (na remonty RO nie wykonane w 2007r. )</t>
  </si>
  <si>
    <r>
      <t xml:space="preserve">Rezerwy na inwestycje i zakupy inwestycyjne </t>
    </r>
    <r>
      <rPr>
        <i/>
        <sz val="9"/>
        <rFont val="Times New Roman CE"/>
        <family val="1"/>
      </rPr>
      <t>(inwestycje zakończone)</t>
    </r>
  </si>
  <si>
    <t>Zespół Obsługi Ekonomiczno - Administracyjnej Szkół (Przedszkoli Miejskich)</t>
  </si>
  <si>
    <t>Różne opłaty i składki Fk</t>
  </si>
  <si>
    <t>Wydatki na zakupy  inwestycyjne jednostek budżetowych</t>
  </si>
  <si>
    <t>Dotacja przedmiotowa z budżetu dla pozostałych jednostek sektora finansów publicznych</t>
  </si>
  <si>
    <t>Projekt "Dobra perspektywa"</t>
  </si>
  <si>
    <t>Centrum Kultury - gmina</t>
  </si>
  <si>
    <t>przebudowa ul. Chałbińskiego</t>
  </si>
  <si>
    <r>
      <t xml:space="preserve">Wydatki inwestycyjne jednostek budżetowych </t>
    </r>
    <r>
      <rPr>
        <i/>
        <sz val="9"/>
        <rFont val="Times New Roman CE"/>
        <family val="1"/>
      </rPr>
      <t>- skrzyżowanie ul.Jana Pawła II - Staszica</t>
    </r>
  </si>
  <si>
    <t>Dotacja podmiotowa z budżetu dla publicznej jednostki systemu oświaty prowadzonej przez osobę prawną inną niż j.s.t. lub przez osobę fizyczną</t>
  </si>
  <si>
    <t>przygotowanie stałej wystawy pt. "Sztuka dawna od baroku do secesji"</t>
  </si>
  <si>
    <t>Odsetki od nieterminowych wpłat podatku od towarów i usług VAT</t>
  </si>
  <si>
    <t>Rozdz  §</t>
  </si>
  <si>
    <t>Pozostała działalność RO</t>
  </si>
  <si>
    <r>
      <t xml:space="preserve">Składki na ubezpieczenia społeczne  </t>
    </r>
    <r>
      <rPr>
        <i/>
        <sz val="9"/>
        <rFont val="Times New Roman CE"/>
        <family val="1"/>
      </rPr>
      <t>- komisje ds. stypendiów szkolnych</t>
    </r>
  </si>
  <si>
    <r>
      <t>Wynagrodzenia bezosobowe</t>
    </r>
    <r>
      <rPr>
        <b/>
        <sz val="9"/>
        <rFont val="Times New Roman CE"/>
        <family val="1"/>
      </rPr>
      <t xml:space="preserve"> "Parasol"</t>
    </r>
  </si>
  <si>
    <r>
      <t xml:space="preserve">Zakup materiałów i wyposażenia </t>
    </r>
    <r>
      <rPr>
        <b/>
        <sz val="9"/>
        <rFont val="Times New Roman CE"/>
        <family val="1"/>
      </rPr>
      <t>"Parasol"</t>
    </r>
  </si>
  <si>
    <r>
      <t xml:space="preserve">Składki na FP </t>
    </r>
    <r>
      <rPr>
        <i/>
        <sz val="9"/>
        <rFont val="Times New Roman CE"/>
        <family val="1"/>
      </rPr>
      <t>- komisje ds. stypendiów szkolnych</t>
    </r>
  </si>
  <si>
    <r>
      <t xml:space="preserve">Wynagrodzenia bezosobowe </t>
    </r>
    <r>
      <rPr>
        <i/>
        <sz val="9"/>
        <rFont val="Times New Roman CE"/>
        <family val="1"/>
      </rPr>
      <t>- komisje ds. stypendiów szkolnych</t>
    </r>
  </si>
  <si>
    <r>
      <t>Wynagrodzenia osobowe pracowników -</t>
    </r>
    <r>
      <rPr>
        <i/>
        <sz val="9"/>
        <rFont val="Times New Roman CE"/>
        <family val="1"/>
      </rPr>
      <t xml:space="preserve"> odprawy emerytalne, awanse zawodowe</t>
    </r>
  </si>
  <si>
    <t>Zakup materiałów papierniczych do sprzętu drukarskiego i urządzeń kserograficznych - RO</t>
  </si>
  <si>
    <t>Różne opłaty i składki -Fk</t>
  </si>
  <si>
    <t>Fk</t>
  </si>
  <si>
    <t>OP</t>
  </si>
  <si>
    <t>"Leonardo da Vinci" - Praktyka uczniów technikum samochodowego i mechanicznego w Niemczech szansą poznania rynku UE</t>
  </si>
  <si>
    <t>Program "Równy start"</t>
  </si>
  <si>
    <t>w złotych</t>
  </si>
  <si>
    <t xml:space="preserve">Dział </t>
  </si>
  <si>
    <t>WYDATKI OGÓŁEM</t>
  </si>
  <si>
    <t>Wyszczególnienie</t>
  </si>
  <si>
    <t>Plan pierwotny</t>
  </si>
  <si>
    <t xml:space="preserve">Plan po zmianach </t>
  </si>
  <si>
    <t>Wykonanie</t>
  </si>
  <si>
    <t>%         wyk.</t>
  </si>
  <si>
    <t>Plan po zmianach</t>
  </si>
  <si>
    <t>%        wyk.</t>
  </si>
  <si>
    <t>%     wyk.</t>
  </si>
  <si>
    <t>010</t>
  </si>
  <si>
    <t>ROLNICTWO I  ŁOWIECTWO</t>
  </si>
  <si>
    <t>01000</t>
  </si>
  <si>
    <t>Integracja z Unią Europejską</t>
  </si>
  <si>
    <t>4410</t>
  </si>
  <si>
    <t>Podróże służbowe krajowe</t>
  </si>
  <si>
    <t>01021</t>
  </si>
  <si>
    <t>Inspekcja weterynaryjna</t>
  </si>
  <si>
    <t>3020</t>
  </si>
  <si>
    <t>Nagrody i inne wydatki nie zaliczane do wynagrodzeń</t>
  </si>
  <si>
    <t>3030</t>
  </si>
  <si>
    <t>Różne wydatki na rzecz osób fizycznych</t>
  </si>
  <si>
    <t>4010</t>
  </si>
  <si>
    <t>Wynagrodzenia osobowe pracowników</t>
  </si>
  <si>
    <t>4020</t>
  </si>
  <si>
    <t xml:space="preserve">Wynagrodzenia osobowe członków korpusu służby cywilnej </t>
  </si>
  <si>
    <t>4040</t>
  </si>
  <si>
    <t>Dodatkowe wynagrodzenia roczne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</si>
  <si>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</si>
  <si>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</si>
  <si>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</si>
  <si>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</si>
  <si>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</si>
  <si>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</si>
  <si>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4230</t>
  </si>
  <si>
    <t>Zakup leków i materiałów medycznych</t>
  </si>
  <si>
    <t>4260</t>
  </si>
  <si>
    <t>Zakup energii</t>
  </si>
  <si>
    <t>4270</t>
  </si>
  <si>
    <t>Zakup usług remontowych</t>
  </si>
  <si>
    <t>4300</t>
  </si>
  <si>
    <t>Zakup usług pozostałych</t>
  </si>
  <si>
    <t>4430</t>
  </si>
  <si>
    <t>Różne opłaty i składki</t>
  </si>
  <si>
    <t>4440</t>
  </si>
  <si>
    <t>Odpis na ZFŚS</t>
  </si>
  <si>
    <t>4480</t>
  </si>
  <si>
    <t>Podatek od nieruchomości</t>
  </si>
  <si>
    <t>4550</t>
  </si>
  <si>
    <t>Szkolenia członków korpusu służby cywilnej</t>
  </si>
  <si>
    <t>01030</t>
  </si>
  <si>
    <t>Izby Rolnicze</t>
  </si>
  <si>
    <t>2850</t>
  </si>
  <si>
    <t>Wpłaty gmin na rzecz izb rolniczych w wysokości 2% uzyskanych wpływów z podatku rolnego</t>
  </si>
  <si>
    <t>020</t>
  </si>
  <si>
    <t>LEŚNICTWO</t>
  </si>
  <si>
    <t>02002</t>
  </si>
  <si>
    <t>Nadzór nad gospodarką leśną</t>
  </si>
  <si>
    <t xml:space="preserve">Zakup usług pozostałych </t>
  </si>
  <si>
    <t xml:space="preserve">HANDEL </t>
  </si>
  <si>
    <t>Pozostała działalność</t>
  </si>
  <si>
    <t>TRANSPORT I ŁĄCZNOŚĆ</t>
  </si>
  <si>
    <t>Lokalny transport zbiorowy</t>
  </si>
  <si>
    <t>Drogi publiczne w miastach na prawach powiatu</t>
  </si>
  <si>
    <r>
      <t xml:space="preserve">Wydatki inwestycyjne jednostek budżetowych - </t>
    </r>
    <r>
      <rPr>
        <i/>
        <sz val="9"/>
        <rFont val="Times New Roman CE"/>
        <family val="1"/>
      </rPr>
      <t>budowa ul.Władysława IV</t>
    </r>
  </si>
  <si>
    <r>
      <t xml:space="preserve">Wydatki inwestycyjne jednostek budżetowych - </t>
    </r>
    <r>
      <rPr>
        <i/>
        <sz val="9"/>
        <rFont val="Times New Roman CE"/>
        <family val="1"/>
      </rPr>
      <t>budowa ulicy Śródmiejskiej</t>
    </r>
  </si>
  <si>
    <t xml:space="preserve">Drogi publiczne gminne </t>
  </si>
  <si>
    <t>Wynagrodzenia bezosobowe</t>
  </si>
  <si>
    <t xml:space="preserve">Wydatki inwestycyjne jednostek budżetowych </t>
  </si>
  <si>
    <t>Drogi wewnętrzne</t>
  </si>
  <si>
    <t>ZDM</t>
  </si>
  <si>
    <t>Nagrody i wydatki osobowe nie zaliczane do wynagrodzeń</t>
  </si>
  <si>
    <t>Dodatkowe wynagrodzenie roczne</t>
  </si>
  <si>
    <t>Składki na ubezpieczenie społeczne</t>
  </si>
  <si>
    <t>Składki na  FP</t>
  </si>
  <si>
    <t>Wpłaty na PFRON</t>
  </si>
  <si>
    <t>Zakup usług zdrowotnych</t>
  </si>
  <si>
    <t>Zakup pozostałych usług</t>
  </si>
  <si>
    <t>Podróże  służbowe zagraniczne</t>
  </si>
  <si>
    <t xml:space="preserve">Podatek od nieruchomości </t>
  </si>
  <si>
    <t>Pozostałe odsetki</t>
  </si>
  <si>
    <t>Kary i odszkodowania wypłacane na rzecz osób fizycznych</t>
  </si>
  <si>
    <t>Koszty postępowania sadowego i prokuratorskiego</t>
  </si>
  <si>
    <t xml:space="preserve">Wydatki na zakupy inwestycyjne jednostek budżetowych </t>
  </si>
  <si>
    <r>
      <t xml:space="preserve">Wydatki  inwestycyjne jednostek budżetowych </t>
    </r>
    <r>
      <rPr>
        <i/>
        <sz val="9"/>
        <rFont val="Times New Roman CE"/>
        <family val="1"/>
      </rPr>
      <t xml:space="preserve">- rozbudowę systemu antywłamaniowego </t>
    </r>
  </si>
  <si>
    <t>TURYSTYKA</t>
  </si>
  <si>
    <t>Zdania w zakresie upowszechniania turystyki</t>
  </si>
  <si>
    <t>Podróże służbowe zagraniczne</t>
  </si>
  <si>
    <t>GOSPODARKA MIESZKANIOWA</t>
  </si>
  <si>
    <t>Zakłady gospodarki mieszkaniowej - ZBM</t>
  </si>
  <si>
    <t>Dotacja podmiotowa z budżetu dla zakładu budżetowego</t>
  </si>
  <si>
    <t>Dotacje celowe z budżetu na finansowanie lub dofinansowanie kosztów realizacji inwestycji i zakupów inwestycyjnych zakładów budżetowych</t>
  </si>
  <si>
    <t>Gospodarka gruntami i nieruchomościami</t>
  </si>
  <si>
    <t>Wydatki osobowe niezaliczane do wynagrodzeń</t>
  </si>
  <si>
    <t>Zakup pomocy naukowych, dydaktycznych i książek</t>
  </si>
  <si>
    <r>
      <t xml:space="preserve">Zakup pozostałych usług - </t>
    </r>
    <r>
      <rPr>
        <i/>
        <sz val="9"/>
        <rFont val="Times New Roman CE"/>
        <family val="1"/>
      </rPr>
      <t xml:space="preserve">opracowania, podziały geodezyjne, ekspertyzy, wyrysy </t>
    </r>
  </si>
  <si>
    <t>Kary i odszkodowania wypłacane na rzecz osób prawnych i innych jednostek organizacyjnych</t>
  </si>
  <si>
    <r>
      <t xml:space="preserve">Wydatki na zakupy inw. jednostek budżetowych - </t>
    </r>
    <r>
      <rPr>
        <i/>
        <sz val="9"/>
        <rFont val="Times New Roman CE"/>
        <family val="1"/>
      </rPr>
      <t>pierwokupy nieruchomości, rozwiązywanie umów notarialnych, wykupy gruntów</t>
    </r>
  </si>
  <si>
    <t>Towarzystwa budownictwa społecznego</t>
  </si>
  <si>
    <r>
      <t xml:space="preserve">Wydatki na zakup i objęcie akcji oraz wniesienie wkładów do spółek prawa handlowego - </t>
    </r>
    <r>
      <rPr>
        <i/>
        <sz val="9"/>
        <rFont val="Times New Roman CE"/>
        <family val="1"/>
      </rPr>
      <t>KTBS</t>
    </r>
  </si>
  <si>
    <t>Zakup materiałów i wyposażenia  - RO</t>
  </si>
  <si>
    <t>Zakup pozostałych usług -RO</t>
  </si>
  <si>
    <t>Składki na FP</t>
  </si>
  <si>
    <t xml:space="preserve">Kary i odszkodowania wypłacane na rzecz osób prawnych i innych jednostek organizacyjnych </t>
  </si>
  <si>
    <t>Koszty postępowania sądowego i prokuratorskiego</t>
  </si>
  <si>
    <t>Wydatki inwestycyjne jednostek budżetowych</t>
  </si>
  <si>
    <t>Budowa budynku komunalnego</t>
  </si>
  <si>
    <t>DZIAŁALNOŚĆ USŁUGOWA</t>
  </si>
  <si>
    <t>Plany zagospodarowania przestrzennego</t>
  </si>
  <si>
    <t>Składki na Fundusz Pracy</t>
  </si>
  <si>
    <t>Prace geodezyjne i kartograficzne (nieinwestycyjne)</t>
  </si>
  <si>
    <t>Opracowania geodezyjne i kartograficzne</t>
  </si>
  <si>
    <t>Nadzór budowlany</t>
  </si>
  <si>
    <t>Krajowe podróże służbowe</t>
  </si>
  <si>
    <t>Cmentarze</t>
  </si>
  <si>
    <r>
      <t xml:space="preserve">Zakup usług pozostałych - </t>
    </r>
    <r>
      <rPr>
        <i/>
        <sz val="9"/>
        <rFont val="Times New Roman CE"/>
        <family val="1"/>
      </rPr>
      <t>z tytułu  porozumień</t>
    </r>
  </si>
  <si>
    <r>
      <t xml:space="preserve">Zakup usług pozostałych  - </t>
    </r>
    <r>
      <rPr>
        <i/>
        <sz val="9"/>
        <rFont val="Times New Roman CE"/>
        <family val="1"/>
      </rPr>
      <t>utrzymanie cmentarza</t>
    </r>
  </si>
  <si>
    <t>ADMINISTRACJA PUBLICZNA</t>
  </si>
  <si>
    <t>Urzędy Wojewódzkie</t>
  </si>
  <si>
    <t xml:space="preserve"> </t>
  </si>
  <si>
    <t>Starostwa powiatowe</t>
  </si>
  <si>
    <t>Dotacje celowe przekazane dla powiatu na zadania bieżące realizowane na podstawie porozumień między j.s.t.</t>
  </si>
  <si>
    <t>Wynagrodzenia osobowe</t>
  </si>
  <si>
    <t>Rada Miejska</t>
  </si>
  <si>
    <t>Biuro Rady Miejskiej</t>
  </si>
  <si>
    <t xml:space="preserve">Nagrody o charakterze szczególnym niezaliczane do wynagrodzeń </t>
  </si>
  <si>
    <t>Młodzieżowa Rada Miasta</t>
  </si>
  <si>
    <t>Urząd Miejski</t>
  </si>
  <si>
    <t>Organizacyjno-Administr.</t>
  </si>
  <si>
    <t>Straż Miejska</t>
  </si>
  <si>
    <t>Rp</t>
  </si>
  <si>
    <t>BHP</t>
  </si>
  <si>
    <t>Różne wydatki na rzecz osób fizycznych - OA</t>
  </si>
  <si>
    <t xml:space="preserve">Wynagrodzenia agencyjno - prowizyjne </t>
  </si>
  <si>
    <r>
      <t>Wynagrodzenia agencyjno - prowizyjne</t>
    </r>
    <r>
      <rPr>
        <i/>
        <sz val="9"/>
        <rFont val="Times New Roman CE"/>
        <family val="1"/>
      </rPr>
      <t xml:space="preserve"> - IK</t>
    </r>
  </si>
  <si>
    <r>
      <t>Składki na ubezpieczenia społeczne</t>
    </r>
    <r>
      <rPr>
        <i/>
        <sz val="9"/>
        <rFont val="Times New Roman CE"/>
        <family val="1"/>
      </rPr>
      <t xml:space="preserve"> - E</t>
    </r>
  </si>
  <si>
    <r>
      <t>Składki na FP</t>
    </r>
    <r>
      <rPr>
        <i/>
        <sz val="9"/>
        <rFont val="Times New Roman CE"/>
        <family val="1"/>
      </rPr>
      <t xml:space="preserve"> - OA</t>
    </r>
  </si>
  <si>
    <r>
      <t xml:space="preserve">Składki na FP </t>
    </r>
    <r>
      <rPr>
        <i/>
        <sz val="9"/>
        <rFont val="Times New Roman CE"/>
        <family val="1"/>
      </rPr>
      <t>- E</t>
    </r>
  </si>
  <si>
    <r>
      <t>Wynagrodzenia bezosobowe</t>
    </r>
    <r>
      <rPr>
        <i/>
        <sz val="9"/>
        <rFont val="Times New Roman CE"/>
        <family val="1"/>
      </rPr>
      <t xml:space="preserve"> - E</t>
    </r>
  </si>
  <si>
    <r>
      <t>Zakup materiałów i wyposażenia</t>
    </r>
    <r>
      <rPr>
        <i/>
        <sz val="9"/>
        <rFont val="Times New Roman CE"/>
        <family val="1"/>
      </rPr>
      <t xml:space="preserve"> </t>
    </r>
  </si>
  <si>
    <t>Organizacujno-Administ.</t>
  </si>
  <si>
    <t xml:space="preserve"> Straż Miejska</t>
  </si>
  <si>
    <t xml:space="preserve"> Komunikacja</t>
  </si>
  <si>
    <t xml:space="preserve"> Biuro Informatyki </t>
  </si>
  <si>
    <t xml:space="preserve">BHP </t>
  </si>
  <si>
    <t>Wydz. O- A</t>
  </si>
  <si>
    <t>Zakup usług pozostałych  w tym:</t>
  </si>
  <si>
    <t>Wydz. Komunikacja</t>
  </si>
  <si>
    <t>Wydz. Fk</t>
  </si>
  <si>
    <t>Biuro Zamówień Publicznych</t>
  </si>
  <si>
    <t>Inf.</t>
  </si>
  <si>
    <r>
      <t>Podróże służbowe zagraniczne -</t>
    </r>
    <r>
      <rPr>
        <i/>
        <sz val="9"/>
        <rFont val="Times New Roman CE"/>
        <family val="1"/>
      </rPr>
      <t xml:space="preserve"> RWZ</t>
    </r>
  </si>
  <si>
    <r>
      <t>Koszty postępowania sądowego -</t>
    </r>
    <r>
      <rPr>
        <i/>
        <sz val="9"/>
        <rFont val="Times New Roman CE"/>
        <family val="1"/>
      </rPr>
      <t xml:space="preserve"> Rp</t>
    </r>
  </si>
  <si>
    <r>
      <t>Koszty postępowania sądowego -</t>
    </r>
    <r>
      <rPr>
        <i/>
        <sz val="9"/>
        <rFont val="Times New Roman CE"/>
        <family val="1"/>
      </rPr>
      <t xml:space="preserve"> Fk</t>
    </r>
  </si>
  <si>
    <t xml:space="preserve">Wydatki na zakupy inwestycyjne jednostek budżetowych             </t>
  </si>
  <si>
    <t xml:space="preserve">Komisje poborowe </t>
  </si>
  <si>
    <t>Zakup usług  pozostałych</t>
  </si>
  <si>
    <r>
      <t xml:space="preserve">Nagrody o charakterze szczególnym niezaliczane do wynagrodzeń - </t>
    </r>
    <r>
      <rPr>
        <i/>
        <sz val="9"/>
        <rFont val="Times New Roman CE"/>
        <family val="1"/>
      </rPr>
      <t>USC</t>
    </r>
  </si>
  <si>
    <r>
      <t xml:space="preserve">Składki na ubezpieczenia społeczne - </t>
    </r>
    <r>
      <rPr>
        <i/>
        <sz val="9"/>
        <rFont val="Times New Roman CE"/>
        <family val="1"/>
      </rPr>
      <t>RWZ</t>
    </r>
  </si>
  <si>
    <r>
      <t xml:space="preserve">Składki na FP </t>
    </r>
    <r>
      <rPr>
        <i/>
        <sz val="9"/>
        <rFont val="Times New Roman CE"/>
        <family val="1"/>
      </rPr>
      <t>- RWZ</t>
    </r>
  </si>
  <si>
    <r>
      <t xml:space="preserve">Wynagrodzenia bezosobowe </t>
    </r>
    <r>
      <rPr>
        <i/>
        <sz val="9"/>
        <rFont val="Times New Roman CE"/>
        <family val="1"/>
      </rPr>
      <t>-RWZ</t>
    </r>
  </si>
  <si>
    <r>
      <t>Zakupy materiałów i wyposażenia -</t>
    </r>
    <r>
      <rPr>
        <i/>
        <sz val="9"/>
        <rFont val="Times New Roman CE"/>
        <family val="1"/>
      </rPr>
      <t xml:space="preserve"> RWZ</t>
    </r>
  </si>
  <si>
    <r>
      <t xml:space="preserve">Zakup pozostałych usług </t>
    </r>
    <r>
      <rPr>
        <i/>
        <sz val="9"/>
        <rFont val="Times New Roman CE"/>
        <family val="1"/>
      </rPr>
      <t>- RWZ</t>
    </r>
  </si>
  <si>
    <r>
      <t>Różne opłaty i składki -  R</t>
    </r>
    <r>
      <rPr>
        <i/>
        <sz val="9"/>
        <rFont val="Times New Roman CE"/>
        <family val="1"/>
      </rPr>
      <t>WZ</t>
    </r>
  </si>
  <si>
    <t xml:space="preserve"> - dofinansowanie Regionalnego Centrum Informacji Europejskiej - RCIE</t>
  </si>
  <si>
    <t xml:space="preserve"> - dofinansowanie działalności CIP</t>
  </si>
  <si>
    <t>URZĘDY NACZELNYCH ORGANÓW WŁADZY PAŃSTWOWEJ, KONTROLI I OCHRONY PRAWA ORAZ SĄDOWNICTWA</t>
  </si>
  <si>
    <t>Urzędy naczelnych organów władzy państwowej, kontroli i ochrony prawa</t>
  </si>
  <si>
    <t xml:space="preserve">Składki na FP </t>
  </si>
  <si>
    <t xml:space="preserve">Zakup materiałów i wyposażenia </t>
  </si>
  <si>
    <t>Wybory Prezydenta Rzeczpospolitej Polskiej</t>
  </si>
  <si>
    <t>Wybory do sejmu i senatu</t>
  </si>
  <si>
    <t xml:space="preserve">Nagrody i wydatki osobowe nie zaliczane do wynagrodzeń </t>
  </si>
  <si>
    <t>Autor dokumentu: Małgorzata Liwak</t>
  </si>
  <si>
    <t>Wprowadził do BIP: Agnieszka Sulewska</t>
  </si>
  <si>
    <t>Data wprowadzenia do BIP:13.10.2008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</si>
</sst>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</numFmts>
  <fonts count="23">
    <font>
      <sz val="10"/>
      <name val="Arial CE"/>
      <family val="0"/>
    </font>
    <font>
      <sz val="9"/>
      <name val="Times New Roman CE"/>
      <family val="0"/>
    </font>
    <font>
      <sz val="10"/>
      <name val="Times New Roman CE"/>
      <family val="0"/>
    </font>
    <font>
      <i/>
      <sz val="9"/>
      <name val="Times New Roman CE"/>
      <family val="1"/>
    </font>
    <font>
      <b/>
      <sz val="10"/>
      <name val="Times New Roman CE"/>
      <family val="0"/>
    </font>
    <font>
      <b/>
      <sz val="12"/>
      <name val="Times New Roman CE"/>
      <family val="1"/>
    </font>
    <font>
      <b/>
      <sz val="14"/>
      <name val="Times New Roman CE"/>
      <family val="1"/>
    </font>
    <font>
      <b/>
      <sz val="11"/>
      <name val="Times New Roman CE"/>
      <family val="0"/>
    </font>
    <font>
      <b/>
      <sz val="9"/>
      <name val="Times New Roman CE"/>
      <family val="1"/>
    </font>
    <font>
      <i/>
      <sz val="10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i/>
      <sz val="7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8"/>
      <name val="Times New Roman CE"/>
      <family val="1"/>
    </font>
    <font>
      <b/>
      <i/>
      <sz val="7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0">
    <xf numFmtId="0" fontId="0" fillId="0" borderId="0" xfId="0" applyAlignment="1">
      <alignment/>
    </xf>
    <xf numFmtId="1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wrapText="1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Continuous" vertical="center"/>
    </xf>
    <xf numFmtId="3" fontId="4" fillId="0" borderId="0" xfId="0" applyNumberFormat="1" applyFont="1" applyBorder="1" applyAlignment="1">
      <alignment horizontal="centerContinuous" vertical="center"/>
    </xf>
    <xf numFmtId="1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3" fontId="4" fillId="0" borderId="0" xfId="0" applyNumberFormat="1" applyFont="1" applyFill="1" applyBorder="1" applyAlignment="1" applyProtection="1">
      <alignment horizontal="centerContinuous" vertical="center"/>
      <protection locked="0"/>
    </xf>
    <xf numFmtId="3" fontId="2" fillId="0" borderId="0" xfId="0" applyNumberFormat="1" applyFont="1" applyFill="1" applyBorder="1" applyAlignment="1" applyProtection="1">
      <alignment horizontal="centerContinuous" vertical="center"/>
      <protection locked="0"/>
    </xf>
    <xf numFmtId="3" fontId="0" fillId="0" borderId="0" xfId="0" applyNumberFormat="1" applyFont="1" applyAlignment="1">
      <alignment horizontal="centerContinuous"/>
    </xf>
    <xf numFmtId="164" fontId="7" fillId="0" borderId="0" xfId="0" applyNumberFormat="1" applyFont="1" applyBorder="1" applyAlignment="1">
      <alignment vertical="center"/>
    </xf>
    <xf numFmtId="1" fontId="1" fillId="0" borderId="0" xfId="0" applyNumberFormat="1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wrapText="1"/>
      <protection locked="0"/>
    </xf>
    <xf numFmtId="3" fontId="2" fillId="0" borderId="0" xfId="0" applyNumberFormat="1" applyFont="1" applyFill="1" applyBorder="1" applyAlignment="1" applyProtection="1">
      <alignment horizontal="centerContinuous" vertical="center"/>
      <protection locked="0"/>
    </xf>
    <xf numFmtId="3" fontId="2" fillId="0" borderId="0" xfId="0" applyNumberFormat="1" applyFont="1" applyFill="1" applyBorder="1" applyAlignment="1" applyProtection="1">
      <alignment horizontal="left" vertical="center"/>
      <protection locked="0"/>
    </xf>
    <xf numFmtId="3" fontId="2" fillId="0" borderId="0" xfId="0" applyNumberFormat="1" applyFont="1" applyAlignment="1">
      <alignment horizontal="centerContinuous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2" xfId="0" applyNumberFormat="1" applyFont="1" applyFill="1" applyBorder="1" applyAlignment="1" applyProtection="1">
      <alignment horizontal="centerContinuous" vertical="center" wrapText="1"/>
      <protection locked="0"/>
    </xf>
    <xf numFmtId="3" fontId="7" fillId="0" borderId="1" xfId="0" applyNumberFormat="1" applyFont="1" applyFill="1" applyBorder="1" applyAlignment="1" applyProtection="1">
      <alignment horizontal="centerContinuous" vertical="center"/>
      <protection locked="0"/>
    </xf>
    <xf numFmtId="3" fontId="2" fillId="0" borderId="3" xfId="0" applyNumberFormat="1" applyFont="1" applyFill="1" applyBorder="1" applyAlignment="1" applyProtection="1">
      <alignment horizontal="centerContinuous" vertical="center"/>
      <protection locked="0"/>
    </xf>
    <xf numFmtId="3" fontId="4" fillId="0" borderId="3" xfId="0" applyNumberFormat="1" applyFont="1" applyFill="1" applyBorder="1" applyAlignment="1" applyProtection="1">
      <alignment horizontal="centerContinuous" vertical="center"/>
      <protection locked="0"/>
    </xf>
    <xf numFmtId="3" fontId="8" fillId="0" borderId="4" xfId="0" applyNumberFormat="1" applyFont="1" applyFill="1" applyBorder="1" applyAlignment="1" applyProtection="1">
      <alignment horizontal="centerContinuous" vertical="center"/>
      <protection locked="0"/>
    </xf>
    <xf numFmtId="3" fontId="8" fillId="0" borderId="3" xfId="0" applyNumberFormat="1" applyFont="1" applyFill="1" applyBorder="1" applyAlignment="1" applyProtection="1">
      <alignment horizontal="centerContinuous" vertical="center"/>
      <protection locked="0"/>
    </xf>
    <xf numFmtId="3" fontId="4" fillId="0" borderId="5" xfId="0" applyNumberFormat="1" applyFont="1" applyFill="1" applyBorder="1" applyAlignment="1" applyProtection="1">
      <alignment horizontal="centerContinuous" vertical="center"/>
      <protection locked="0"/>
    </xf>
    <xf numFmtId="3" fontId="8" fillId="0" borderId="6" xfId="0" applyNumberFormat="1" applyFont="1" applyFill="1" applyBorder="1" applyAlignment="1" applyProtection="1">
      <alignment horizontal="centerContinuous" vertical="center"/>
      <protection locked="0"/>
    </xf>
    <xf numFmtId="3" fontId="4" fillId="0" borderId="4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0" xfId="0" applyNumberFormat="1" applyFont="1" applyBorder="1" applyAlignment="1">
      <alignment vertical="center"/>
    </xf>
    <xf numFmtId="1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8" xfId="18" applyNumberFormat="1" applyFont="1" applyFill="1" applyBorder="1" applyAlignment="1" applyProtection="1">
      <alignment horizontal="center" vertical="center" wrapText="1"/>
      <protection locked="0"/>
    </xf>
    <xf numFmtId="3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Border="1" applyAlignment="1">
      <alignment horizontal="center" vertical="center"/>
    </xf>
    <xf numFmtId="1" fontId="10" fillId="0" borderId="14" xfId="0" applyNumberFormat="1" applyFont="1" applyFill="1" applyBorder="1" applyAlignment="1" applyProtection="1">
      <alignment horizontal="centerContinuous" vertical="center"/>
      <protection locked="0"/>
    </xf>
    <xf numFmtId="1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4" xfId="0" applyNumberFormat="1" applyFont="1" applyFill="1" applyBorder="1" applyAlignment="1" applyProtection="1">
      <alignment horizontal="center" vertical="center"/>
      <protection locked="0"/>
    </xf>
    <xf numFmtId="3" fontId="10" fillId="0" borderId="16" xfId="0" applyNumberFormat="1" applyFont="1" applyFill="1" applyBorder="1" applyAlignment="1" applyProtection="1">
      <alignment horizontal="center" vertical="center"/>
      <protection locked="0"/>
    </xf>
    <xf numFmtId="3" fontId="10" fillId="0" borderId="17" xfId="0" applyNumberFormat="1" applyFont="1" applyFill="1" applyBorder="1" applyAlignment="1" applyProtection="1">
      <alignment horizontal="center" vertical="center"/>
      <protection locked="0"/>
    </xf>
    <xf numFmtId="3" fontId="10" fillId="0" borderId="18" xfId="0" applyNumberFormat="1" applyFont="1" applyFill="1" applyBorder="1" applyAlignment="1" applyProtection="1">
      <alignment horizontal="center" vertical="center"/>
      <protection locked="0"/>
    </xf>
    <xf numFmtId="3" fontId="10" fillId="0" borderId="19" xfId="0" applyNumberFormat="1" applyFont="1" applyFill="1" applyBorder="1" applyAlignment="1" applyProtection="1">
      <alignment horizontal="center" vertical="center"/>
      <protection locked="0"/>
    </xf>
    <xf numFmtId="1" fontId="10" fillId="0" borderId="0" xfId="0" applyNumberFormat="1" applyFont="1" applyBorder="1" applyAlignment="1">
      <alignment/>
    </xf>
    <xf numFmtId="49" fontId="8" fillId="0" borderId="14" xfId="0" applyNumberFormat="1" applyFont="1" applyFill="1" applyBorder="1" applyAlignment="1" applyProtection="1">
      <alignment horizontal="centerContinuous" vertical="center"/>
      <protection locked="0"/>
    </xf>
    <xf numFmtId="1" fontId="8" fillId="0" borderId="15" xfId="0" applyNumberFormat="1" applyFont="1" applyFill="1" applyBorder="1" applyAlignment="1" applyProtection="1">
      <alignment horizontal="lef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 locked="0"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3" fontId="4" fillId="0" borderId="18" xfId="0" applyNumberFormat="1" applyFont="1" applyFill="1" applyBorder="1" applyAlignment="1" applyProtection="1">
      <alignment horizontal="center" vertical="center"/>
      <protection locked="0"/>
    </xf>
    <xf numFmtId="3" fontId="4" fillId="0" borderId="16" xfId="0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Border="1" applyAlignment="1">
      <alignment/>
    </xf>
    <xf numFmtId="49" fontId="8" fillId="0" borderId="20" xfId="0" applyNumberFormat="1" applyFont="1" applyFill="1" applyBorder="1" applyAlignment="1" applyProtection="1">
      <alignment horizontal="centerContinuous" vertical="center"/>
      <protection locked="0"/>
    </xf>
    <xf numFmtId="1" fontId="8" fillId="0" borderId="21" xfId="0" applyNumberFormat="1" applyFont="1" applyFill="1" applyBorder="1" applyAlignment="1" applyProtection="1">
      <alignment horizontal="lef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/>
      <protection locked="0"/>
    </xf>
    <xf numFmtId="3" fontId="4" fillId="0" borderId="22" xfId="0" applyNumberFormat="1" applyFont="1" applyFill="1" applyBorder="1" applyAlignment="1" applyProtection="1">
      <alignment vertical="center"/>
      <protection locked="0"/>
    </xf>
    <xf numFmtId="3" fontId="4" fillId="0" borderId="22" xfId="0" applyNumberFormat="1" applyFont="1" applyFill="1" applyBorder="1" applyAlignment="1" applyProtection="1">
      <alignment horizontal="right" vertical="center"/>
      <protection locked="0"/>
    </xf>
    <xf numFmtId="3" fontId="4" fillId="0" borderId="23" xfId="0" applyNumberFormat="1" applyFont="1" applyFill="1" applyBorder="1" applyAlignment="1" applyProtection="1">
      <alignment horizontal="right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49" fontId="1" fillId="0" borderId="7" xfId="0" applyNumberFormat="1" applyFont="1" applyFill="1" applyBorder="1" applyAlignment="1" applyProtection="1">
      <alignment horizontal="centerContinuous" vertical="center"/>
      <protection locked="0"/>
    </xf>
    <xf numFmtId="1" fontId="1" fillId="0" borderId="8" xfId="0" applyNumberFormat="1" applyFont="1" applyFill="1" applyBorder="1" applyAlignment="1" applyProtection="1">
      <alignment horizontal="left" vertical="center" wrapText="1"/>
      <protection locked="0"/>
    </xf>
    <xf numFmtId="3" fontId="2" fillId="0" borderId="7" xfId="0" applyNumberFormat="1" applyFont="1" applyFill="1" applyBorder="1" applyAlignment="1" applyProtection="1">
      <alignment horizontal="right"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horizontal="right" vertical="center"/>
      <protection locked="0"/>
    </xf>
    <xf numFmtId="3" fontId="2" fillId="0" borderId="24" xfId="0" applyNumberFormat="1" applyFont="1" applyFill="1" applyBorder="1" applyAlignment="1" applyProtection="1">
      <alignment horizontal="right" vertical="center"/>
      <protection locked="0"/>
    </xf>
    <xf numFmtId="3" fontId="2" fillId="0" borderId="24" xfId="0" applyNumberFormat="1" applyFont="1" applyFill="1" applyBorder="1" applyAlignment="1" applyProtection="1">
      <alignment horizontal="center" vertical="center"/>
      <protection locked="0"/>
    </xf>
    <xf numFmtId="3" fontId="2" fillId="0" borderId="13" xfId="0" applyNumberFormat="1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Border="1" applyAlignment="1">
      <alignment/>
    </xf>
    <xf numFmtId="49" fontId="8" fillId="0" borderId="25" xfId="0" applyNumberFormat="1" applyFont="1" applyFill="1" applyBorder="1" applyAlignment="1" applyProtection="1">
      <alignment horizontal="centerContinuous" vertical="center"/>
      <protection locked="0"/>
    </xf>
    <xf numFmtId="1" fontId="8" fillId="0" borderId="26" xfId="0" applyNumberFormat="1" applyFont="1" applyFill="1" applyBorder="1" applyAlignment="1" applyProtection="1">
      <alignment horizontal="left" vertical="center" wrapText="1"/>
      <protection locked="0"/>
    </xf>
    <xf numFmtId="3" fontId="4" fillId="0" borderId="25" xfId="0" applyNumberFormat="1" applyFont="1" applyFill="1" applyBorder="1" applyAlignment="1" applyProtection="1">
      <alignment horizontal="right" vertical="center"/>
      <protection locked="0"/>
    </xf>
    <xf numFmtId="3" fontId="4" fillId="0" borderId="27" xfId="0" applyNumberFormat="1" applyFont="1" applyFill="1" applyBorder="1" applyAlignment="1" applyProtection="1">
      <alignment horizontal="right" vertical="center"/>
      <protection locked="0"/>
    </xf>
    <xf numFmtId="3" fontId="4" fillId="0" borderId="27" xfId="0" applyNumberFormat="1" applyFont="1" applyFill="1" applyBorder="1" applyAlignment="1" applyProtection="1">
      <alignment vertical="center"/>
      <protection locked="0"/>
    </xf>
    <xf numFmtId="3" fontId="4" fillId="0" borderId="27" xfId="0" applyNumberFormat="1" applyFont="1" applyFill="1" applyBorder="1" applyAlignment="1" applyProtection="1">
      <alignment horizontal="center" vertical="center"/>
      <protection locked="0"/>
    </xf>
    <xf numFmtId="3" fontId="4" fillId="0" borderId="28" xfId="0" applyNumberFormat="1" applyFont="1" applyFill="1" applyBorder="1" applyAlignment="1" applyProtection="1">
      <alignment horizontal="center" vertical="center"/>
      <protection locked="0"/>
    </xf>
    <xf numFmtId="3" fontId="4" fillId="0" borderId="27" xfId="0" applyNumberFormat="1" applyFont="1" applyFill="1" applyBorder="1" applyAlignment="1" applyProtection="1">
      <alignment horizontal="right" vertical="center"/>
      <protection locked="0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3" fontId="2" fillId="0" borderId="9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49" fontId="8" fillId="0" borderId="25" xfId="0" applyNumberFormat="1" applyFont="1" applyFill="1" applyBorder="1" applyAlignment="1" applyProtection="1">
      <alignment horizontal="centerContinuous" vertical="center"/>
      <protection locked="0"/>
    </xf>
    <xf numFmtId="1" fontId="8" fillId="0" borderId="26" xfId="0" applyNumberFormat="1" applyFont="1" applyFill="1" applyBorder="1" applyAlignment="1" applyProtection="1">
      <alignment horizontal="left" vertical="center" wrapText="1"/>
      <protection locked="0"/>
    </xf>
    <xf numFmtId="3" fontId="4" fillId="0" borderId="25" xfId="0" applyNumberFormat="1" applyFont="1" applyFill="1" applyBorder="1" applyAlignment="1" applyProtection="1">
      <alignment vertical="center"/>
      <protection locked="0"/>
    </xf>
    <xf numFmtId="3" fontId="4" fillId="0" borderId="27" xfId="0" applyNumberFormat="1" applyFont="1" applyFill="1" applyBorder="1" applyAlignment="1" applyProtection="1">
      <alignment vertical="center"/>
      <protection locked="0"/>
    </xf>
    <xf numFmtId="3" fontId="4" fillId="0" borderId="26" xfId="0" applyNumberFormat="1" applyFont="1" applyFill="1" applyBorder="1" applyAlignment="1" applyProtection="1">
      <alignment horizontal="right" vertical="center"/>
      <protection locked="0"/>
    </xf>
    <xf numFmtId="3" fontId="4" fillId="0" borderId="27" xfId="0" applyNumberFormat="1" applyFont="1" applyFill="1" applyBorder="1" applyAlignment="1" applyProtection="1">
      <alignment horizontal="center" vertical="center"/>
      <protection locked="0"/>
    </xf>
    <xf numFmtId="3" fontId="4" fillId="0" borderId="25" xfId="0" applyNumberFormat="1" applyFont="1" applyFill="1" applyBorder="1" applyAlignment="1" applyProtection="1">
      <alignment horizontal="right" vertical="center"/>
      <protection locked="0"/>
    </xf>
    <xf numFmtId="1" fontId="8" fillId="0" borderId="0" xfId="0" applyNumberFormat="1" applyFont="1" applyBorder="1" applyAlignment="1">
      <alignment/>
    </xf>
    <xf numFmtId="49" fontId="1" fillId="0" borderId="9" xfId="0" applyNumberFormat="1" applyFont="1" applyFill="1" applyBorder="1" applyAlignment="1" applyProtection="1">
      <alignment horizontal="centerContinuous" vertical="center"/>
      <protection locked="0"/>
    </xf>
    <xf numFmtId="1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3" fontId="2" fillId="0" borderId="9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1" fontId="1" fillId="0" borderId="9" xfId="0" applyNumberFormat="1" applyFont="1" applyFill="1" applyBorder="1" applyAlignment="1" applyProtection="1">
      <alignment horizontal="centerContinuous" vertical="center"/>
      <protection locked="0"/>
    </xf>
    <xf numFmtId="1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3" fontId="2" fillId="0" borderId="29" xfId="0" applyNumberFormat="1" applyFont="1" applyFill="1" applyBorder="1" applyAlignment="1" applyProtection="1">
      <alignment horizontal="center"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1" fontId="1" fillId="0" borderId="0" xfId="0" applyNumberFormat="1" applyFont="1" applyBorder="1" applyAlignment="1">
      <alignment/>
    </xf>
    <xf numFmtId="1" fontId="8" fillId="0" borderId="14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15" xfId="18" applyNumberFormat="1" applyFont="1" applyFill="1" applyBorder="1" applyAlignment="1" applyProtection="1">
      <alignment vertical="center" wrapText="1"/>
      <protection locked="0"/>
    </xf>
    <xf numFmtId="3" fontId="4" fillId="0" borderId="14" xfId="0" applyNumberFormat="1" applyFont="1" applyFill="1" applyBorder="1" applyAlignment="1" applyProtection="1">
      <alignment vertical="center"/>
      <protection locked="0"/>
    </xf>
    <xf numFmtId="3" fontId="4" fillId="0" borderId="18" xfId="0" applyNumberFormat="1" applyFont="1" applyFill="1" applyBorder="1" applyAlignment="1" applyProtection="1">
      <alignment vertical="center"/>
      <protection locked="0"/>
    </xf>
    <xf numFmtId="164" fontId="8" fillId="0" borderId="0" xfId="0" applyNumberFormat="1" applyFont="1" applyBorder="1" applyAlignment="1">
      <alignment/>
    </xf>
    <xf numFmtId="1" fontId="8" fillId="0" borderId="25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26" xfId="18" applyNumberFormat="1" applyFont="1" applyFill="1" applyBorder="1" applyAlignment="1" applyProtection="1">
      <alignment horizontal="left" vertical="center" wrapText="1"/>
      <protection locked="0"/>
    </xf>
    <xf numFmtId="3" fontId="4" fillId="0" borderId="25" xfId="0" applyNumberFormat="1" applyFont="1" applyFill="1" applyBorder="1" applyAlignment="1" applyProtection="1">
      <alignment vertical="center"/>
      <protection locked="0"/>
    </xf>
    <xf numFmtId="3" fontId="4" fillId="0" borderId="30" xfId="0" applyNumberFormat="1" applyFont="1" applyFill="1" applyBorder="1" applyAlignment="1" applyProtection="1">
      <alignment vertical="center"/>
      <protection locked="0"/>
    </xf>
    <xf numFmtId="3" fontId="4" fillId="0" borderId="28" xfId="0" applyNumberFormat="1" applyFont="1" applyFill="1" applyBorder="1" applyAlignment="1" applyProtection="1">
      <alignment vertical="center"/>
      <protection locked="0"/>
    </xf>
    <xf numFmtId="1" fontId="1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8" xfId="18" applyNumberFormat="1" applyFont="1" applyFill="1" applyBorder="1" applyAlignment="1" applyProtection="1">
      <alignment horizontal="left" vertical="center" wrapText="1"/>
      <protection locked="0"/>
    </xf>
    <xf numFmtId="3" fontId="2" fillId="0" borderId="24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horizontal="right" vertical="center"/>
      <protection locked="0"/>
    </xf>
    <xf numFmtId="164" fontId="1" fillId="0" borderId="8" xfId="18" applyNumberFormat="1" applyFont="1" applyFill="1" applyBorder="1" applyAlignment="1" applyProtection="1">
      <alignment vertical="center" wrapText="1"/>
      <protection locked="0"/>
    </xf>
    <xf numFmtId="3" fontId="2" fillId="0" borderId="31" xfId="0" applyNumberFormat="1" applyFont="1" applyFill="1" applyBorder="1" applyAlignment="1" applyProtection="1">
      <alignment vertical="center"/>
      <protection locked="0"/>
    </xf>
    <xf numFmtId="3" fontId="2" fillId="0" borderId="32" xfId="0" applyNumberFormat="1" applyFont="1" applyFill="1" applyBorder="1" applyAlignment="1" applyProtection="1">
      <alignment vertical="center"/>
      <protection locked="0"/>
    </xf>
    <xf numFmtId="1" fontId="8" fillId="0" borderId="14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15" xfId="18" applyNumberFormat="1" applyFont="1" applyFill="1" applyBorder="1" applyAlignment="1" applyProtection="1">
      <alignment vertical="center" wrapText="1"/>
      <protection locked="0"/>
    </xf>
    <xf numFmtId="3" fontId="4" fillId="0" borderId="14" xfId="0" applyNumberFormat="1" applyFont="1" applyFill="1" applyBorder="1" applyAlignment="1" applyProtection="1">
      <alignment vertical="center"/>
      <protection locked="0"/>
    </xf>
    <xf numFmtId="3" fontId="4" fillId="0" borderId="18" xfId="0" applyNumberFormat="1" applyFont="1" applyFill="1" applyBorder="1" applyAlignment="1" applyProtection="1">
      <alignment vertical="center"/>
      <protection locked="0"/>
    </xf>
    <xf numFmtId="1" fontId="8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8" xfId="18" applyNumberFormat="1" applyFont="1" applyFill="1" applyBorder="1" applyAlignment="1" applyProtection="1">
      <alignment vertical="center" wrapText="1"/>
      <protection locked="0"/>
    </xf>
    <xf numFmtId="3" fontId="4" fillId="0" borderId="7" xfId="0" applyNumberFormat="1" applyFont="1" applyFill="1" applyBorder="1" applyAlignment="1" applyProtection="1">
      <alignment vertical="center"/>
      <protection locked="0"/>
    </xf>
    <xf numFmtId="3" fontId="4" fillId="0" borderId="33" xfId="0" applyNumberFormat="1" applyFont="1" applyFill="1" applyBorder="1" applyAlignment="1" applyProtection="1">
      <alignment vertical="center"/>
      <protection locked="0"/>
    </xf>
    <xf numFmtId="3" fontId="4" fillId="0" borderId="13" xfId="0" applyNumberFormat="1" applyFont="1" applyFill="1" applyBorder="1" applyAlignment="1" applyProtection="1">
      <alignment vertical="center"/>
      <protection locked="0"/>
    </xf>
    <xf numFmtId="3" fontId="4" fillId="0" borderId="24" xfId="0" applyNumberFormat="1" applyFont="1" applyFill="1" applyBorder="1" applyAlignment="1" applyProtection="1">
      <alignment vertical="center"/>
      <protection locked="0"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3" fontId="4" fillId="0" borderId="8" xfId="0" applyNumberFormat="1" applyFont="1" applyFill="1" applyBorder="1" applyAlignment="1" applyProtection="1">
      <alignment vertical="center"/>
      <protection locked="0"/>
    </xf>
    <xf numFmtId="164" fontId="8" fillId="0" borderId="0" xfId="0" applyNumberFormat="1" applyFont="1" applyBorder="1" applyAlignment="1">
      <alignment/>
    </xf>
    <xf numFmtId="1" fontId="1" fillId="0" borderId="25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26" xfId="18" applyNumberFormat="1" applyFont="1" applyFill="1" applyBorder="1" applyAlignment="1" applyProtection="1">
      <alignment vertical="center" wrapText="1"/>
      <protection locked="0"/>
    </xf>
    <xf numFmtId="3" fontId="2" fillId="0" borderId="25" xfId="0" applyNumberFormat="1" applyFont="1" applyFill="1" applyBorder="1" applyAlignment="1" applyProtection="1">
      <alignment vertical="center"/>
      <protection locked="0"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3" fontId="2" fillId="0" borderId="28" xfId="0" applyNumberFormat="1" applyFont="1" applyFill="1" applyBorder="1" applyAlignment="1" applyProtection="1">
      <alignment vertical="center"/>
      <protection locked="0"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1" fontId="8" fillId="0" borderId="25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26" xfId="18" applyNumberFormat="1" applyFont="1" applyFill="1" applyBorder="1" applyAlignment="1" applyProtection="1">
      <alignment horizontal="left" vertical="center" wrapText="1"/>
      <protection locked="0"/>
    </xf>
    <xf numFmtId="3" fontId="4" fillId="0" borderId="28" xfId="0" applyNumberFormat="1" applyFont="1" applyFill="1" applyBorder="1" applyAlignment="1" applyProtection="1">
      <alignment horizontal="right" vertical="center"/>
      <protection locked="0"/>
    </xf>
    <xf numFmtId="3" fontId="2" fillId="0" borderId="24" xfId="0" applyNumberFormat="1" applyFont="1" applyFill="1" applyBorder="1" applyAlignment="1" applyProtection="1">
      <alignment horizontal="right" vertical="center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3" fontId="2" fillId="0" borderId="30" xfId="0" applyNumberFormat="1" applyFont="1" applyFill="1" applyBorder="1" applyAlignment="1" applyProtection="1">
      <alignment vertical="center"/>
      <protection locked="0"/>
    </xf>
    <xf numFmtId="3" fontId="4" fillId="0" borderId="28" xfId="0" applyNumberFormat="1" applyFont="1" applyFill="1" applyBorder="1" applyAlignment="1" applyProtection="1">
      <alignment horizontal="right" vertical="center"/>
      <protection locked="0"/>
    </xf>
    <xf numFmtId="164" fontId="1" fillId="0" borderId="12" xfId="18" applyNumberFormat="1" applyFont="1" applyFill="1" applyBorder="1" applyAlignment="1" applyProtection="1">
      <alignment horizontal="left" vertical="center" wrapText="1"/>
      <protection locked="0"/>
    </xf>
    <xf numFmtId="1" fontId="1" fillId="0" borderId="35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36" xfId="18" applyNumberFormat="1" applyFont="1" applyFill="1" applyBorder="1" applyAlignment="1" applyProtection="1">
      <alignment vertical="center" wrapText="1"/>
      <protection locked="0"/>
    </xf>
    <xf numFmtId="3" fontId="2" fillId="0" borderId="35" xfId="0" applyNumberFormat="1" applyFont="1" applyFill="1" applyBorder="1" applyAlignment="1" applyProtection="1">
      <alignment vertical="center"/>
      <protection locked="0"/>
    </xf>
    <xf numFmtId="3" fontId="2" fillId="0" borderId="30" xfId="0" applyNumberFormat="1" applyFont="1" applyFill="1" applyBorder="1" applyAlignment="1" applyProtection="1">
      <alignment vertical="center"/>
      <protection locked="0"/>
    </xf>
    <xf numFmtId="3" fontId="2" fillId="0" borderId="37" xfId="0" applyNumberFormat="1" applyFont="1" applyFill="1" applyBorder="1" applyAlignment="1" applyProtection="1">
      <alignment vertical="center"/>
      <protection locked="0"/>
    </xf>
    <xf numFmtId="3" fontId="2" fillId="0" borderId="30" xfId="0" applyNumberFormat="1" applyFont="1" applyFill="1" applyBorder="1" applyAlignment="1" applyProtection="1">
      <alignment horizontal="right" vertical="center"/>
      <protection locked="0"/>
    </xf>
    <xf numFmtId="1" fontId="3" fillId="0" borderId="7" xfId="0" applyNumberFormat="1" applyFont="1" applyFill="1" applyBorder="1" applyAlignment="1" applyProtection="1">
      <alignment horizontal="centerContinuous" vertical="center"/>
      <protection locked="0"/>
    </xf>
    <xf numFmtId="0" fontId="3" fillId="0" borderId="8" xfId="0" applyFont="1" applyBorder="1" applyAlignment="1">
      <alignment horizontal="left" vertical="center" wrapText="1"/>
    </xf>
    <xf numFmtId="3" fontId="9" fillId="0" borderId="7" xfId="0" applyNumberFormat="1" applyFont="1" applyFill="1" applyBorder="1" applyAlignment="1" applyProtection="1">
      <alignment vertical="center"/>
      <protection locked="0"/>
    </xf>
    <xf numFmtId="3" fontId="9" fillId="0" borderId="13" xfId="0" applyNumberFormat="1" applyFont="1" applyFill="1" applyBorder="1" applyAlignment="1" applyProtection="1">
      <alignment vertical="center"/>
      <protection locked="0"/>
    </xf>
    <xf numFmtId="3" fontId="9" fillId="0" borderId="24" xfId="0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3" fontId="4" fillId="0" borderId="28" xfId="0" applyNumberFormat="1" applyFont="1" applyFill="1" applyBorder="1" applyAlignment="1" applyProtection="1">
      <alignment vertical="center"/>
      <protection locked="0"/>
    </xf>
    <xf numFmtId="1" fontId="1" fillId="0" borderId="7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Font="1" applyBorder="1" applyAlignment="1">
      <alignment horizontal="left" vertical="center" wrapText="1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2" fillId="0" borderId="24" xfId="0" applyNumberFormat="1" applyFont="1" applyFill="1" applyBorder="1" applyAlignment="1" applyProtection="1">
      <alignment vertical="center"/>
      <protection locked="0"/>
    </xf>
    <xf numFmtId="3" fontId="2" fillId="0" borderId="35" xfId="0" applyNumberFormat="1" applyFont="1" applyFill="1" applyBorder="1" applyAlignment="1" applyProtection="1">
      <alignment vertical="center"/>
      <protection locked="0"/>
    </xf>
    <xf numFmtId="3" fontId="2" fillId="0" borderId="37" xfId="0" applyNumberFormat="1" applyFont="1" applyFill="1" applyBorder="1" applyAlignment="1" applyProtection="1">
      <alignment vertical="center"/>
      <protection locked="0"/>
    </xf>
    <xf numFmtId="3" fontId="8" fillId="0" borderId="26" xfId="18" applyNumberFormat="1" applyFont="1" applyFill="1" applyBorder="1" applyAlignment="1" applyProtection="1">
      <alignment vertical="center" wrapText="1"/>
      <protection locked="0"/>
    </xf>
    <xf numFmtId="1" fontId="8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8" xfId="18" applyNumberFormat="1" applyFont="1" applyFill="1" applyBorder="1" applyAlignment="1" applyProtection="1">
      <alignment vertical="center" wrapText="1"/>
      <protection locked="0"/>
    </xf>
    <xf numFmtId="3" fontId="4" fillId="0" borderId="7" xfId="0" applyNumberFormat="1" applyFont="1" applyFill="1" applyBorder="1" applyAlignment="1" applyProtection="1">
      <alignment vertical="center"/>
      <protection locked="0"/>
    </xf>
    <xf numFmtId="3" fontId="4" fillId="0" borderId="13" xfId="0" applyNumberFormat="1" applyFont="1" applyFill="1" applyBorder="1" applyAlignment="1" applyProtection="1">
      <alignment vertical="center"/>
      <protection locked="0"/>
    </xf>
    <xf numFmtId="3" fontId="4" fillId="0" borderId="24" xfId="0" applyNumberFormat="1" applyFont="1" applyFill="1" applyBorder="1" applyAlignment="1" applyProtection="1">
      <alignment vertical="center"/>
      <protection locked="0"/>
    </xf>
    <xf numFmtId="1" fontId="1" fillId="0" borderId="7" xfId="0" applyNumberFormat="1" applyFont="1" applyFill="1" applyBorder="1" applyAlignment="1" applyProtection="1">
      <alignment horizontal="center" vertical="center"/>
      <protection locked="0"/>
    </xf>
    <xf numFmtId="164" fontId="8" fillId="0" borderId="26" xfId="18" applyNumberFormat="1" applyFont="1" applyFill="1" applyBorder="1" applyAlignment="1" applyProtection="1">
      <alignment vertical="center" wrapText="1"/>
      <protection locked="0"/>
    </xf>
    <xf numFmtId="3" fontId="4" fillId="0" borderId="22" xfId="0" applyNumberFormat="1" applyFont="1" applyFill="1" applyBorder="1" applyAlignment="1" applyProtection="1">
      <alignment vertical="center"/>
      <protection locked="0"/>
    </xf>
    <xf numFmtId="164" fontId="8" fillId="0" borderId="26" xfId="18" applyNumberFormat="1" applyFont="1" applyFill="1" applyBorder="1" applyAlignment="1" applyProtection="1">
      <alignment vertical="center" wrapText="1"/>
      <protection locked="0"/>
    </xf>
    <xf numFmtId="1" fontId="8" fillId="0" borderId="35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36" xfId="18" applyNumberFormat="1" applyFont="1" applyFill="1" applyBorder="1" applyAlignment="1" applyProtection="1">
      <alignment vertical="center" wrapText="1"/>
      <protection locked="0"/>
    </xf>
    <xf numFmtId="3" fontId="4" fillId="0" borderId="35" xfId="0" applyNumberFormat="1" applyFont="1" applyFill="1" applyBorder="1" applyAlignment="1" applyProtection="1">
      <alignment vertical="center"/>
      <protection locked="0"/>
    </xf>
    <xf numFmtId="3" fontId="4" fillId="0" borderId="39" xfId="0" applyNumberFormat="1" applyFont="1" applyFill="1" applyBorder="1" applyAlignment="1" applyProtection="1">
      <alignment vertical="center"/>
      <protection locked="0"/>
    </xf>
    <xf numFmtId="3" fontId="4" fillId="0" borderId="30" xfId="0" applyNumberFormat="1" applyFont="1" applyFill="1" applyBorder="1" applyAlignment="1" applyProtection="1">
      <alignment vertical="center"/>
      <protection locked="0"/>
    </xf>
    <xf numFmtId="3" fontId="4" fillId="0" borderId="37" xfId="0" applyNumberFormat="1" applyFont="1" applyFill="1" applyBorder="1" applyAlignment="1" applyProtection="1">
      <alignment vertical="center"/>
      <protection locked="0"/>
    </xf>
    <xf numFmtId="1" fontId="1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12" xfId="18" applyNumberFormat="1" applyFont="1" applyFill="1" applyBorder="1" applyAlignment="1" applyProtection="1">
      <alignment vertical="center" wrapText="1"/>
      <protection locked="0"/>
    </xf>
    <xf numFmtId="3" fontId="2" fillId="0" borderId="29" xfId="0" applyNumberFormat="1" applyFont="1" applyFill="1" applyBorder="1" applyAlignment="1" applyProtection="1">
      <alignment vertical="center"/>
      <protection locked="0"/>
    </xf>
    <xf numFmtId="1" fontId="1" fillId="0" borderId="35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40" xfId="18" applyNumberFormat="1" applyFont="1" applyFill="1" applyBorder="1" applyAlignment="1" applyProtection="1">
      <alignment vertical="center" wrapText="1"/>
      <protection locked="0"/>
    </xf>
    <xf numFmtId="164" fontId="1" fillId="0" borderId="12" xfId="18" applyNumberFormat="1" applyFont="1" applyFill="1" applyBorder="1" applyAlignment="1" applyProtection="1">
      <alignment vertical="center" wrapText="1"/>
      <protection locked="0"/>
    </xf>
    <xf numFmtId="3" fontId="2" fillId="0" borderId="29" xfId="0" applyNumberFormat="1" applyFont="1" applyFill="1" applyBorder="1" applyAlignment="1" applyProtection="1">
      <alignment vertical="center"/>
      <protection locked="0"/>
    </xf>
    <xf numFmtId="1" fontId="8" fillId="0" borderId="35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36" xfId="18" applyNumberFormat="1" applyFont="1" applyFill="1" applyBorder="1" applyAlignment="1" applyProtection="1">
      <alignment vertical="center" wrapText="1"/>
      <protection locked="0"/>
    </xf>
    <xf numFmtId="3" fontId="4" fillId="0" borderId="35" xfId="0" applyNumberFormat="1" applyFont="1" applyFill="1" applyBorder="1" applyAlignment="1" applyProtection="1">
      <alignment vertical="center"/>
      <protection locked="0"/>
    </xf>
    <xf numFmtId="3" fontId="4" fillId="0" borderId="37" xfId="0" applyNumberFormat="1" applyFont="1" applyFill="1" applyBorder="1" applyAlignment="1" applyProtection="1">
      <alignment vertical="center"/>
      <protection locked="0"/>
    </xf>
    <xf numFmtId="1" fontId="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8" xfId="18" applyNumberFormat="1" applyFont="1" applyFill="1" applyBorder="1" applyAlignment="1" applyProtection="1">
      <alignment vertical="center" wrapText="1"/>
      <protection locked="0"/>
    </xf>
    <xf numFmtId="1" fontId="3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8" xfId="18" applyNumberFormat="1" applyFont="1" applyFill="1" applyBorder="1" applyAlignment="1" applyProtection="1">
      <alignment vertical="center" wrapText="1"/>
      <protection locked="0"/>
    </xf>
    <xf numFmtId="3" fontId="9" fillId="0" borderId="7" xfId="0" applyNumberFormat="1" applyFont="1" applyFill="1" applyBorder="1" applyAlignment="1" applyProtection="1">
      <alignment vertical="center"/>
      <protection locked="0"/>
    </xf>
    <xf numFmtId="3" fontId="9" fillId="0" borderId="13" xfId="0" applyNumberFormat="1" applyFont="1" applyFill="1" applyBorder="1" applyAlignment="1" applyProtection="1">
      <alignment vertical="center"/>
      <protection locked="0"/>
    </xf>
    <xf numFmtId="3" fontId="9" fillId="0" borderId="24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Border="1" applyAlignment="1">
      <alignment/>
    </xf>
    <xf numFmtId="1" fontId="8" fillId="0" borderId="20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21" xfId="18" applyNumberFormat="1" applyFont="1" applyFill="1" applyBorder="1" applyAlignment="1" applyProtection="1">
      <alignment vertical="center" wrapText="1"/>
      <protection locked="0"/>
    </xf>
    <xf numFmtId="3" fontId="4" fillId="0" borderId="20" xfId="0" applyNumberFormat="1" applyFont="1" applyFill="1" applyBorder="1" applyAlignment="1" applyProtection="1">
      <alignment vertical="center"/>
      <protection locked="0"/>
    </xf>
    <xf numFmtId="3" fontId="4" fillId="0" borderId="6" xfId="0" applyNumberFormat="1" applyFont="1" applyFill="1" applyBorder="1" applyAlignment="1" applyProtection="1">
      <alignment vertical="center"/>
      <protection locked="0"/>
    </xf>
    <xf numFmtId="3" fontId="4" fillId="0" borderId="23" xfId="0" applyNumberFormat="1" applyFont="1" applyFill="1" applyBorder="1" applyAlignment="1" applyProtection="1">
      <alignment vertical="center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3" fontId="4" fillId="0" borderId="38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32" xfId="0" applyNumberFormat="1" applyFont="1" applyFill="1" applyBorder="1" applyAlignment="1" applyProtection="1">
      <alignment vertical="center"/>
      <protection locked="0"/>
    </xf>
    <xf numFmtId="3" fontId="4" fillId="0" borderId="41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164" fontId="14" fillId="0" borderId="42" xfId="0" applyNumberFormat="1" applyFont="1" applyFill="1" applyBorder="1" applyAlignment="1" applyProtection="1">
      <alignment horizontal="right" vertical="center"/>
      <protection locked="0"/>
    </xf>
    <xf numFmtId="1" fontId="11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8" xfId="18" applyNumberFormat="1" applyFont="1" applyFill="1" applyBorder="1" applyAlignment="1" applyProtection="1">
      <alignment vertical="center" wrapText="1"/>
      <protection locked="0"/>
    </xf>
    <xf numFmtId="3" fontId="12" fillId="0" borderId="7" xfId="0" applyNumberFormat="1" applyFont="1" applyFill="1" applyBorder="1" applyAlignment="1" applyProtection="1">
      <alignment vertical="center"/>
      <protection locked="0"/>
    </xf>
    <xf numFmtId="3" fontId="12" fillId="0" borderId="13" xfId="0" applyNumberFormat="1" applyFont="1" applyFill="1" applyBorder="1" applyAlignment="1" applyProtection="1">
      <alignment vertical="center"/>
      <protection locked="0"/>
    </xf>
    <xf numFmtId="3" fontId="12" fillId="0" borderId="24" xfId="0" applyNumberFormat="1" applyFont="1" applyFill="1" applyBorder="1" applyAlignment="1" applyProtection="1">
      <alignment vertical="center"/>
      <protection locked="0"/>
    </xf>
    <xf numFmtId="3" fontId="2" fillId="0" borderId="30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164" fontId="8" fillId="0" borderId="26" xfId="0" applyNumberFormat="1" applyFont="1" applyBorder="1" applyAlignment="1">
      <alignment vertical="center" wrapText="1"/>
    </xf>
    <xf numFmtId="164" fontId="3" fillId="0" borderId="8" xfId="18" applyNumberFormat="1" applyFont="1" applyFill="1" applyBorder="1" applyAlignment="1" applyProtection="1">
      <alignment vertical="center" wrapText="1"/>
      <protection locked="0"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24" xfId="0" applyNumberFormat="1" applyFont="1" applyFill="1" applyBorder="1" applyAlignment="1" applyProtection="1">
      <alignment vertical="center"/>
      <protection locked="0"/>
    </xf>
    <xf numFmtId="3" fontId="1" fillId="0" borderId="7" xfId="0" applyNumberFormat="1" applyFont="1" applyFill="1" applyBorder="1" applyAlignment="1" applyProtection="1">
      <alignment vertical="center"/>
      <protection locked="0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1" fontId="8" fillId="0" borderId="25" xfId="0" applyNumberFormat="1" applyFont="1" applyBorder="1" applyAlignment="1">
      <alignment horizontal="centerContinuous" vertical="center"/>
    </xf>
    <xf numFmtId="164" fontId="8" fillId="0" borderId="0" xfId="0" applyNumberFormat="1" applyFont="1" applyBorder="1" applyAlignment="1">
      <alignment vertical="center"/>
    </xf>
    <xf numFmtId="1" fontId="1" fillId="0" borderId="7" xfId="0" applyNumberFormat="1" applyFont="1" applyBorder="1" applyAlignment="1">
      <alignment horizontal="centerContinuous" vertical="center"/>
    </xf>
    <xf numFmtId="1" fontId="1" fillId="0" borderId="35" xfId="0" applyNumberFormat="1" applyFont="1" applyBorder="1" applyAlignment="1">
      <alignment horizontal="centerContinuous" vertical="center"/>
    </xf>
    <xf numFmtId="3" fontId="2" fillId="0" borderId="43" xfId="0" applyNumberFormat="1" applyFont="1" applyFill="1" applyBorder="1" applyAlignment="1" applyProtection="1">
      <alignment vertical="center"/>
      <protection locked="0"/>
    </xf>
    <xf numFmtId="1" fontId="8" fillId="0" borderId="25" xfId="0" applyNumberFormat="1" applyFont="1" applyBorder="1" applyAlignment="1">
      <alignment horizontal="centerContinuous" vertical="center"/>
    </xf>
    <xf numFmtId="164" fontId="8" fillId="0" borderId="0" xfId="0" applyNumberFormat="1" applyFont="1" applyBorder="1" applyAlignment="1">
      <alignment vertical="center"/>
    </xf>
    <xf numFmtId="1" fontId="1" fillId="0" borderId="9" xfId="0" applyNumberFormat="1" applyFont="1" applyBorder="1" applyAlignment="1">
      <alignment horizontal="centerContinuous" vertical="center"/>
    </xf>
    <xf numFmtId="164" fontId="1" fillId="0" borderId="0" xfId="0" applyNumberFormat="1" applyFont="1" applyBorder="1" applyAlignment="1">
      <alignment vertical="center"/>
    </xf>
    <xf numFmtId="1" fontId="8" fillId="0" borderId="35" xfId="0" applyNumberFormat="1" applyFont="1" applyBorder="1" applyAlignment="1">
      <alignment horizontal="centerContinuous" vertical="center"/>
    </xf>
    <xf numFmtId="1" fontId="1" fillId="0" borderId="9" xfId="0" applyNumberFormat="1" applyFont="1" applyFill="1" applyBorder="1" applyAlignment="1" applyProtection="1">
      <alignment horizontal="center" vertical="center"/>
      <protection locked="0"/>
    </xf>
    <xf numFmtId="3" fontId="4" fillId="0" borderId="26" xfId="0" applyNumberFormat="1" applyFont="1" applyFill="1" applyBorder="1" applyAlignment="1" applyProtection="1">
      <alignment vertical="center"/>
      <protection locked="0"/>
    </xf>
    <xf numFmtId="3" fontId="2" fillId="0" borderId="25" xfId="0" applyNumberFormat="1" applyFont="1" applyFill="1" applyBorder="1" applyAlignment="1" applyProtection="1">
      <alignment vertical="center"/>
      <protection locked="0"/>
    </xf>
    <xf numFmtId="3" fontId="4" fillId="0" borderId="41" xfId="0" applyNumberFormat="1" applyFont="1" applyFill="1" applyBorder="1" applyAlignment="1" applyProtection="1">
      <alignment vertical="center"/>
      <protection locked="0"/>
    </xf>
    <xf numFmtId="3" fontId="2" fillId="0" borderId="39" xfId="0" applyNumberFormat="1" applyFont="1" applyFill="1" applyBorder="1" applyAlignment="1" applyProtection="1">
      <alignment vertical="center"/>
      <protection locked="0"/>
    </xf>
    <xf numFmtId="1" fontId="8" fillId="0" borderId="20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21" xfId="18" applyNumberFormat="1" applyFont="1" applyFill="1" applyBorder="1" applyAlignment="1" applyProtection="1">
      <alignment vertical="center" wrapText="1"/>
      <protection locked="0"/>
    </xf>
    <xf numFmtId="3" fontId="4" fillId="0" borderId="20" xfId="0" applyNumberFormat="1" applyFont="1" applyFill="1" applyBorder="1" applyAlignment="1" applyProtection="1">
      <alignment vertical="center"/>
      <protection locked="0"/>
    </xf>
    <xf numFmtId="164" fontId="1" fillId="0" borderId="36" xfId="18" applyNumberFormat="1" applyFont="1" applyFill="1" applyBorder="1" applyAlignment="1" applyProtection="1">
      <alignment vertical="center" wrapText="1"/>
      <protection locked="0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2" fillId="0" borderId="13" xfId="0" applyNumberFormat="1" applyFont="1" applyBorder="1" applyAlignment="1">
      <alignment vertical="center"/>
    </xf>
    <xf numFmtId="3" fontId="0" fillId="0" borderId="43" xfId="0" applyNumberFormat="1" applyFont="1" applyBorder="1" applyAlignment="1">
      <alignment/>
    </xf>
    <xf numFmtId="3" fontId="2" fillId="0" borderId="35" xfId="0" applyNumberFormat="1" applyFont="1" applyFill="1" applyBorder="1" applyAlignment="1" applyProtection="1">
      <alignment horizontal="right" vertical="center"/>
      <protection locked="0"/>
    </xf>
    <xf numFmtId="3" fontId="2" fillId="0" borderId="37" xfId="0" applyNumberFormat="1" applyFont="1" applyFill="1" applyBorder="1" applyAlignment="1" applyProtection="1">
      <alignment horizontal="right" vertical="center"/>
      <protection locked="0"/>
    </xf>
    <xf numFmtId="164" fontId="8" fillId="0" borderId="15" xfId="18" applyNumberFormat="1" applyFont="1" applyFill="1" applyBorder="1" applyAlignment="1" applyProtection="1">
      <alignment horizontal="left" vertical="center" wrapText="1"/>
      <protection locked="0"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3" fontId="4" fillId="0" borderId="18" xfId="0" applyNumberFormat="1" applyFont="1" applyFill="1" applyBorder="1" applyAlignment="1" applyProtection="1">
      <alignment horizontal="right" vertical="center"/>
      <protection locked="0"/>
    </xf>
    <xf numFmtId="3" fontId="1" fillId="0" borderId="13" xfId="0" applyNumberFormat="1" applyFont="1" applyFill="1" applyBorder="1" applyAlignment="1" applyProtection="1">
      <alignment horizontal="right" vertical="center"/>
      <protection locked="0"/>
    </xf>
    <xf numFmtId="3" fontId="4" fillId="0" borderId="23" xfId="0" applyNumberFormat="1" applyFont="1" applyFill="1" applyBorder="1" applyAlignment="1" applyProtection="1">
      <alignment vertical="center"/>
      <protection locked="0"/>
    </xf>
    <xf numFmtId="0" fontId="1" fillId="0" borderId="35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44" xfId="0" applyNumberFormat="1" applyFont="1" applyFill="1" applyBorder="1" applyAlignment="1" applyProtection="1">
      <alignment horizontal="right" vertical="center"/>
      <protection locked="0"/>
    </xf>
    <xf numFmtId="0" fontId="1" fillId="0" borderId="7" xfId="0" applyNumberFormat="1" applyFont="1" applyFill="1" applyBorder="1" applyAlignment="1" applyProtection="1">
      <alignment horizontal="centerContinuous" vertical="center"/>
      <protection locked="0"/>
    </xf>
    <xf numFmtId="3" fontId="2" fillId="0" borderId="43" xfId="0" applyNumberFormat="1" applyFont="1" applyFill="1" applyBorder="1" applyAlignment="1" applyProtection="1">
      <alignment vertical="center"/>
      <protection locked="0"/>
    </xf>
    <xf numFmtId="164" fontId="14" fillId="0" borderId="40" xfId="0" applyNumberFormat="1" applyFont="1" applyFill="1" applyBorder="1" applyAlignment="1" applyProtection="1">
      <alignment horizontal="right" vertical="center"/>
      <protection locked="0"/>
    </xf>
    <xf numFmtId="1" fontId="8" fillId="0" borderId="25" xfId="0" applyNumberFormat="1" applyFont="1" applyFill="1" applyBorder="1" applyAlignment="1" applyProtection="1">
      <alignment horizontal="center" vertical="center"/>
      <protection locked="0"/>
    </xf>
    <xf numFmtId="164" fontId="8" fillId="0" borderId="27" xfId="18" applyNumberFormat="1" applyFont="1" applyFill="1" applyBorder="1" applyAlignment="1" applyProtection="1">
      <alignment vertical="center" wrapText="1"/>
      <protection locked="0"/>
    </xf>
    <xf numFmtId="164" fontId="1" fillId="0" borderId="13" xfId="18" applyNumberFormat="1" applyFont="1" applyFill="1" applyBorder="1" applyAlignment="1" applyProtection="1">
      <alignment vertical="center" wrapText="1"/>
      <protection locked="0"/>
    </xf>
    <xf numFmtId="164" fontId="1" fillId="0" borderId="30" xfId="18" applyNumberFormat="1" applyFont="1" applyFill="1" applyBorder="1" applyAlignment="1" applyProtection="1">
      <alignment vertical="center" wrapText="1"/>
      <protection locked="0"/>
    </xf>
    <xf numFmtId="164" fontId="11" fillId="0" borderId="0" xfId="0" applyNumberFormat="1" applyFont="1" applyBorder="1" applyAlignment="1">
      <alignment/>
    </xf>
    <xf numFmtId="164" fontId="14" fillId="0" borderId="45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3" fontId="4" fillId="0" borderId="38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4" fillId="0" borderId="43" xfId="0" applyNumberFormat="1" applyFont="1" applyFill="1" applyBorder="1" applyAlignment="1" applyProtection="1">
      <alignment vertical="center"/>
      <protection locked="0"/>
    </xf>
    <xf numFmtId="164" fontId="1" fillId="0" borderId="10" xfId="18" applyNumberFormat="1" applyFont="1" applyFill="1" applyBorder="1" applyAlignment="1" applyProtection="1">
      <alignment vertical="center" wrapText="1"/>
      <protection locked="0"/>
    </xf>
    <xf numFmtId="3" fontId="4" fillId="0" borderId="29" xfId="0" applyNumberFormat="1" applyFont="1" applyFill="1" applyBorder="1" applyAlignment="1" applyProtection="1">
      <alignment vertical="center"/>
      <protection locked="0"/>
    </xf>
    <xf numFmtId="3" fontId="4" fillId="0" borderId="9" xfId="0" applyNumberFormat="1" applyFont="1" applyFill="1" applyBorder="1" applyAlignment="1" applyProtection="1">
      <alignment vertical="center"/>
      <protection locked="0"/>
    </xf>
    <xf numFmtId="164" fontId="11" fillId="0" borderId="0" xfId="0" applyNumberFormat="1" applyFont="1" applyBorder="1" applyAlignment="1">
      <alignment/>
    </xf>
    <xf numFmtId="164" fontId="1" fillId="0" borderId="42" xfId="18" applyNumberFormat="1" applyFont="1" applyFill="1" applyBorder="1" applyAlignment="1" applyProtection="1">
      <alignment vertical="center" wrapText="1"/>
      <protection locked="0"/>
    </xf>
    <xf numFmtId="164" fontId="1" fillId="0" borderId="13" xfId="18" applyNumberFormat="1" applyFont="1" applyFill="1" applyBorder="1" applyAlignment="1" applyProtection="1">
      <alignment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15" xfId="18" applyNumberFormat="1" applyFont="1" applyFill="1" applyBorder="1" applyAlignment="1" applyProtection="1">
      <alignment vertical="center" wrapText="1"/>
      <protection locked="0"/>
    </xf>
    <xf numFmtId="164" fontId="8" fillId="0" borderId="22" xfId="18" applyNumberFormat="1" applyFont="1" applyFill="1" applyBorder="1" applyAlignment="1" applyProtection="1">
      <alignment vertical="center" wrapText="1"/>
      <protection locked="0"/>
    </xf>
    <xf numFmtId="164" fontId="8" fillId="0" borderId="30" xfId="18" applyNumberFormat="1" applyFont="1" applyFill="1" applyBorder="1" applyAlignment="1" applyProtection="1">
      <alignment vertical="center" wrapText="1"/>
      <protection locked="0"/>
    </xf>
    <xf numFmtId="164" fontId="15" fillId="0" borderId="40" xfId="0" applyNumberFormat="1" applyFont="1" applyFill="1" applyBorder="1" applyAlignment="1" applyProtection="1">
      <alignment horizontal="right" vertical="center"/>
      <protection locked="0"/>
    </xf>
    <xf numFmtId="164" fontId="1" fillId="0" borderId="30" xfId="18" applyNumberFormat="1" applyFont="1" applyFill="1" applyBorder="1" applyAlignment="1" applyProtection="1">
      <alignment vertical="center" wrapText="1"/>
      <protection locked="0"/>
    </xf>
    <xf numFmtId="164" fontId="8" fillId="0" borderId="27" xfId="18" applyNumberFormat="1" applyFont="1" applyFill="1" applyBorder="1" applyAlignment="1" applyProtection="1">
      <alignment vertical="center" wrapText="1"/>
      <protection locked="0"/>
    </xf>
    <xf numFmtId="164" fontId="8" fillId="0" borderId="30" xfId="18" applyNumberFormat="1" applyFont="1" applyFill="1" applyBorder="1" applyAlignment="1" applyProtection="1">
      <alignment vertical="center" wrapText="1"/>
      <protection locked="0"/>
    </xf>
    <xf numFmtId="164" fontId="1" fillId="0" borderId="10" xfId="18" applyNumberFormat="1" applyFont="1" applyFill="1" applyBorder="1" applyAlignment="1" applyProtection="1">
      <alignment vertical="center" wrapText="1"/>
      <protection locked="0"/>
    </xf>
    <xf numFmtId="164" fontId="1" fillId="0" borderId="27" xfId="18" applyNumberFormat="1" applyFont="1" applyFill="1" applyBorder="1" applyAlignment="1" applyProtection="1">
      <alignment vertical="center" wrapText="1"/>
      <protection locked="0"/>
    </xf>
    <xf numFmtId="3" fontId="2" fillId="0" borderId="47" xfId="0" applyNumberFormat="1" applyFont="1" applyFill="1" applyBorder="1" applyAlignment="1" applyProtection="1">
      <alignment vertical="center"/>
      <protection locked="0"/>
    </xf>
    <xf numFmtId="164" fontId="14" fillId="0" borderId="48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horizontal="right" vertical="center"/>
      <protection locked="0"/>
    </xf>
    <xf numFmtId="164" fontId="1" fillId="0" borderId="48" xfId="18" applyNumberFormat="1" applyFont="1" applyFill="1" applyBorder="1" applyAlignment="1" applyProtection="1">
      <alignment vertical="center" wrapText="1"/>
      <protection locked="0"/>
    </xf>
    <xf numFmtId="164" fontId="8" fillId="0" borderId="16" xfId="18" applyNumberFormat="1" applyFont="1" applyFill="1" applyBorder="1" applyAlignment="1" applyProtection="1">
      <alignment vertical="center" wrapText="1"/>
      <protection locked="0"/>
    </xf>
    <xf numFmtId="1" fontId="8" fillId="0" borderId="14" xfId="0" applyNumberFormat="1" applyFont="1" applyFill="1" applyBorder="1" applyAlignment="1" applyProtection="1">
      <alignment horizontal="center" vertical="center"/>
      <protection locked="0"/>
    </xf>
    <xf numFmtId="164" fontId="8" fillId="0" borderId="16" xfId="18" applyNumberFormat="1" applyFont="1" applyFill="1" applyBorder="1" applyAlignment="1" applyProtection="1">
      <alignment vertical="center" wrapText="1"/>
      <protection locked="0"/>
    </xf>
    <xf numFmtId="3" fontId="4" fillId="0" borderId="43" xfId="0" applyNumberFormat="1" applyFont="1" applyFill="1" applyBorder="1" applyAlignment="1" applyProtection="1">
      <alignment vertical="center"/>
      <protection locked="0"/>
    </xf>
    <xf numFmtId="3" fontId="4" fillId="0" borderId="26" xfId="0" applyNumberFormat="1" applyFont="1" applyFill="1" applyBorder="1" applyAlignment="1" applyProtection="1">
      <alignment vertical="center"/>
      <protection locked="0"/>
    </xf>
    <xf numFmtId="0" fontId="3" fillId="0" borderId="7" xfId="0" applyNumberFormat="1" applyFont="1" applyFill="1" applyBorder="1" applyAlignment="1" applyProtection="1">
      <alignment horizontal="centerContinuous" vertical="center"/>
      <protection locked="0"/>
    </xf>
    <xf numFmtId="0" fontId="3" fillId="0" borderId="8" xfId="0" applyFont="1" applyBorder="1" applyAlignment="1">
      <alignment horizontal="left" vertical="center" wrapText="1"/>
    </xf>
    <xf numFmtId="3" fontId="9" fillId="0" borderId="13" xfId="0" applyNumberFormat="1" applyFont="1" applyBorder="1" applyAlignment="1">
      <alignment horizontal="right" vertical="center"/>
    </xf>
    <xf numFmtId="3" fontId="9" fillId="0" borderId="30" xfId="0" applyNumberFormat="1" applyFont="1" applyFill="1" applyBorder="1" applyAlignment="1" applyProtection="1">
      <alignment vertical="center"/>
      <protection locked="0"/>
    </xf>
    <xf numFmtId="164" fontId="14" fillId="0" borderId="44" xfId="0" applyNumberFormat="1" applyFont="1" applyFill="1" applyBorder="1" applyAlignment="1" applyProtection="1">
      <alignment horizontal="right" vertical="center"/>
      <protection locked="0"/>
    </xf>
    <xf numFmtId="3" fontId="1" fillId="0" borderId="7" xfId="0" applyNumberFormat="1" applyFont="1" applyFill="1" applyBorder="1" applyAlignment="1" applyProtection="1">
      <alignment horizontal="right" vertical="center"/>
      <protection locked="0"/>
    </xf>
    <xf numFmtId="3" fontId="1" fillId="0" borderId="7" xfId="0" applyNumberFormat="1" applyFont="1" applyFill="1" applyBorder="1" applyAlignment="1" applyProtection="1">
      <alignment vertical="center"/>
      <protection locked="0"/>
    </xf>
    <xf numFmtId="3" fontId="2" fillId="0" borderId="24" xfId="0" applyNumberFormat="1" applyFont="1" applyBorder="1" applyAlignment="1">
      <alignment horizontal="right" vertical="center"/>
    </xf>
    <xf numFmtId="3" fontId="4" fillId="0" borderId="4" xfId="0" applyNumberFormat="1" applyFont="1" applyFill="1" applyBorder="1" applyAlignment="1" applyProtection="1">
      <alignment vertical="center"/>
      <protection locked="0"/>
    </xf>
    <xf numFmtId="3" fontId="1" fillId="0" borderId="35" xfId="0" applyNumberFormat="1" applyFont="1" applyFill="1" applyBorder="1" applyAlignment="1" applyProtection="1">
      <alignment vertical="center"/>
      <protection locked="0"/>
    </xf>
    <xf numFmtId="3" fontId="1" fillId="0" borderId="30" xfId="0" applyNumberFormat="1" applyFont="1" applyFill="1" applyBorder="1" applyAlignment="1" applyProtection="1">
      <alignment vertical="center"/>
      <protection locked="0"/>
    </xf>
    <xf numFmtId="164" fontId="14" fillId="0" borderId="49" xfId="0" applyNumberFormat="1" applyFont="1" applyFill="1" applyBorder="1" applyAlignment="1" applyProtection="1">
      <alignment horizontal="right" vertical="center"/>
      <protection locked="0"/>
    </xf>
    <xf numFmtId="3" fontId="9" fillId="0" borderId="34" xfId="0" applyNumberFormat="1" applyFont="1" applyFill="1" applyBorder="1" applyAlignment="1" applyProtection="1">
      <alignment vertical="center"/>
      <protection locked="0"/>
    </xf>
    <xf numFmtId="3" fontId="4" fillId="0" borderId="15" xfId="0" applyNumberFormat="1" applyFont="1" applyFill="1" applyBorder="1" applyAlignment="1" applyProtection="1">
      <alignment vertical="center"/>
      <protection locked="0"/>
    </xf>
    <xf numFmtId="1" fontId="4" fillId="0" borderId="6" xfId="0" applyNumberFormat="1" applyFont="1" applyFill="1" applyBorder="1" applyAlignment="1" applyProtection="1">
      <alignment horizontal="centerContinuous" vertical="center"/>
      <protection locked="0"/>
    </xf>
    <xf numFmtId="1" fontId="4" fillId="0" borderId="4" xfId="0" applyNumberFormat="1" applyFont="1" applyFill="1" applyBorder="1" applyAlignment="1" applyProtection="1">
      <alignment horizontal="left" vertical="center" wrapText="1"/>
      <protection locked="0"/>
    </xf>
    <xf numFmtId="3" fontId="8" fillId="0" borderId="22" xfId="0" applyNumberFormat="1" applyFont="1" applyFill="1" applyBorder="1" applyAlignment="1" applyProtection="1">
      <alignment vertical="center"/>
      <protection locked="0"/>
    </xf>
    <xf numFmtId="164" fontId="2" fillId="0" borderId="0" xfId="0" applyNumberFormat="1" applyFont="1" applyBorder="1" applyAlignment="1">
      <alignment/>
    </xf>
    <xf numFmtId="1" fontId="12" fillId="0" borderId="34" xfId="0" applyNumberFormat="1" applyFont="1" applyFill="1" applyBorder="1" applyAlignment="1" applyProtection="1">
      <alignment horizontal="centerContinuous" vertical="center"/>
      <protection locked="0"/>
    </xf>
    <xf numFmtId="1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0" xfId="0" applyNumberFormat="1" applyFont="1" applyBorder="1" applyAlignment="1">
      <alignment/>
    </xf>
    <xf numFmtId="3" fontId="12" fillId="0" borderId="32" xfId="0" applyNumberFormat="1" applyFont="1" applyFill="1" applyBorder="1" applyAlignment="1" applyProtection="1">
      <alignment vertical="center"/>
      <protection locked="0"/>
    </xf>
    <xf numFmtId="3" fontId="2" fillId="0" borderId="36" xfId="0" applyNumberFormat="1" applyFont="1" applyFill="1" applyBorder="1" applyAlignment="1" applyProtection="1">
      <alignment vertical="center"/>
      <protection locked="0"/>
    </xf>
    <xf numFmtId="1" fontId="1" fillId="0" borderId="7" xfId="0" applyNumberFormat="1" applyFont="1" applyBorder="1" applyAlignment="1">
      <alignment horizontal="centerContinuous" vertical="center"/>
    </xf>
    <xf numFmtId="1" fontId="8" fillId="0" borderId="7" xfId="0" applyNumberFormat="1" applyFont="1" applyFill="1" applyBorder="1" applyAlignment="1" applyProtection="1">
      <alignment horizontal="center" vertical="center"/>
      <protection locked="0"/>
    </xf>
    <xf numFmtId="164" fontId="1" fillId="0" borderId="42" xfId="18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164" fontId="8" fillId="0" borderId="13" xfId="18" applyNumberFormat="1" applyFont="1" applyFill="1" applyBorder="1" applyAlignment="1" applyProtection="1">
      <alignment vertical="center" wrapText="1"/>
      <protection locked="0"/>
    </xf>
    <xf numFmtId="1" fontId="12" fillId="0" borderId="50" xfId="0" applyNumberFormat="1" applyFont="1" applyFill="1" applyBorder="1" applyAlignment="1" applyProtection="1">
      <alignment horizontal="centerContinuous" vertical="center"/>
      <protection locked="0"/>
    </xf>
    <xf numFmtId="3" fontId="12" fillId="0" borderId="31" xfId="0" applyNumberFormat="1" applyFont="1" applyFill="1" applyBorder="1" applyAlignment="1" applyProtection="1">
      <alignment vertical="center"/>
      <protection locked="0"/>
    </xf>
    <xf numFmtId="3" fontId="11" fillId="0" borderId="32" xfId="0" applyNumberFormat="1" applyFont="1" applyFill="1" applyBorder="1" applyAlignment="1" applyProtection="1">
      <alignment vertical="center"/>
      <protection locked="0"/>
    </xf>
    <xf numFmtId="1" fontId="3" fillId="0" borderId="34" xfId="0" applyNumberFormat="1" applyFont="1" applyFill="1" applyBorder="1" applyAlignment="1" applyProtection="1">
      <alignment horizontal="centerContinuous" vertical="center"/>
      <protection locked="0"/>
    </xf>
    <xf numFmtId="1" fontId="3" fillId="0" borderId="0" xfId="0" applyNumberFormat="1" applyFont="1" applyFill="1" applyBorder="1" applyAlignment="1" applyProtection="1">
      <alignment horizontal="left" vertical="center" wrapText="1"/>
      <protection locked="0"/>
    </xf>
    <xf numFmtId="3" fontId="3" fillId="0" borderId="34" xfId="0" applyNumberFormat="1" applyFont="1" applyFill="1" applyBorder="1" applyAlignment="1" applyProtection="1">
      <alignment vertical="center"/>
      <protection locked="0"/>
    </xf>
    <xf numFmtId="1" fontId="1" fillId="0" borderId="31" xfId="0" applyNumberFormat="1" applyFont="1" applyFill="1" applyBorder="1" applyAlignment="1" applyProtection="1">
      <alignment horizontal="centerContinuous" vertical="center"/>
      <protection locked="0"/>
    </xf>
    <xf numFmtId="3" fontId="4" fillId="0" borderId="34" xfId="0" applyNumberFormat="1" applyFont="1" applyFill="1" applyBorder="1" applyAlignment="1" applyProtection="1">
      <alignment vertical="center"/>
      <protection locked="0"/>
    </xf>
    <xf numFmtId="164" fontId="15" fillId="0" borderId="42" xfId="0" applyNumberFormat="1" applyFont="1" applyFill="1" applyBorder="1" applyAlignment="1" applyProtection="1">
      <alignment horizontal="right" vertical="center"/>
      <protection locked="0"/>
    </xf>
    <xf numFmtId="164" fontId="1" fillId="0" borderId="40" xfId="18" applyNumberFormat="1" applyFont="1" applyFill="1" applyBorder="1" applyAlignment="1" applyProtection="1">
      <alignment horizontal="left" vertical="center" wrapText="1"/>
      <protection locked="0"/>
    </xf>
    <xf numFmtId="164" fontId="1" fillId="0" borderId="40" xfId="18" applyNumberFormat="1" applyFont="1" applyFill="1" applyBorder="1" applyAlignment="1" applyProtection="1">
      <alignment vertical="center" wrapText="1"/>
      <protection locked="0"/>
    </xf>
    <xf numFmtId="1" fontId="8" fillId="0" borderId="34" xfId="0" applyNumberFormat="1" applyFont="1" applyFill="1" applyBorder="1" applyAlignment="1" applyProtection="1">
      <alignment horizontal="centerContinuous" vertical="center"/>
      <protection locked="0"/>
    </xf>
    <xf numFmtId="1" fontId="8" fillId="0" borderId="42" xfId="0" applyNumberFormat="1" applyFont="1" applyFill="1" applyBorder="1" applyAlignment="1" applyProtection="1">
      <alignment vertical="center" wrapText="1"/>
      <protection locked="0"/>
    </xf>
    <xf numFmtId="3" fontId="2" fillId="0" borderId="8" xfId="0" applyNumberFormat="1" applyFont="1" applyFill="1" applyBorder="1" applyAlignment="1" applyProtection="1">
      <alignment horizontal="right" vertical="center"/>
      <protection locked="0"/>
    </xf>
    <xf numFmtId="164" fontId="14" fillId="0" borderId="19" xfId="0" applyNumberFormat="1" applyFont="1" applyFill="1" applyBorder="1" applyAlignment="1" applyProtection="1">
      <alignment horizontal="right" vertical="center"/>
      <protection locked="0"/>
    </xf>
    <xf numFmtId="164" fontId="14" fillId="0" borderId="51" xfId="0" applyNumberFormat="1" applyFont="1" applyFill="1" applyBorder="1" applyAlignment="1" applyProtection="1">
      <alignment horizontal="right" vertical="center"/>
      <protection locked="0"/>
    </xf>
    <xf numFmtId="164" fontId="15" fillId="0" borderId="52" xfId="0" applyNumberFormat="1" applyFont="1" applyFill="1" applyBorder="1" applyAlignment="1" applyProtection="1">
      <alignment horizontal="right" vertical="center"/>
      <protection locked="0"/>
    </xf>
    <xf numFmtId="164" fontId="14" fillId="0" borderId="53" xfId="0" applyNumberFormat="1" applyFont="1" applyFill="1" applyBorder="1" applyAlignment="1" applyProtection="1">
      <alignment horizontal="right" vertical="center"/>
      <protection locked="0"/>
    </xf>
    <xf numFmtId="164" fontId="10" fillId="0" borderId="17" xfId="0" applyNumberFormat="1" applyFont="1" applyFill="1" applyBorder="1" applyAlignment="1" applyProtection="1">
      <alignment horizontal="right" vertical="center"/>
      <protection locked="0"/>
    </xf>
    <xf numFmtId="164" fontId="10" fillId="0" borderId="52" xfId="0" applyNumberFormat="1" applyFont="1" applyFill="1" applyBorder="1" applyAlignment="1" applyProtection="1">
      <alignment horizontal="right" vertical="center"/>
      <protection locked="0"/>
    </xf>
    <xf numFmtId="164" fontId="10" fillId="0" borderId="53" xfId="0" applyNumberFormat="1" applyFont="1" applyFill="1" applyBorder="1" applyAlignment="1" applyProtection="1">
      <alignment horizontal="right" vertical="center"/>
      <protection locked="0"/>
    </xf>
    <xf numFmtId="164" fontId="10" fillId="0" borderId="45" xfId="0" applyNumberFormat="1" applyFont="1" applyFill="1" applyBorder="1" applyAlignment="1" applyProtection="1">
      <alignment horizontal="right" vertical="center"/>
      <protection locked="0"/>
    </xf>
    <xf numFmtId="164" fontId="10" fillId="0" borderId="45" xfId="0" applyNumberFormat="1" applyFont="1" applyFill="1" applyBorder="1" applyAlignment="1" applyProtection="1">
      <alignment vertical="center"/>
      <protection locked="0"/>
    </xf>
    <xf numFmtId="164" fontId="16" fillId="0" borderId="17" xfId="0" applyNumberFormat="1" applyFont="1" applyFill="1" applyBorder="1" applyAlignment="1" applyProtection="1">
      <alignment vertical="center"/>
      <protection locked="0"/>
    </xf>
    <xf numFmtId="164" fontId="16" fillId="0" borderId="45" xfId="0" applyNumberFormat="1" applyFont="1" applyFill="1" applyBorder="1" applyAlignment="1" applyProtection="1">
      <alignment vertical="center"/>
      <protection locked="0"/>
    </xf>
    <xf numFmtId="164" fontId="10" fillId="0" borderId="53" xfId="0" applyNumberFormat="1" applyFont="1" applyFill="1" applyBorder="1" applyAlignment="1" applyProtection="1">
      <alignment vertical="center"/>
      <protection locked="0"/>
    </xf>
    <xf numFmtId="164" fontId="10" fillId="0" borderId="49" xfId="0" applyNumberFormat="1" applyFont="1" applyFill="1" applyBorder="1" applyAlignment="1" applyProtection="1">
      <alignment vertical="center"/>
      <protection locked="0"/>
    </xf>
    <xf numFmtId="164" fontId="16" fillId="0" borderId="52" xfId="0" applyNumberFormat="1" applyFont="1" applyFill="1" applyBorder="1" applyAlignment="1" applyProtection="1">
      <alignment horizontal="right" vertical="center"/>
      <protection locked="0"/>
    </xf>
    <xf numFmtId="164" fontId="10" fillId="0" borderId="42" xfId="0" applyNumberFormat="1" applyFont="1" applyFill="1" applyBorder="1" applyAlignment="1" applyProtection="1">
      <alignment vertical="center"/>
      <protection locked="0"/>
    </xf>
    <xf numFmtId="164" fontId="14" fillId="0" borderId="45" xfId="0" applyNumberFormat="1" applyFont="1" applyFill="1" applyBorder="1" applyAlignment="1" applyProtection="1">
      <alignment vertical="center"/>
      <protection locked="0"/>
    </xf>
    <xf numFmtId="164" fontId="16" fillId="0" borderId="52" xfId="0" applyNumberFormat="1" applyFont="1" applyFill="1" applyBorder="1" applyAlignment="1" applyProtection="1">
      <alignment vertical="center"/>
      <protection locked="0"/>
    </xf>
    <xf numFmtId="164" fontId="16" fillId="0" borderId="49" xfId="0" applyNumberFormat="1" applyFont="1" applyFill="1" applyBorder="1" applyAlignment="1" applyProtection="1">
      <alignment vertical="center"/>
      <protection locked="0"/>
    </xf>
    <xf numFmtId="164" fontId="10" fillId="0" borderId="52" xfId="0" applyNumberFormat="1" applyFont="1" applyFill="1" applyBorder="1" applyAlignment="1" applyProtection="1">
      <alignment vertical="center"/>
      <protection locked="0"/>
    </xf>
    <xf numFmtId="164" fontId="10" fillId="0" borderId="17" xfId="0" applyNumberFormat="1" applyFont="1" applyFill="1" applyBorder="1" applyAlignment="1" applyProtection="1">
      <alignment vertical="center"/>
      <protection locked="0"/>
    </xf>
    <xf numFmtId="164" fontId="15" fillId="0" borderId="45" xfId="0" applyNumberFormat="1" applyFont="1" applyFill="1" applyBorder="1" applyAlignment="1" applyProtection="1">
      <alignment vertical="center"/>
      <protection locked="0"/>
    </xf>
    <xf numFmtId="164" fontId="10" fillId="0" borderId="49" xfId="0" applyNumberFormat="1" applyFont="1" applyBorder="1" applyAlignment="1">
      <alignment/>
    </xf>
    <xf numFmtId="164" fontId="16" fillId="0" borderId="42" xfId="0" applyNumberFormat="1" applyFont="1" applyFill="1" applyBorder="1" applyAlignment="1" applyProtection="1">
      <alignment horizontal="right" vertical="center"/>
      <protection locked="0"/>
    </xf>
    <xf numFmtId="164" fontId="16" fillId="0" borderId="5" xfId="0" applyNumberFormat="1" applyFont="1" applyFill="1" applyBorder="1" applyAlignment="1" applyProtection="1">
      <alignment vertical="center"/>
      <protection locked="0"/>
    </xf>
    <xf numFmtId="164" fontId="10" fillId="0" borderId="49" xfId="0" applyNumberFormat="1" applyFont="1" applyFill="1" applyBorder="1" applyAlignment="1" applyProtection="1">
      <alignment horizontal="right" vertical="center"/>
      <protection locked="0"/>
    </xf>
    <xf numFmtId="164" fontId="16" fillId="0" borderId="17" xfId="0" applyNumberFormat="1" applyFont="1" applyFill="1" applyBorder="1" applyAlignment="1" applyProtection="1">
      <alignment horizontal="right" vertical="center"/>
      <protection locked="0"/>
    </xf>
    <xf numFmtId="164" fontId="10" fillId="0" borderId="5" xfId="0" applyNumberFormat="1" applyFont="1" applyFill="1" applyBorder="1" applyAlignment="1" applyProtection="1">
      <alignment vertical="center"/>
      <protection locked="0"/>
    </xf>
    <xf numFmtId="164" fontId="10" fillId="0" borderId="44" xfId="0" applyNumberFormat="1" applyFont="1" applyFill="1" applyBorder="1" applyAlignment="1" applyProtection="1">
      <alignment vertical="center"/>
      <protection locked="0"/>
    </xf>
    <xf numFmtId="164" fontId="14" fillId="0" borderId="5" xfId="0" applyNumberFormat="1" applyFont="1" applyFill="1" applyBorder="1" applyAlignment="1" applyProtection="1">
      <alignment horizontal="right" vertical="center"/>
      <protection locked="0"/>
    </xf>
    <xf numFmtId="164" fontId="10" fillId="0" borderId="5" xfId="0" applyNumberFormat="1" applyFont="1" applyFill="1" applyBorder="1" applyAlignment="1" applyProtection="1">
      <alignment horizontal="right" vertical="center"/>
      <protection locked="0"/>
    </xf>
    <xf numFmtId="164" fontId="16" fillId="0" borderId="45" xfId="0" applyNumberFormat="1" applyFont="1" applyFill="1" applyBorder="1" applyAlignment="1" applyProtection="1">
      <alignment horizontal="right" vertical="center"/>
      <protection locked="0"/>
    </xf>
    <xf numFmtId="164" fontId="15" fillId="0" borderId="17" xfId="0" applyNumberFormat="1" applyFont="1" applyFill="1" applyBorder="1" applyAlignment="1" applyProtection="1">
      <alignment horizontal="right" vertical="center"/>
      <protection locked="0"/>
    </xf>
    <xf numFmtId="164" fontId="15" fillId="0" borderId="45" xfId="0" applyNumberFormat="1" applyFont="1" applyFill="1" applyBorder="1" applyAlignment="1" applyProtection="1">
      <alignment horizontal="right" vertical="center"/>
      <protection locked="0"/>
    </xf>
    <xf numFmtId="164" fontId="10" fillId="0" borderId="40" xfId="0" applyNumberFormat="1" applyFont="1" applyFill="1" applyBorder="1" applyAlignment="1" applyProtection="1">
      <alignment vertical="center"/>
      <protection locked="0"/>
    </xf>
    <xf numFmtId="164" fontId="10" fillId="0" borderId="48" xfId="0" applyNumberFormat="1" applyFont="1" applyFill="1" applyBorder="1" applyAlignment="1" applyProtection="1">
      <alignment vertical="center"/>
      <protection locked="0"/>
    </xf>
    <xf numFmtId="164" fontId="16" fillId="0" borderId="40" xfId="0" applyNumberFormat="1" applyFont="1" applyFill="1" applyBorder="1" applyAlignment="1" applyProtection="1">
      <alignment vertical="center"/>
      <protection locked="0"/>
    </xf>
    <xf numFmtId="164" fontId="10" fillId="0" borderId="19" xfId="0" applyNumberFormat="1" applyFont="1" applyFill="1" applyBorder="1" applyAlignment="1" applyProtection="1">
      <alignment vertical="center"/>
      <protection locked="0"/>
    </xf>
    <xf numFmtId="164" fontId="14" fillId="0" borderId="42" xfId="0" applyNumberFormat="1" applyFont="1" applyFill="1" applyBorder="1" applyAlignment="1" applyProtection="1">
      <alignment vertical="center"/>
      <protection locked="0"/>
    </xf>
    <xf numFmtId="164" fontId="10" fillId="0" borderId="19" xfId="0" applyNumberFormat="1" applyFont="1" applyFill="1" applyBorder="1" applyAlignment="1" applyProtection="1">
      <alignment horizontal="center" vertical="center"/>
      <protection locked="0"/>
    </xf>
    <xf numFmtId="164" fontId="10" fillId="0" borderId="51" xfId="0" applyNumberFormat="1" applyFont="1" applyFill="1" applyBorder="1" applyAlignment="1" applyProtection="1">
      <alignment horizontal="center" vertical="center"/>
      <protection locked="0"/>
    </xf>
    <xf numFmtId="164" fontId="10" fillId="0" borderId="42" xfId="0" applyNumberFormat="1" applyFont="1" applyFill="1" applyBorder="1" applyAlignment="1" applyProtection="1">
      <alignment horizontal="center" vertical="center"/>
      <protection locked="0"/>
    </xf>
    <xf numFmtId="164" fontId="10" fillId="0" borderId="44" xfId="0" applyNumberFormat="1" applyFont="1" applyFill="1" applyBorder="1" applyAlignment="1" applyProtection="1">
      <alignment horizontal="center" vertical="center"/>
      <protection locked="0"/>
    </xf>
    <xf numFmtId="164" fontId="16" fillId="0" borderId="44" xfId="0" applyNumberFormat="1" applyFont="1" applyFill="1" applyBorder="1" applyAlignment="1" applyProtection="1">
      <alignment horizontal="center" vertical="center"/>
      <protection locked="0"/>
    </xf>
    <xf numFmtId="164" fontId="10" fillId="0" borderId="48" xfId="0" applyNumberFormat="1" applyFont="1" applyFill="1" applyBorder="1" applyAlignment="1" applyProtection="1">
      <alignment horizontal="center" vertical="center"/>
      <protection locked="0"/>
    </xf>
    <xf numFmtId="164" fontId="15" fillId="0" borderId="19" xfId="0" applyNumberFormat="1" applyFont="1" applyFill="1" applyBorder="1" applyAlignment="1" applyProtection="1">
      <alignment horizontal="right" vertical="center"/>
      <protection locked="0"/>
    </xf>
    <xf numFmtId="164" fontId="16" fillId="0" borderId="42" xfId="0" applyNumberFormat="1" applyFont="1" applyFill="1" applyBorder="1" applyAlignment="1" applyProtection="1">
      <alignment vertical="center"/>
      <protection locked="0"/>
    </xf>
    <xf numFmtId="164" fontId="10" fillId="0" borderId="44" xfId="0" applyNumberFormat="1" applyFont="1" applyFill="1" applyBorder="1" applyAlignment="1" applyProtection="1">
      <alignment horizontal="right" vertical="center"/>
      <protection locked="0"/>
    </xf>
    <xf numFmtId="164" fontId="10" fillId="0" borderId="42" xfId="0" applyNumberFormat="1" applyFont="1" applyFill="1" applyBorder="1" applyAlignment="1" applyProtection="1">
      <alignment horizontal="right" vertical="center"/>
      <protection locked="0"/>
    </xf>
    <xf numFmtId="164" fontId="16" fillId="0" borderId="44" xfId="0" applyNumberFormat="1" applyFont="1" applyFill="1" applyBorder="1" applyAlignment="1" applyProtection="1">
      <alignment vertical="center"/>
      <protection locked="0"/>
    </xf>
    <xf numFmtId="164" fontId="15" fillId="0" borderId="42" xfId="0" applyNumberFormat="1" applyFont="1" applyFill="1" applyBorder="1" applyAlignment="1" applyProtection="1">
      <alignment vertical="center"/>
      <protection locked="0"/>
    </xf>
    <xf numFmtId="164" fontId="15" fillId="0" borderId="51" xfId="0" applyNumberFormat="1" applyFont="1" applyFill="1" applyBorder="1" applyAlignment="1" applyProtection="1">
      <alignment horizontal="right" vertical="center"/>
      <protection locked="0"/>
    </xf>
    <xf numFmtId="164" fontId="10" fillId="0" borderId="40" xfId="0" applyNumberFormat="1" applyFont="1" applyBorder="1" applyAlignment="1">
      <alignment/>
    </xf>
    <xf numFmtId="164" fontId="14" fillId="0" borderId="44" xfId="0" applyNumberFormat="1" applyFont="1" applyFill="1" applyBorder="1" applyAlignment="1" applyProtection="1">
      <alignment vertical="center"/>
      <protection locked="0"/>
    </xf>
    <xf numFmtId="164" fontId="16" fillId="0" borderId="19" xfId="0" applyNumberFormat="1" applyFont="1" applyFill="1" applyBorder="1" applyAlignment="1" applyProtection="1">
      <alignment vertical="center"/>
      <protection locked="0"/>
    </xf>
    <xf numFmtId="164" fontId="16" fillId="0" borderId="51" xfId="0" applyNumberFormat="1" applyFont="1" applyFill="1" applyBorder="1" applyAlignment="1" applyProtection="1">
      <alignment vertical="center"/>
      <protection locked="0"/>
    </xf>
    <xf numFmtId="164" fontId="10" fillId="0" borderId="40" xfId="0" applyNumberFormat="1" applyFont="1" applyFill="1" applyBorder="1" applyAlignment="1" applyProtection="1">
      <alignment horizontal="right" vertical="center"/>
      <protection locked="0"/>
    </xf>
    <xf numFmtId="164" fontId="16" fillId="0" borderId="44" xfId="0" applyNumberFormat="1" applyFont="1" applyFill="1" applyBorder="1" applyAlignment="1" applyProtection="1">
      <alignment horizontal="right" vertical="center"/>
      <protection locked="0"/>
    </xf>
    <xf numFmtId="164" fontId="16" fillId="0" borderId="19" xfId="0" applyNumberFormat="1" applyFont="1" applyFill="1" applyBorder="1" applyAlignment="1" applyProtection="1">
      <alignment horizontal="right" vertical="center"/>
      <protection locked="0"/>
    </xf>
    <xf numFmtId="164" fontId="10" fillId="0" borderId="51" xfId="0" applyNumberFormat="1" applyFont="1" applyFill="1" applyBorder="1" applyAlignment="1" applyProtection="1">
      <alignment vertical="center"/>
      <protection locked="0"/>
    </xf>
    <xf numFmtId="164" fontId="14" fillId="0" borderId="52" xfId="0" applyNumberFormat="1" applyFont="1" applyFill="1" applyBorder="1" applyAlignment="1" applyProtection="1">
      <alignment horizontal="right" vertical="center"/>
      <protection locked="0"/>
    </xf>
    <xf numFmtId="164" fontId="14" fillId="0" borderId="48" xfId="0" applyNumberFormat="1" applyFont="1" applyFill="1" applyBorder="1" applyAlignment="1" applyProtection="1">
      <alignment vertical="center"/>
      <protection locked="0"/>
    </xf>
    <xf numFmtId="164" fontId="14" fillId="0" borderId="40" xfId="0" applyNumberFormat="1" applyFont="1" applyFill="1" applyBorder="1" applyAlignment="1" applyProtection="1">
      <alignment vertical="center"/>
      <protection locked="0"/>
    </xf>
    <xf numFmtId="164" fontId="14" fillId="0" borderId="17" xfId="0" applyNumberFormat="1" applyFont="1" applyFill="1" applyBorder="1" applyAlignment="1" applyProtection="1">
      <alignment horizontal="right" vertical="center"/>
      <protection locked="0"/>
    </xf>
    <xf numFmtId="164" fontId="15" fillId="0" borderId="44" xfId="0" applyNumberFormat="1" applyFont="1" applyFill="1" applyBorder="1" applyAlignment="1" applyProtection="1">
      <alignment vertical="center"/>
      <protection locked="0"/>
    </xf>
    <xf numFmtId="3" fontId="14" fillId="0" borderId="19" xfId="0" applyNumberFormat="1" applyFont="1" applyFill="1" applyBorder="1" applyAlignment="1" applyProtection="1">
      <alignment horizontal="center" vertical="center"/>
      <protection locked="0"/>
    </xf>
    <xf numFmtId="164" fontId="15" fillId="0" borderId="19" xfId="0" applyNumberFormat="1" applyFont="1" applyFill="1" applyBorder="1" applyAlignment="1" applyProtection="1">
      <alignment vertical="center"/>
      <protection locked="0"/>
    </xf>
    <xf numFmtId="164" fontId="15" fillId="0" borderId="51" xfId="0" applyNumberFormat="1" applyFont="1" applyFill="1" applyBorder="1" applyAlignment="1" applyProtection="1">
      <alignment vertical="center"/>
      <protection locked="0"/>
    </xf>
    <xf numFmtId="164" fontId="15" fillId="0" borderId="19" xfId="0" applyNumberFormat="1" applyFont="1" applyFill="1" applyBorder="1" applyAlignment="1" applyProtection="1">
      <alignment horizontal="center" vertical="center"/>
      <protection locked="0"/>
    </xf>
    <xf numFmtId="164" fontId="15" fillId="0" borderId="44" xfId="0" applyNumberFormat="1" applyFont="1" applyFill="1" applyBorder="1" applyAlignment="1" applyProtection="1">
      <alignment horizontal="center" vertical="center"/>
      <protection locked="0"/>
    </xf>
    <xf numFmtId="164" fontId="14" fillId="0" borderId="48" xfId="0" applyNumberFormat="1" applyFont="1" applyFill="1" applyBorder="1" applyAlignment="1" applyProtection="1">
      <alignment horizontal="center" vertical="center"/>
      <protection locked="0"/>
    </xf>
    <xf numFmtId="164" fontId="15" fillId="0" borderId="40" xfId="0" applyNumberFormat="1" applyFont="1" applyFill="1" applyBorder="1" applyAlignment="1" applyProtection="1">
      <alignment vertical="center"/>
      <protection locked="0"/>
    </xf>
    <xf numFmtId="164" fontId="15" fillId="0" borderId="48" xfId="0" applyNumberFormat="1" applyFont="1" applyFill="1" applyBorder="1" applyAlignment="1" applyProtection="1">
      <alignment vertical="center"/>
      <protection locked="0"/>
    </xf>
    <xf numFmtId="164" fontId="10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164" fontId="10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54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48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49" xfId="0" applyNumberFormat="1" applyFont="1" applyFill="1" applyBorder="1" applyAlignment="1" applyProtection="1">
      <alignment vertical="center"/>
      <protection locked="0"/>
    </xf>
    <xf numFmtId="164" fontId="15" fillId="0" borderId="49" xfId="0" applyNumberFormat="1" applyFont="1" applyFill="1" applyBorder="1" applyAlignment="1" applyProtection="1">
      <alignment horizontal="right" vertical="center"/>
      <protection locked="0"/>
    </xf>
    <xf numFmtId="164" fontId="15" fillId="0" borderId="5" xfId="0" applyNumberFormat="1" applyFont="1" applyFill="1" applyBorder="1" applyAlignment="1" applyProtection="1">
      <alignment horizontal="right" vertical="center"/>
      <protection locked="0"/>
    </xf>
    <xf numFmtId="164" fontId="14" fillId="0" borderId="55" xfId="0" applyNumberFormat="1" applyFont="1" applyFill="1" applyBorder="1" applyAlignment="1" applyProtection="1">
      <alignment horizontal="right" vertical="center"/>
      <protection locked="0"/>
    </xf>
    <xf numFmtId="164" fontId="14" fillId="0" borderId="0" xfId="0" applyNumberFormat="1" applyFont="1" applyAlignment="1">
      <alignment/>
    </xf>
    <xf numFmtId="164" fontId="14" fillId="0" borderId="0" xfId="0" applyNumberFormat="1" applyFont="1" applyBorder="1" applyAlignment="1">
      <alignment/>
    </xf>
    <xf numFmtId="164" fontId="14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0" xfId="0" applyNumberFormat="1" applyFont="1" applyFill="1" applyBorder="1" applyAlignment="1" applyProtection="1">
      <alignment horizontal="right" vertical="center"/>
      <protection locked="0"/>
    </xf>
    <xf numFmtId="164" fontId="15" fillId="0" borderId="0" xfId="0" applyNumberFormat="1" applyFont="1" applyFill="1" applyBorder="1" applyAlignment="1" applyProtection="1">
      <alignment horizontal="right" vertical="center"/>
      <protection locked="0"/>
    </xf>
    <xf numFmtId="164" fontId="14" fillId="0" borderId="56" xfId="0" applyNumberFormat="1" applyFont="1" applyFill="1" applyBorder="1" applyAlignment="1" applyProtection="1">
      <alignment horizontal="right" vertical="center"/>
      <protection locked="0"/>
    </xf>
    <xf numFmtId="164" fontId="13" fillId="0" borderId="42" xfId="0" applyNumberFormat="1" applyFont="1" applyFill="1" applyBorder="1" applyAlignment="1" applyProtection="1">
      <alignment horizontal="right" vertical="center"/>
      <protection locked="0"/>
    </xf>
    <xf numFmtId="1" fontId="3" fillId="0" borderId="35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36" xfId="18" applyNumberFormat="1" applyFont="1" applyFill="1" applyBorder="1" applyAlignment="1" applyProtection="1">
      <alignment vertical="center" wrapText="1"/>
      <protection locked="0"/>
    </xf>
    <xf numFmtId="3" fontId="9" fillId="0" borderId="35" xfId="0" applyNumberFormat="1" applyFont="1" applyFill="1" applyBorder="1" applyAlignment="1" applyProtection="1">
      <alignment vertical="center"/>
      <protection locked="0"/>
    </xf>
    <xf numFmtId="3" fontId="9" fillId="0" borderId="30" xfId="0" applyNumberFormat="1" applyFont="1" applyFill="1" applyBorder="1" applyAlignment="1" applyProtection="1">
      <alignment vertical="center"/>
      <protection locked="0"/>
    </xf>
    <xf numFmtId="3" fontId="9" fillId="0" borderId="37" xfId="0" applyNumberFormat="1" applyFont="1" applyFill="1" applyBorder="1" applyAlignment="1" applyProtection="1">
      <alignment vertical="center"/>
      <protection locked="0"/>
    </xf>
    <xf numFmtId="164" fontId="13" fillId="0" borderId="44" xfId="0" applyNumberFormat="1" applyFont="1" applyFill="1" applyBorder="1" applyAlignment="1" applyProtection="1">
      <alignment horizontal="right" vertical="center"/>
      <protection locked="0"/>
    </xf>
    <xf numFmtId="164" fontId="8" fillId="0" borderId="42" xfId="18" applyNumberFormat="1" applyFont="1" applyFill="1" applyBorder="1" applyAlignment="1" applyProtection="1">
      <alignment vertical="center" wrapText="1"/>
      <protection locked="0"/>
    </xf>
    <xf numFmtId="164" fontId="16" fillId="0" borderId="0" xfId="0" applyNumberFormat="1" applyFont="1" applyBorder="1" applyAlignment="1">
      <alignment/>
    </xf>
    <xf numFmtId="164" fontId="10" fillId="0" borderId="0" xfId="0" applyNumberFormat="1" applyFont="1" applyFill="1" applyBorder="1" applyAlignment="1" applyProtection="1">
      <alignment horizontal="left" vertical="center"/>
      <protection locked="0"/>
    </xf>
    <xf numFmtId="164" fontId="10" fillId="0" borderId="5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42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57" xfId="0" applyNumberFormat="1" applyFont="1" applyFill="1" applyBorder="1" applyAlignment="1" applyProtection="1">
      <alignment horizontal="right" vertical="center"/>
      <protection locked="0"/>
    </xf>
    <xf numFmtId="164" fontId="10" fillId="0" borderId="51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56" xfId="0" applyNumberFormat="1" applyFont="1" applyFill="1" applyBorder="1" applyAlignment="1" applyProtection="1">
      <alignment horizontal="right" vertical="center"/>
      <protection locked="0"/>
    </xf>
    <xf numFmtId="164" fontId="15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51" xfId="0" applyNumberFormat="1" applyFont="1" applyFill="1" applyBorder="1" applyAlignment="1" applyProtection="1">
      <alignment horizontal="centerContinuous" vertical="center"/>
      <protection locked="0"/>
    </xf>
    <xf numFmtId="164" fontId="17" fillId="0" borderId="42" xfId="0" applyNumberFormat="1" applyFont="1" applyFill="1" applyBorder="1" applyAlignment="1" applyProtection="1">
      <alignment horizontal="right" vertical="center"/>
      <protection locked="0"/>
    </xf>
    <xf numFmtId="164" fontId="1" fillId="0" borderId="42" xfId="18" applyNumberFormat="1" applyFont="1" applyFill="1" applyBorder="1" applyAlignment="1" applyProtection="1">
      <alignment horizontal="left" vertical="center" wrapText="1"/>
      <protection locked="0"/>
    </xf>
    <xf numFmtId="164" fontId="14" fillId="0" borderId="19" xfId="0" applyNumberFormat="1" applyFont="1" applyFill="1" applyBorder="1" applyAlignment="1" applyProtection="1">
      <alignment vertical="center"/>
      <protection locked="0"/>
    </xf>
    <xf numFmtId="164" fontId="13" fillId="0" borderId="40" xfId="0" applyNumberFormat="1" applyFont="1" applyFill="1" applyBorder="1" applyAlignment="1" applyProtection="1">
      <alignment horizontal="right" vertical="center"/>
      <protection locked="0"/>
    </xf>
    <xf numFmtId="164" fontId="13" fillId="0" borderId="19" xfId="0" applyNumberFormat="1" applyFont="1" applyFill="1" applyBorder="1" applyAlignment="1" applyProtection="1">
      <alignment horizontal="right" vertical="center"/>
      <protection locked="0"/>
    </xf>
    <xf numFmtId="164" fontId="13" fillId="0" borderId="48" xfId="0" applyNumberFormat="1" applyFont="1" applyFill="1" applyBorder="1" applyAlignment="1" applyProtection="1">
      <alignment horizontal="right" vertical="center"/>
      <protection locked="0"/>
    </xf>
    <xf numFmtId="164" fontId="18" fillId="0" borderId="51" xfId="0" applyNumberFormat="1" applyFont="1" applyFill="1" applyBorder="1" applyAlignment="1" applyProtection="1">
      <alignment vertical="center"/>
      <protection locked="0"/>
    </xf>
    <xf numFmtId="164" fontId="18" fillId="0" borderId="42" xfId="0" applyNumberFormat="1" applyFont="1" applyFill="1" applyBorder="1" applyAlignment="1" applyProtection="1">
      <alignment vertical="center"/>
      <protection locked="0"/>
    </xf>
    <xf numFmtId="164" fontId="13" fillId="0" borderId="52" xfId="0" applyNumberFormat="1" applyFont="1" applyFill="1" applyBorder="1" applyAlignment="1" applyProtection="1">
      <alignment horizontal="right" vertical="center"/>
      <protection locked="0"/>
    </xf>
    <xf numFmtId="164" fontId="13" fillId="0" borderId="45" xfId="0" applyNumberFormat="1" applyFont="1" applyFill="1" applyBorder="1" applyAlignment="1" applyProtection="1">
      <alignment horizontal="right" vertical="center"/>
      <protection locked="0"/>
    </xf>
    <xf numFmtId="164" fontId="13" fillId="0" borderId="49" xfId="0" applyNumberFormat="1" applyFont="1" applyFill="1" applyBorder="1" applyAlignment="1" applyProtection="1">
      <alignment horizontal="right" vertical="center"/>
      <protection locked="0"/>
    </xf>
    <xf numFmtId="164" fontId="13" fillId="0" borderId="53" xfId="0" applyNumberFormat="1" applyFont="1" applyFill="1" applyBorder="1" applyAlignment="1" applyProtection="1">
      <alignment horizontal="right" vertical="center"/>
      <protection locked="0"/>
    </xf>
    <xf numFmtId="164" fontId="18" fillId="0" borderId="52" xfId="0" applyNumberFormat="1" applyFont="1" applyFill="1" applyBorder="1" applyAlignment="1" applyProtection="1">
      <alignment vertical="center"/>
      <protection locked="0"/>
    </xf>
    <xf numFmtId="164" fontId="18" fillId="0" borderId="53" xfId="0" applyNumberFormat="1" applyFont="1" applyFill="1" applyBorder="1" applyAlignment="1" applyProtection="1">
      <alignment vertical="center"/>
      <protection locked="0"/>
    </xf>
    <xf numFmtId="164" fontId="18" fillId="0" borderId="45" xfId="0" applyNumberFormat="1" applyFont="1" applyFill="1" applyBorder="1" applyAlignment="1" applyProtection="1">
      <alignment vertical="center"/>
      <protection locked="0"/>
    </xf>
    <xf numFmtId="164" fontId="18" fillId="0" borderId="45" xfId="0" applyNumberFormat="1" applyFont="1" applyFill="1" applyBorder="1" applyAlignment="1" applyProtection="1">
      <alignment horizontal="right" vertical="center"/>
      <protection locked="0"/>
    </xf>
    <xf numFmtId="164" fontId="18" fillId="0" borderId="49" xfId="0" applyNumberFormat="1" applyFont="1" applyFill="1" applyBorder="1" applyAlignment="1" applyProtection="1">
      <alignment vertical="center"/>
      <protection locked="0"/>
    </xf>
    <xf numFmtId="164" fontId="17" fillId="0" borderId="52" xfId="0" applyNumberFormat="1" applyFont="1" applyFill="1" applyBorder="1" applyAlignment="1" applyProtection="1">
      <alignment horizontal="right" vertical="center"/>
      <protection locked="0"/>
    </xf>
    <xf numFmtId="164" fontId="17" fillId="0" borderId="45" xfId="0" applyNumberFormat="1" applyFont="1" applyFill="1" applyBorder="1" applyAlignment="1" applyProtection="1">
      <alignment horizontal="right" vertical="center"/>
      <protection locked="0"/>
    </xf>
    <xf numFmtId="164" fontId="18" fillId="0" borderId="17" xfId="0" applyNumberFormat="1" applyFont="1" applyFill="1" applyBorder="1" applyAlignment="1" applyProtection="1">
      <alignment vertical="center"/>
      <protection locked="0"/>
    </xf>
    <xf numFmtId="164" fontId="18" fillId="0" borderId="40" xfId="0" applyNumberFormat="1" applyFont="1" applyFill="1" applyBorder="1" applyAlignment="1" applyProtection="1">
      <alignment vertical="center"/>
      <protection locked="0"/>
    </xf>
    <xf numFmtId="164" fontId="13" fillId="0" borderId="44" xfId="0" applyNumberFormat="1" applyFont="1" applyFill="1" applyBorder="1" applyAlignment="1" applyProtection="1">
      <alignment vertical="center"/>
      <protection locked="0"/>
    </xf>
    <xf numFmtId="164" fontId="13" fillId="0" borderId="48" xfId="0" applyNumberFormat="1" applyFont="1" applyFill="1" applyBorder="1" applyAlignment="1" applyProtection="1">
      <alignment vertical="center"/>
      <protection locked="0"/>
    </xf>
    <xf numFmtId="164" fontId="13" fillId="0" borderId="42" xfId="0" applyNumberFormat="1" applyFont="1" applyFill="1" applyBorder="1" applyAlignment="1" applyProtection="1">
      <alignment vertical="center"/>
      <protection locked="0"/>
    </xf>
    <xf numFmtId="164" fontId="13" fillId="0" borderId="40" xfId="0" applyNumberFormat="1" applyFont="1" applyFill="1" applyBorder="1" applyAlignment="1" applyProtection="1">
      <alignment vertical="center"/>
      <protection locked="0"/>
    </xf>
    <xf numFmtId="164" fontId="17" fillId="0" borderId="44" xfId="0" applyNumberFormat="1" applyFont="1" applyFill="1" applyBorder="1" applyAlignment="1" applyProtection="1">
      <alignment horizontal="right" vertical="center"/>
      <protection locked="0"/>
    </xf>
    <xf numFmtId="164" fontId="18" fillId="0" borderId="42" xfId="0" applyNumberFormat="1" applyFont="1" applyFill="1" applyBorder="1" applyAlignment="1" applyProtection="1">
      <alignment horizontal="right" vertical="center"/>
      <protection locked="0"/>
    </xf>
    <xf numFmtId="164" fontId="18" fillId="0" borderId="44" xfId="0" applyNumberFormat="1" applyFont="1" applyFill="1" applyBorder="1" applyAlignment="1" applyProtection="1">
      <alignment horizontal="right" vertical="center"/>
      <protection locked="0"/>
    </xf>
    <xf numFmtId="164" fontId="17" fillId="0" borderId="19" xfId="0" applyNumberFormat="1" applyFont="1" applyFill="1" applyBorder="1" applyAlignment="1" applyProtection="1">
      <alignment horizontal="right" vertical="center"/>
      <protection locked="0"/>
    </xf>
    <xf numFmtId="164" fontId="17" fillId="0" borderId="40" xfId="0" applyNumberFormat="1" applyFont="1" applyFill="1" applyBorder="1" applyAlignment="1" applyProtection="1">
      <alignment horizontal="right" vertical="center"/>
      <protection locked="0"/>
    </xf>
    <xf numFmtId="164" fontId="18" fillId="0" borderId="44" xfId="0" applyNumberFormat="1" applyFont="1" applyFill="1" applyBorder="1" applyAlignment="1" applyProtection="1">
      <alignment vertical="center"/>
      <protection locked="0"/>
    </xf>
    <xf numFmtId="164" fontId="18" fillId="0" borderId="48" xfId="0" applyNumberFormat="1" applyFont="1" applyFill="1" applyBorder="1" applyAlignment="1" applyProtection="1">
      <alignment vertical="center"/>
      <protection locked="0"/>
    </xf>
    <xf numFmtId="164" fontId="13" fillId="0" borderId="0" xfId="0" applyNumberFormat="1" applyFont="1" applyFill="1" applyBorder="1" applyAlignment="1" applyProtection="1">
      <alignment horizontal="right" vertical="center"/>
      <protection locked="0"/>
    </xf>
    <xf numFmtId="164" fontId="18" fillId="0" borderId="0" xfId="0" applyNumberFormat="1" applyFont="1" applyFill="1" applyBorder="1" applyAlignment="1" applyProtection="1">
      <alignment horizontal="right" vertical="center"/>
      <protection locked="0"/>
    </xf>
    <xf numFmtId="164" fontId="13" fillId="0" borderId="45" xfId="0" applyNumberFormat="1" applyFont="1" applyFill="1" applyBorder="1" applyAlignment="1" applyProtection="1">
      <alignment vertical="center"/>
      <protection locked="0"/>
    </xf>
    <xf numFmtId="164" fontId="17" fillId="0" borderId="44" xfId="0" applyNumberFormat="1" applyFont="1" applyFill="1" applyBorder="1" applyAlignment="1" applyProtection="1">
      <alignment vertical="center"/>
      <protection locked="0"/>
    </xf>
    <xf numFmtId="164" fontId="13" fillId="0" borderId="8" xfId="0" applyNumberFormat="1" applyFont="1" applyFill="1" applyBorder="1" applyAlignment="1" applyProtection="1">
      <alignment horizontal="right" vertical="center"/>
      <protection locked="0"/>
    </xf>
    <xf numFmtId="164" fontId="13" fillId="0" borderId="17" xfId="0" applyNumberFormat="1" applyFont="1" applyFill="1" applyBorder="1" applyAlignment="1" applyProtection="1">
      <alignment horizontal="right" vertical="center"/>
      <protection locked="0"/>
    </xf>
    <xf numFmtId="164" fontId="13" fillId="0" borderId="51" xfId="0" applyNumberFormat="1" applyFont="1" applyFill="1" applyBorder="1" applyAlignment="1" applyProtection="1">
      <alignment horizontal="right" vertical="center"/>
      <protection locked="0"/>
    </xf>
    <xf numFmtId="164" fontId="18" fillId="0" borderId="40" xfId="0" applyNumberFormat="1" applyFont="1" applyFill="1" applyBorder="1" applyAlignment="1" applyProtection="1">
      <alignment horizontal="right" vertical="center"/>
      <protection locked="0"/>
    </xf>
    <xf numFmtId="164" fontId="17" fillId="0" borderId="5" xfId="0" applyNumberFormat="1" applyFont="1" applyFill="1" applyBorder="1" applyAlignment="1" applyProtection="1">
      <alignment horizontal="right" vertical="center"/>
      <protection locked="0"/>
    </xf>
    <xf numFmtId="164" fontId="13" fillId="0" borderId="5" xfId="0" applyNumberFormat="1" applyFont="1" applyFill="1" applyBorder="1" applyAlignment="1" applyProtection="1">
      <alignment vertical="center"/>
      <protection locked="0"/>
    </xf>
    <xf numFmtId="164" fontId="1" fillId="0" borderId="8" xfId="18" applyNumberFormat="1" applyFont="1" applyFill="1" applyBorder="1" applyAlignment="1" applyProtection="1">
      <alignment horizontal="left" vertical="center" wrapText="1"/>
      <protection locked="0"/>
    </xf>
    <xf numFmtId="164" fontId="19" fillId="0" borderId="44" xfId="0" applyNumberFormat="1" applyFont="1" applyFill="1" applyBorder="1" applyAlignment="1" applyProtection="1">
      <alignment vertical="center"/>
      <protection locked="0"/>
    </xf>
    <xf numFmtId="3" fontId="2" fillId="0" borderId="9" xfId="0" applyNumberFormat="1" applyFont="1" applyFill="1" applyBorder="1" applyAlignment="1" applyProtection="1">
      <alignment horizontal="right" vertical="center"/>
      <protection locked="0"/>
    </xf>
    <xf numFmtId="3" fontId="2" fillId="0" borderId="9" xfId="0" applyNumberFormat="1" applyFont="1" applyFill="1" applyBorder="1" applyAlignment="1" applyProtection="1">
      <alignment horizontal="right" vertical="center"/>
      <protection locked="0"/>
    </xf>
    <xf numFmtId="3" fontId="2" fillId="0" borderId="7" xfId="0" applyNumberFormat="1" applyFont="1" applyFill="1" applyBorder="1" applyAlignment="1" applyProtection="1">
      <alignment horizontal="right" vertical="center"/>
      <protection locked="0"/>
    </xf>
    <xf numFmtId="3" fontId="2" fillId="0" borderId="35" xfId="0" applyNumberFormat="1" applyFont="1" applyBorder="1" applyAlignment="1">
      <alignment/>
    </xf>
    <xf numFmtId="3" fontId="4" fillId="0" borderId="14" xfId="0" applyNumberFormat="1" applyFont="1" applyFill="1" applyBorder="1" applyAlignment="1" applyProtection="1">
      <alignment horizontal="right" vertical="center"/>
      <protection locked="0"/>
    </xf>
    <xf numFmtId="3" fontId="9" fillId="0" borderId="13" xfId="0" applyNumberFormat="1" applyFont="1" applyFill="1" applyBorder="1" applyAlignment="1" applyProtection="1">
      <alignment horizontal="right" vertical="center"/>
      <protection locked="0"/>
    </xf>
    <xf numFmtId="3" fontId="2" fillId="0" borderId="30" xfId="0" applyNumberFormat="1" applyFont="1" applyFill="1" applyBorder="1" applyAlignment="1" applyProtection="1">
      <alignment horizontal="right" vertical="center"/>
      <protection locked="0"/>
    </xf>
    <xf numFmtId="3" fontId="4" fillId="0" borderId="30" xfId="0" applyNumberFormat="1" applyFont="1" applyFill="1" applyBorder="1" applyAlignment="1" applyProtection="1">
      <alignment horizontal="right" vertical="center"/>
      <protection locked="0"/>
    </xf>
    <xf numFmtId="3" fontId="12" fillId="0" borderId="34" xfId="0" applyNumberFormat="1" applyFont="1" applyFill="1" applyBorder="1" applyAlignment="1" applyProtection="1">
      <alignment vertical="center"/>
      <protection locked="0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3" fontId="4" fillId="0" borderId="33" xfId="0" applyNumberFormat="1" applyFont="1" applyFill="1" applyBorder="1" applyAlignment="1" applyProtection="1">
      <alignment vertical="center"/>
      <protection locked="0"/>
    </xf>
    <xf numFmtId="164" fontId="13" fillId="0" borderId="0" xfId="0" applyNumberFormat="1" applyFont="1" applyAlignment="1">
      <alignment/>
    </xf>
    <xf numFmtId="164" fontId="13" fillId="0" borderId="0" xfId="0" applyNumberFormat="1" applyFont="1" applyBorder="1" applyAlignment="1">
      <alignment/>
    </xf>
    <xf numFmtId="164" fontId="13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54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5" xfId="0" applyNumberFormat="1" applyFont="1" applyFill="1" applyBorder="1" applyAlignment="1" applyProtection="1">
      <alignment horizontal="right" vertical="center"/>
      <protection locked="0"/>
    </xf>
    <xf numFmtId="164" fontId="17" fillId="0" borderId="53" xfId="0" applyNumberFormat="1" applyFont="1" applyFill="1" applyBorder="1" applyAlignment="1" applyProtection="1">
      <alignment horizontal="right" vertical="center"/>
      <protection locked="0"/>
    </xf>
    <xf numFmtId="164" fontId="17" fillId="0" borderId="17" xfId="0" applyNumberFormat="1" applyFont="1" applyFill="1" applyBorder="1" applyAlignment="1" applyProtection="1">
      <alignment horizontal="right" vertical="center"/>
      <protection locked="0"/>
    </xf>
    <xf numFmtId="164" fontId="17" fillId="0" borderId="49" xfId="0" applyNumberFormat="1" applyFont="1" applyFill="1" applyBorder="1" applyAlignment="1" applyProtection="1">
      <alignment horizontal="right" vertical="center"/>
      <protection locked="0"/>
    </xf>
    <xf numFmtId="164" fontId="13" fillId="0" borderId="57" xfId="0" applyNumberFormat="1" applyFont="1" applyFill="1" applyBorder="1" applyAlignment="1" applyProtection="1">
      <alignment horizontal="right" vertical="center"/>
      <protection locked="0"/>
    </xf>
    <xf numFmtId="164" fontId="13" fillId="0" borderId="38" xfId="0" applyNumberFormat="1" applyFont="1" applyFill="1" applyBorder="1" applyAlignment="1" applyProtection="1">
      <alignment horizontal="right" vertical="center"/>
      <protection locked="0"/>
    </xf>
    <xf numFmtId="164" fontId="13" fillId="0" borderId="58" xfId="0" applyNumberFormat="1" applyFont="1" applyFill="1" applyBorder="1" applyAlignment="1" applyProtection="1">
      <alignment horizontal="right" vertical="center"/>
      <protection locked="0"/>
    </xf>
    <xf numFmtId="164" fontId="13" fillId="0" borderId="4" xfId="0" applyNumberFormat="1" applyFont="1" applyFill="1" applyBorder="1" applyAlignment="1" applyProtection="1">
      <alignment horizontal="right" vertical="center"/>
      <protection locked="0"/>
    </xf>
    <xf numFmtId="164" fontId="13" fillId="0" borderId="47" xfId="0" applyNumberFormat="1" applyFont="1" applyFill="1" applyBorder="1" applyAlignment="1" applyProtection="1">
      <alignment horizontal="right" vertical="center"/>
      <protection locked="0"/>
    </xf>
    <xf numFmtId="164" fontId="13" fillId="0" borderId="43" xfId="0" applyNumberFormat="1" applyFont="1" applyFill="1" applyBorder="1" applyAlignment="1" applyProtection="1">
      <alignment horizontal="right" vertical="center"/>
      <protection locked="0"/>
    </xf>
    <xf numFmtId="164" fontId="17" fillId="0" borderId="0" xfId="0" applyNumberFormat="1" applyFont="1" applyFill="1" applyBorder="1" applyAlignment="1" applyProtection="1">
      <alignment horizontal="right" vertical="center"/>
      <protection locked="0"/>
    </xf>
    <xf numFmtId="164" fontId="13" fillId="0" borderId="36" xfId="0" applyNumberFormat="1" applyFont="1" applyFill="1" applyBorder="1" applyAlignment="1" applyProtection="1">
      <alignment horizontal="right" vertical="center"/>
      <protection locked="0"/>
    </xf>
    <xf numFmtId="164" fontId="13" fillId="0" borderId="26" xfId="0" applyNumberFormat="1" applyFont="1" applyFill="1" applyBorder="1" applyAlignment="1" applyProtection="1">
      <alignment horizontal="right" vertical="center"/>
      <protection locked="0"/>
    </xf>
    <xf numFmtId="164" fontId="13" fillId="0" borderId="12" xfId="0" applyNumberFormat="1" applyFont="1" applyFill="1" applyBorder="1" applyAlignment="1" applyProtection="1">
      <alignment horizontal="right" vertical="center"/>
      <protection locked="0"/>
    </xf>
    <xf numFmtId="164" fontId="17" fillId="0" borderId="26" xfId="0" applyNumberFormat="1" applyFont="1" applyFill="1" applyBorder="1" applyAlignment="1" applyProtection="1">
      <alignment horizontal="right" vertical="center"/>
      <protection locked="0"/>
    </xf>
    <xf numFmtId="164" fontId="19" fillId="0" borderId="0" xfId="0" applyNumberFormat="1" applyFont="1" applyFill="1" applyBorder="1" applyAlignment="1" applyProtection="1">
      <alignment horizontal="right" vertical="center"/>
      <protection locked="0"/>
    </xf>
    <xf numFmtId="164" fontId="17" fillId="0" borderId="58" xfId="0" applyNumberFormat="1" applyFont="1" applyFill="1" applyBorder="1" applyAlignment="1" applyProtection="1">
      <alignment horizontal="right" vertical="center"/>
      <protection locked="0"/>
    </xf>
    <xf numFmtId="164" fontId="17" fillId="0" borderId="51" xfId="0" applyNumberFormat="1" applyFont="1" applyFill="1" applyBorder="1" applyAlignment="1" applyProtection="1">
      <alignment horizontal="right" vertical="center"/>
      <protection locked="0"/>
    </xf>
    <xf numFmtId="164" fontId="3" fillId="0" borderId="0" xfId="18" applyNumberFormat="1" applyFont="1" applyFill="1" applyBorder="1" applyAlignment="1" applyProtection="1">
      <alignment vertical="center" wrapText="1"/>
      <protection locked="0"/>
    </xf>
    <xf numFmtId="164" fontId="8" fillId="0" borderId="2" xfId="18" applyNumberFormat="1" applyFont="1" applyFill="1" applyBorder="1" applyAlignment="1" applyProtection="1">
      <alignment vertical="center" wrapText="1"/>
      <protection locked="0"/>
    </xf>
    <xf numFmtId="164" fontId="8" fillId="0" borderId="40" xfId="18" applyNumberFormat="1" applyFont="1" applyFill="1" applyBorder="1" applyAlignment="1" applyProtection="1">
      <alignment vertical="center" wrapText="1"/>
      <protection locked="0"/>
    </xf>
    <xf numFmtId="3" fontId="2" fillId="0" borderId="28" xfId="0" applyNumberFormat="1" applyFont="1" applyFill="1" applyBorder="1" applyAlignment="1" applyProtection="1">
      <alignment vertical="center"/>
      <protection locked="0"/>
    </xf>
    <xf numFmtId="3" fontId="2" fillId="0" borderId="36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164" fontId="17" fillId="0" borderId="19" xfId="0" applyNumberFormat="1" applyFont="1" applyFill="1" applyBorder="1" applyAlignment="1" applyProtection="1">
      <alignment vertical="center"/>
      <protection locked="0"/>
    </xf>
    <xf numFmtId="3" fontId="2" fillId="0" borderId="27" xfId="0" applyNumberFormat="1" applyFont="1" applyFill="1" applyBorder="1" applyAlignment="1" applyProtection="1">
      <alignment horizontal="right" vertical="center"/>
      <protection locked="0"/>
    </xf>
    <xf numFmtId="3" fontId="2" fillId="0" borderId="26" xfId="0" applyNumberFormat="1" applyFont="1" applyFill="1" applyBorder="1" applyAlignment="1" applyProtection="1">
      <alignment vertical="center"/>
      <protection locked="0"/>
    </xf>
    <xf numFmtId="3" fontId="9" fillId="0" borderId="39" xfId="0" applyNumberFormat="1" applyFont="1" applyFill="1" applyBorder="1" applyAlignment="1" applyProtection="1">
      <alignment vertical="center"/>
      <protection locked="0"/>
    </xf>
    <xf numFmtId="0" fontId="3" fillId="0" borderId="43" xfId="0" applyFont="1" applyBorder="1" applyAlignment="1">
      <alignment horizontal="left" vertical="center" wrapText="1"/>
    </xf>
    <xf numFmtId="3" fontId="9" fillId="0" borderId="30" xfId="0" applyNumberFormat="1" applyFont="1" applyFill="1" applyBorder="1" applyAlignment="1" applyProtection="1">
      <alignment horizontal="right" vertical="center"/>
      <protection locked="0"/>
    </xf>
    <xf numFmtId="3" fontId="2" fillId="0" borderId="47" xfId="0" applyNumberFormat="1" applyFont="1" applyFill="1" applyBorder="1" applyAlignment="1" applyProtection="1">
      <alignment vertical="center"/>
      <protection locked="0"/>
    </xf>
    <xf numFmtId="164" fontId="1" fillId="0" borderId="36" xfId="18" applyNumberFormat="1" applyFont="1" applyFill="1" applyBorder="1" applyAlignment="1" applyProtection="1">
      <alignment horizontal="left" vertical="center" wrapText="1"/>
      <protection locked="0"/>
    </xf>
    <xf numFmtId="1" fontId="12" fillId="0" borderId="0" xfId="0" applyNumberFormat="1" applyFont="1" applyFill="1" applyBorder="1" applyAlignment="1" applyProtection="1">
      <alignment horizontal="centerContinuous" vertical="center"/>
      <protection locked="0"/>
    </xf>
    <xf numFmtId="3" fontId="12" fillId="0" borderId="0" xfId="0" applyNumberFormat="1" applyFont="1" applyFill="1" applyBorder="1" applyAlignment="1" applyProtection="1">
      <alignment vertical="center"/>
      <protection locked="0"/>
    </xf>
    <xf numFmtId="4" fontId="12" fillId="0" borderId="0" xfId="0" applyNumberFormat="1" applyFont="1" applyFill="1" applyBorder="1" applyAlignment="1" applyProtection="1">
      <alignment vertical="center"/>
      <protection locked="0"/>
    </xf>
    <xf numFmtId="3" fontId="11" fillId="0" borderId="0" xfId="0" applyNumberFormat="1" applyFont="1" applyFill="1" applyBorder="1" applyAlignment="1" applyProtection="1">
      <alignment vertical="center"/>
      <protection locked="0"/>
    </xf>
    <xf numFmtId="1" fontId="12" fillId="0" borderId="45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45" xfId="0" applyNumberFormat="1" applyFont="1" applyFill="1" applyBorder="1" applyAlignment="1" applyProtection="1">
      <alignment horizontal="right" vertical="center"/>
      <protection locked="0"/>
    </xf>
    <xf numFmtId="164" fontId="12" fillId="0" borderId="0" xfId="0" applyNumberFormat="1" applyFont="1" applyFill="1" applyBorder="1" applyAlignment="1" applyProtection="1">
      <alignment horizontal="right" vertical="center"/>
      <protection locked="0"/>
    </xf>
    <xf numFmtId="164" fontId="12" fillId="0" borderId="0" xfId="0" applyNumberFormat="1" applyFont="1" applyBorder="1" applyAlignment="1">
      <alignment/>
    </xf>
    <xf numFmtId="0" fontId="20" fillId="0" borderId="57" xfId="0" applyFont="1" applyBorder="1" applyAlignment="1">
      <alignment vertical="center" wrapText="1"/>
    </xf>
    <xf numFmtId="3" fontId="12" fillId="0" borderId="50" xfId="0" applyNumberFormat="1" applyFont="1" applyFill="1" applyBorder="1" applyAlignment="1" applyProtection="1">
      <alignment vertical="center"/>
      <protection locked="0"/>
    </xf>
    <xf numFmtId="0" fontId="21" fillId="0" borderId="45" xfId="0" applyFont="1" applyBorder="1" applyAlignment="1">
      <alignment vertical="center" wrapText="1"/>
    </xf>
    <xf numFmtId="3" fontId="4" fillId="0" borderId="3" xfId="0" applyNumberFormat="1" applyFont="1" applyBorder="1" applyAlignment="1">
      <alignment horizontal="centerContinuous" vertical="center" wrapText="1"/>
    </xf>
    <xf numFmtId="3" fontId="4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1" fontId="3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12" xfId="18" applyNumberFormat="1" applyFont="1" applyFill="1" applyBorder="1" applyAlignment="1" applyProtection="1">
      <alignment vertical="center" wrapText="1"/>
      <protection locked="0"/>
    </xf>
    <xf numFmtId="3" fontId="9" fillId="0" borderId="9" xfId="0" applyNumberFormat="1" applyFont="1" applyFill="1" applyBorder="1" applyAlignment="1" applyProtection="1">
      <alignment vertical="center"/>
      <protection locked="0"/>
    </xf>
    <xf numFmtId="3" fontId="9" fillId="0" borderId="10" xfId="0" applyNumberFormat="1" applyFont="1" applyFill="1" applyBorder="1" applyAlignment="1" applyProtection="1">
      <alignment vertical="center"/>
      <protection locked="0"/>
    </xf>
    <xf numFmtId="3" fontId="9" fillId="0" borderId="29" xfId="0" applyNumberFormat="1" applyFont="1" applyFill="1" applyBorder="1" applyAlignment="1" applyProtection="1">
      <alignment vertical="center"/>
      <protection locked="0"/>
    </xf>
    <xf numFmtId="3" fontId="9" fillId="0" borderId="59" xfId="0" applyNumberFormat="1" applyFont="1" applyFill="1" applyBorder="1" applyAlignment="1" applyProtection="1">
      <alignment vertical="center"/>
      <protection locked="0"/>
    </xf>
    <xf numFmtId="3" fontId="2" fillId="0" borderId="39" xfId="0" applyNumberFormat="1" applyFont="1" applyFill="1" applyBorder="1" applyAlignment="1" applyProtection="1">
      <alignment vertical="center"/>
      <protection locked="0"/>
    </xf>
    <xf numFmtId="1" fontId="8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12" xfId="18" applyNumberFormat="1" applyFont="1" applyFill="1" applyBorder="1" applyAlignment="1" applyProtection="1">
      <alignment vertical="center" wrapText="1"/>
      <protection locked="0"/>
    </xf>
    <xf numFmtId="3" fontId="4" fillId="0" borderId="9" xfId="0" applyNumberFormat="1" applyFont="1" applyFill="1" applyBorder="1" applyAlignment="1" applyProtection="1">
      <alignment vertical="center"/>
      <protection locked="0"/>
    </xf>
    <xf numFmtId="3" fontId="4" fillId="0" borderId="29" xfId="0" applyNumberFormat="1" applyFont="1" applyFill="1" applyBorder="1" applyAlignment="1" applyProtection="1">
      <alignment vertical="center"/>
      <protection locked="0"/>
    </xf>
    <xf numFmtId="164" fontId="16" fillId="0" borderId="53" xfId="0" applyNumberFormat="1" applyFont="1" applyFill="1" applyBorder="1" applyAlignment="1" applyProtection="1">
      <alignment vertical="center"/>
      <protection locked="0"/>
    </xf>
    <xf numFmtId="164" fontId="1" fillId="0" borderId="56" xfId="18" applyNumberFormat="1" applyFont="1" applyFill="1" applyBorder="1" applyAlignment="1" applyProtection="1">
      <alignment vertical="center" wrapText="1"/>
      <protection locked="0"/>
    </xf>
    <xf numFmtId="3" fontId="2" fillId="0" borderId="60" xfId="0" applyNumberFormat="1" applyFont="1" applyFill="1" applyBorder="1" applyAlignment="1" applyProtection="1">
      <alignment vertical="center"/>
      <protection locked="0"/>
    </xf>
    <xf numFmtId="164" fontId="14" fillId="0" borderId="56" xfId="0" applyNumberFormat="1" applyFont="1" applyFill="1" applyBorder="1" applyAlignment="1" applyProtection="1">
      <alignment vertical="center"/>
      <protection locked="0"/>
    </xf>
    <xf numFmtId="164" fontId="10" fillId="0" borderId="56" xfId="0" applyNumberFormat="1" applyFont="1" applyFill="1" applyBorder="1" applyAlignment="1" applyProtection="1">
      <alignment vertical="center"/>
      <protection locked="0"/>
    </xf>
    <xf numFmtId="164" fontId="10" fillId="0" borderId="57" xfId="0" applyNumberFormat="1" applyFont="1" applyFill="1" applyBorder="1" applyAlignment="1" applyProtection="1">
      <alignment vertical="center"/>
      <protection locked="0"/>
    </xf>
    <xf numFmtId="3" fontId="2" fillId="0" borderId="30" xfId="0" applyNumberFormat="1" applyFont="1" applyBorder="1" applyAlignment="1">
      <alignment vertical="center"/>
    </xf>
    <xf numFmtId="164" fontId="1" fillId="0" borderId="44" xfId="18" applyNumberFormat="1" applyFont="1" applyFill="1" applyBorder="1" applyAlignment="1" applyProtection="1">
      <alignment vertical="center" wrapText="1"/>
      <protection locked="0"/>
    </xf>
    <xf numFmtId="164" fontId="13" fillId="0" borderId="49" xfId="0" applyNumberFormat="1" applyFont="1" applyFill="1" applyBorder="1" applyAlignment="1" applyProtection="1">
      <alignment vertical="center"/>
      <protection locked="0"/>
    </xf>
    <xf numFmtId="1" fontId="11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12" xfId="18" applyNumberFormat="1" applyFont="1" applyFill="1" applyBorder="1" applyAlignment="1" applyProtection="1">
      <alignment vertical="center" wrapText="1"/>
      <protection locked="0"/>
    </xf>
    <xf numFmtId="3" fontId="12" fillId="0" borderId="9" xfId="0" applyNumberFormat="1" applyFont="1" applyFill="1" applyBorder="1" applyAlignment="1" applyProtection="1">
      <alignment vertical="center"/>
      <protection locked="0"/>
    </xf>
    <xf numFmtId="3" fontId="12" fillId="0" borderId="10" xfId="0" applyNumberFormat="1" applyFont="1" applyFill="1" applyBorder="1" applyAlignment="1" applyProtection="1">
      <alignment vertical="center"/>
      <protection locked="0"/>
    </xf>
    <xf numFmtId="3" fontId="12" fillId="0" borderId="29" xfId="0" applyNumberFormat="1" applyFont="1" applyFill="1" applyBorder="1" applyAlignment="1" applyProtection="1">
      <alignment vertical="center"/>
      <protection locked="0"/>
    </xf>
    <xf numFmtId="164" fontId="14" fillId="0" borderId="53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43"/>
  <sheetViews>
    <sheetView tabSelected="1" workbookViewId="0" topLeftCell="A6">
      <pane xSplit="2" topLeftCell="C1" activePane="topRight" state="frozen"/>
      <selection pane="topLeft" activeCell="A3" sqref="A3"/>
      <selection pane="topRight" activeCell="A1841" sqref="A1841:A1843"/>
    </sheetView>
  </sheetViews>
  <sheetFormatPr defaultColWidth="9.00390625" defaultRowHeight="12.75"/>
  <cols>
    <col min="1" max="1" width="5.75390625" style="1" customWidth="1"/>
    <col min="2" max="2" width="18.75390625" style="2" customWidth="1"/>
    <col min="3" max="3" width="11.375" style="3" customWidth="1"/>
    <col min="4" max="4" width="13.625" style="4" customWidth="1"/>
    <col min="5" max="5" width="12.75390625" style="3" customWidth="1"/>
    <col min="6" max="6" width="4.25390625" style="514" customWidth="1"/>
    <col min="7" max="7" width="12.00390625" style="3" customWidth="1"/>
    <col min="8" max="8" width="11.125" style="3" customWidth="1"/>
    <col min="9" max="9" width="4.00390625" style="426" customWidth="1"/>
    <col min="10" max="11" width="12.375" style="3" customWidth="1"/>
    <col min="12" max="12" width="4.00390625" style="435" customWidth="1"/>
    <col min="13" max="13" width="11.00390625" style="3" customWidth="1"/>
    <col min="14" max="14" width="10.125" style="3" customWidth="1"/>
    <col min="15" max="15" width="4.00390625" style="426" customWidth="1"/>
    <col min="16" max="16" width="11.375" style="3" customWidth="1"/>
    <col min="17" max="17" width="9.375" style="3" customWidth="1"/>
    <col min="18" max="18" width="4.00390625" style="426" customWidth="1"/>
    <col min="19" max="16384" width="9.125" style="6" customWidth="1"/>
  </cols>
  <sheetData>
    <row r="1" spans="13:14" ht="12.75" hidden="1">
      <c r="M1" s="5"/>
      <c r="N1" s="5"/>
    </row>
    <row r="2" spans="1:18" ht="15.75">
      <c r="A2" s="7"/>
      <c r="B2" s="8"/>
      <c r="C2" s="9"/>
      <c r="D2" s="10"/>
      <c r="E2" s="9"/>
      <c r="F2" s="515"/>
      <c r="G2" s="9"/>
      <c r="H2" s="9"/>
      <c r="I2" s="427"/>
      <c r="J2" s="9"/>
      <c r="K2" s="9"/>
      <c r="L2" s="436"/>
      <c r="M2" s="9"/>
      <c r="N2" s="9"/>
      <c r="O2" s="450"/>
      <c r="P2" s="14"/>
      <c r="Q2" s="15"/>
      <c r="R2" s="427"/>
    </row>
    <row r="3" spans="1:18" ht="12.75">
      <c r="A3" s="7"/>
      <c r="B3" s="8"/>
      <c r="C3" s="9"/>
      <c r="D3" s="10"/>
      <c r="E3" s="9"/>
      <c r="F3" s="515"/>
      <c r="G3" s="9"/>
      <c r="H3" s="9"/>
      <c r="I3" s="427"/>
      <c r="J3" s="9"/>
      <c r="K3" s="9"/>
      <c r="L3" s="436"/>
      <c r="M3" s="9"/>
      <c r="N3" s="9"/>
      <c r="O3" s="450"/>
      <c r="P3" s="15"/>
      <c r="Q3" s="15" t="s">
        <v>31</v>
      </c>
      <c r="R3" s="427"/>
    </row>
    <row r="4" spans="1:18" s="21" customFormat="1" ht="23.25" customHeight="1">
      <c r="A4" s="16" t="s">
        <v>30</v>
      </c>
      <c r="B4" s="17"/>
      <c r="C4" s="18"/>
      <c r="D4" s="19"/>
      <c r="E4" s="18"/>
      <c r="F4" s="516"/>
      <c r="G4" s="18"/>
      <c r="H4" s="18"/>
      <c r="I4" s="428"/>
      <c r="J4" s="18"/>
      <c r="K4" s="18"/>
      <c r="L4" s="457"/>
      <c r="M4" s="19"/>
      <c r="N4" s="19"/>
      <c r="O4" s="428"/>
      <c r="P4" s="20"/>
      <c r="Q4" s="20"/>
      <c r="R4" s="428"/>
    </row>
    <row r="5" spans="1:18" ht="12" customHeight="1" thickBot="1">
      <c r="A5" s="22"/>
      <c r="B5" s="23"/>
      <c r="C5" s="24"/>
      <c r="D5" s="19"/>
      <c r="E5" s="24"/>
      <c r="F5" s="516"/>
      <c r="G5" s="24"/>
      <c r="H5" s="24"/>
      <c r="I5" s="428"/>
      <c r="J5" s="24"/>
      <c r="K5" s="24"/>
      <c r="L5" s="437"/>
      <c r="M5" s="25"/>
      <c r="N5" s="25"/>
      <c r="O5" s="451"/>
      <c r="P5" s="26" t="s">
        <v>468</v>
      </c>
      <c r="Q5" s="20"/>
      <c r="R5" s="428"/>
    </row>
    <row r="6" spans="1:18" s="37" customFormat="1" ht="26.25" thickTop="1">
      <c r="A6" s="27" t="s">
        <v>469</v>
      </c>
      <c r="B6" s="28"/>
      <c r="C6" s="29" t="s">
        <v>470</v>
      </c>
      <c r="D6" s="30"/>
      <c r="E6" s="31"/>
      <c r="F6" s="517"/>
      <c r="G6" s="32" t="s">
        <v>203</v>
      </c>
      <c r="H6" s="33"/>
      <c r="I6" s="429"/>
      <c r="J6" s="561" t="s">
        <v>28</v>
      </c>
      <c r="K6" s="34"/>
      <c r="L6" s="458"/>
      <c r="M6" s="35" t="s">
        <v>209</v>
      </c>
      <c r="N6" s="36"/>
      <c r="O6" s="452"/>
      <c r="P6" s="562" t="s">
        <v>29</v>
      </c>
      <c r="Q6" s="36"/>
      <c r="R6" s="455"/>
    </row>
    <row r="7" spans="1:18" s="47" customFormat="1" ht="36" customHeight="1" thickBot="1">
      <c r="A7" s="38" t="s">
        <v>454</v>
      </c>
      <c r="B7" s="39" t="s">
        <v>471</v>
      </c>
      <c r="C7" s="40" t="s">
        <v>472</v>
      </c>
      <c r="D7" s="41" t="s">
        <v>473</v>
      </c>
      <c r="E7" s="41" t="s">
        <v>474</v>
      </c>
      <c r="F7" s="438" t="s">
        <v>475</v>
      </c>
      <c r="G7" s="42" t="s">
        <v>476</v>
      </c>
      <c r="H7" s="43" t="s">
        <v>474</v>
      </c>
      <c r="I7" s="430" t="s">
        <v>477</v>
      </c>
      <c r="J7" s="42" t="s">
        <v>476</v>
      </c>
      <c r="K7" s="44" t="s">
        <v>474</v>
      </c>
      <c r="L7" s="453" t="s">
        <v>478</v>
      </c>
      <c r="M7" s="42" t="s">
        <v>476</v>
      </c>
      <c r="N7" s="45" t="s">
        <v>474</v>
      </c>
      <c r="O7" s="453" t="s">
        <v>478</v>
      </c>
      <c r="P7" s="42" t="s">
        <v>476</v>
      </c>
      <c r="Q7" s="46" t="s">
        <v>474</v>
      </c>
      <c r="R7" s="453" t="s">
        <v>477</v>
      </c>
    </row>
    <row r="8" spans="1:18" s="55" customFormat="1" ht="15" customHeight="1" thickBot="1" thickTop="1">
      <c r="A8" s="48">
        <v>1</v>
      </c>
      <c r="B8" s="49">
        <v>2</v>
      </c>
      <c r="C8" s="50">
        <v>3</v>
      </c>
      <c r="D8" s="51">
        <v>4</v>
      </c>
      <c r="E8" s="51">
        <v>5</v>
      </c>
      <c r="F8" s="52">
        <v>6</v>
      </c>
      <c r="G8" s="51">
        <v>7</v>
      </c>
      <c r="H8" s="53">
        <v>8</v>
      </c>
      <c r="I8" s="54">
        <v>9</v>
      </c>
      <c r="J8" s="53">
        <v>10</v>
      </c>
      <c r="K8" s="51">
        <v>11</v>
      </c>
      <c r="L8" s="418">
        <v>12</v>
      </c>
      <c r="M8" s="53">
        <v>13</v>
      </c>
      <c r="N8" s="51">
        <v>14</v>
      </c>
      <c r="O8" s="54">
        <v>15</v>
      </c>
      <c r="P8" s="53">
        <v>16</v>
      </c>
      <c r="Q8" s="53">
        <v>17</v>
      </c>
      <c r="R8" s="54">
        <v>18</v>
      </c>
    </row>
    <row r="9" spans="1:18" s="63" customFormat="1" ht="26.25" customHeight="1" thickBot="1" thickTop="1">
      <c r="A9" s="56" t="s">
        <v>479</v>
      </c>
      <c r="B9" s="57" t="s">
        <v>480</v>
      </c>
      <c r="C9" s="58">
        <f>C12+C30</f>
        <v>2000</v>
      </c>
      <c r="D9" s="59">
        <f aca="true" t="shared" si="0" ref="D9:E11">G9+J9+P9+M9</f>
        <v>3376.0699999999997</v>
      </c>
      <c r="E9" s="59">
        <f t="shared" si="0"/>
        <v>2483.0699999999997</v>
      </c>
      <c r="F9" s="496">
        <f>E9/D9*100</f>
        <v>73.54912664725553</v>
      </c>
      <c r="G9" s="60">
        <f>G30</f>
        <v>2000</v>
      </c>
      <c r="H9" s="60">
        <f>H30</f>
        <v>1107</v>
      </c>
      <c r="I9" s="354">
        <f>H9/G9*100</f>
        <v>55.35</v>
      </c>
      <c r="J9" s="117">
        <f>J32</f>
        <v>1376.07</v>
      </c>
      <c r="K9" s="107">
        <f>K32</f>
        <v>1376.07</v>
      </c>
      <c r="L9" s="542">
        <f>K9/J9*100</f>
        <v>100</v>
      </c>
      <c r="M9" s="62"/>
      <c r="N9" s="62"/>
      <c r="O9" s="392"/>
      <c r="P9" s="60"/>
      <c r="Q9" s="60"/>
      <c r="R9" s="354"/>
    </row>
    <row r="10" spans="1:18" s="63" customFormat="1" ht="26.25" customHeight="1" hidden="1">
      <c r="A10" s="64" t="s">
        <v>481</v>
      </c>
      <c r="B10" s="65" t="s">
        <v>482</v>
      </c>
      <c r="C10" s="66"/>
      <c r="D10" s="67">
        <f t="shared" si="0"/>
        <v>0</v>
      </c>
      <c r="E10" s="67">
        <f t="shared" si="0"/>
        <v>0</v>
      </c>
      <c r="F10" s="518" t="e">
        <f>E10/D10*100</f>
        <v>#DIV/0!</v>
      </c>
      <c r="G10" s="68"/>
      <c r="H10" s="69"/>
      <c r="I10" s="355"/>
      <c r="J10" s="269"/>
      <c r="K10" s="186"/>
      <c r="L10" s="420"/>
      <c r="M10" s="70"/>
      <c r="N10" s="70"/>
      <c r="O10" s="393"/>
      <c r="P10" s="68">
        <f>SUM(P11)</f>
        <v>0</v>
      </c>
      <c r="Q10" s="68">
        <f>SUM(Q11)</f>
        <v>0</v>
      </c>
      <c r="R10" s="355" t="e">
        <f>Q10/P10*100</f>
        <v>#DIV/0!</v>
      </c>
    </row>
    <row r="11" spans="1:18" s="79" customFormat="1" ht="15.75" customHeight="1" hidden="1">
      <c r="A11" s="71" t="s">
        <v>483</v>
      </c>
      <c r="B11" s="72" t="s">
        <v>484</v>
      </c>
      <c r="C11" s="73"/>
      <c r="D11" s="74">
        <f t="shared" si="0"/>
        <v>0</v>
      </c>
      <c r="E11" s="74">
        <f t="shared" si="0"/>
        <v>0</v>
      </c>
      <c r="F11" s="468" t="e">
        <f>E11/D11*100</f>
        <v>#DIV/0!</v>
      </c>
      <c r="G11" s="75"/>
      <c r="H11" s="76"/>
      <c r="I11" s="224"/>
      <c r="J11" s="175"/>
      <c r="K11" s="74"/>
      <c r="L11" s="391"/>
      <c r="M11" s="78"/>
      <c r="N11" s="78"/>
      <c r="O11" s="394"/>
      <c r="P11" s="75"/>
      <c r="Q11" s="75"/>
      <c r="R11" s="304" t="e">
        <f>Q11/P11*100</f>
        <v>#DIV/0!</v>
      </c>
    </row>
    <row r="12" spans="1:18" s="63" customFormat="1" ht="15" customHeight="1" hidden="1">
      <c r="A12" s="80" t="s">
        <v>485</v>
      </c>
      <c r="B12" s="81" t="s">
        <v>486</v>
      </c>
      <c r="C12" s="82">
        <f>SUM(C13:C29)</f>
        <v>0</v>
      </c>
      <c r="D12" s="83">
        <f>SUM(D13:D29)</f>
        <v>0</v>
      </c>
      <c r="E12" s="84">
        <f aca="true" t="shared" si="1" ref="E12:E29">SUM(H12+K12+N12+Q12)</f>
        <v>0</v>
      </c>
      <c r="F12" s="467" t="e">
        <f>E12/D12*100</f>
        <v>#DIV/0!</v>
      </c>
      <c r="G12" s="85"/>
      <c r="H12" s="86"/>
      <c r="I12" s="395"/>
      <c r="J12" s="123"/>
      <c r="K12" s="84"/>
      <c r="L12" s="417"/>
      <c r="M12" s="85"/>
      <c r="N12" s="85"/>
      <c r="O12" s="395"/>
      <c r="P12" s="87">
        <f>SUM(P13:P29)</f>
        <v>0</v>
      </c>
      <c r="Q12" s="87">
        <f>SUM(Q13:Q29)</f>
        <v>0</v>
      </c>
      <c r="R12" s="316" t="e">
        <f>Q12/P12*100</f>
        <v>#DIV/0!</v>
      </c>
    </row>
    <row r="13" spans="1:18" s="79" customFormat="1" ht="36.75" hidden="1" thickTop="1">
      <c r="A13" s="71" t="s">
        <v>487</v>
      </c>
      <c r="B13" s="72" t="s">
        <v>488</v>
      </c>
      <c r="C13" s="88"/>
      <c r="D13" s="74">
        <f aca="true" t="shared" si="2" ref="D13:D42">G13+J13+P13+M13</f>
        <v>0</v>
      </c>
      <c r="E13" s="89">
        <f t="shared" si="1"/>
        <v>0</v>
      </c>
      <c r="F13" s="470" t="e">
        <f>E13/D13*100</f>
        <v>#DIV/0!</v>
      </c>
      <c r="G13" s="78"/>
      <c r="H13" s="77"/>
      <c r="I13" s="394"/>
      <c r="J13" s="175"/>
      <c r="K13" s="74"/>
      <c r="L13" s="391"/>
      <c r="M13" s="78"/>
      <c r="N13" s="78"/>
      <c r="O13" s="394"/>
      <c r="P13" s="90"/>
      <c r="Q13" s="91"/>
      <c r="R13" s="224" t="e">
        <f>Q13/P13*100</f>
        <v>#DIV/0!</v>
      </c>
    </row>
    <row r="14" spans="1:18" s="79" customFormat="1" ht="24.75" hidden="1" thickTop="1">
      <c r="A14" s="71" t="s">
        <v>489</v>
      </c>
      <c r="B14" s="72" t="s">
        <v>490</v>
      </c>
      <c r="C14" s="88"/>
      <c r="D14" s="74">
        <f t="shared" si="2"/>
        <v>0</v>
      </c>
      <c r="E14" s="89">
        <f t="shared" si="1"/>
        <v>0</v>
      </c>
      <c r="F14" s="468" t="e">
        <f aca="true" t="shared" si="3" ref="F14:F65">E14/D14*100</f>
        <v>#DIV/0!</v>
      </c>
      <c r="G14" s="78"/>
      <c r="H14" s="77"/>
      <c r="I14" s="394"/>
      <c r="J14" s="175"/>
      <c r="K14" s="74"/>
      <c r="L14" s="391"/>
      <c r="M14" s="78"/>
      <c r="N14" s="78"/>
      <c r="O14" s="394"/>
      <c r="P14" s="88"/>
      <c r="Q14" s="75"/>
      <c r="R14" s="224" t="e">
        <f aca="true" t="shared" si="4" ref="R14:R29">Q14/P14*100</f>
        <v>#DIV/0!</v>
      </c>
    </row>
    <row r="15" spans="1:18" s="79" customFormat="1" ht="24.75" customHeight="1" hidden="1">
      <c r="A15" s="71" t="s">
        <v>491</v>
      </c>
      <c r="B15" s="72" t="s">
        <v>492</v>
      </c>
      <c r="C15" s="88"/>
      <c r="D15" s="74">
        <f t="shared" si="2"/>
        <v>0</v>
      </c>
      <c r="E15" s="89">
        <f t="shared" si="1"/>
        <v>0</v>
      </c>
      <c r="F15" s="468" t="e">
        <f t="shared" si="3"/>
        <v>#DIV/0!</v>
      </c>
      <c r="G15" s="78"/>
      <c r="H15" s="77"/>
      <c r="I15" s="394"/>
      <c r="J15" s="175"/>
      <c r="K15" s="74"/>
      <c r="L15" s="391"/>
      <c r="M15" s="78"/>
      <c r="N15" s="78"/>
      <c r="O15" s="394"/>
      <c r="P15" s="88"/>
      <c r="Q15" s="75"/>
      <c r="R15" s="224" t="e">
        <f t="shared" si="4"/>
        <v>#DIV/0!</v>
      </c>
    </row>
    <row r="16" spans="1:18" s="79" customFormat="1" ht="36.75" hidden="1" thickTop="1">
      <c r="A16" s="71" t="s">
        <v>493</v>
      </c>
      <c r="B16" s="72" t="s">
        <v>494</v>
      </c>
      <c r="C16" s="88"/>
      <c r="D16" s="74">
        <f t="shared" si="2"/>
        <v>0</v>
      </c>
      <c r="E16" s="89">
        <f t="shared" si="1"/>
        <v>0</v>
      </c>
      <c r="F16" s="468" t="e">
        <f t="shared" si="3"/>
        <v>#DIV/0!</v>
      </c>
      <c r="G16" s="78"/>
      <c r="H16" s="77"/>
      <c r="I16" s="394"/>
      <c r="J16" s="175"/>
      <c r="K16" s="74"/>
      <c r="L16" s="391"/>
      <c r="M16" s="78"/>
      <c r="N16" s="78"/>
      <c r="O16" s="394"/>
      <c r="P16" s="88"/>
      <c r="Q16" s="75"/>
      <c r="R16" s="224" t="e">
        <f t="shared" si="4"/>
        <v>#DIV/0!</v>
      </c>
    </row>
    <row r="17" spans="1:18" s="79" customFormat="1" ht="24.75" hidden="1" thickTop="1">
      <c r="A17" s="71" t="s">
        <v>495</v>
      </c>
      <c r="B17" s="72" t="s">
        <v>496</v>
      </c>
      <c r="C17" s="88"/>
      <c r="D17" s="74">
        <f t="shared" si="2"/>
        <v>0</v>
      </c>
      <c r="E17" s="89">
        <f t="shared" si="1"/>
        <v>0</v>
      </c>
      <c r="F17" s="468" t="e">
        <f t="shared" si="3"/>
        <v>#DIV/0!</v>
      </c>
      <c r="G17" s="78"/>
      <c r="H17" s="77"/>
      <c r="I17" s="394"/>
      <c r="J17" s="175"/>
      <c r="K17" s="74"/>
      <c r="L17" s="391"/>
      <c r="M17" s="78"/>
      <c r="N17" s="78"/>
      <c r="O17" s="394"/>
      <c r="P17" s="88"/>
      <c r="Q17" s="75"/>
      <c r="R17" s="224" t="e">
        <f t="shared" si="4"/>
        <v>#DIV/0!</v>
      </c>
    </row>
    <row r="18" spans="1:18" s="79" customFormat="1" ht="24.75" hidden="1" thickTop="1">
      <c r="A18" s="71" t="s">
        <v>497</v>
      </c>
      <c r="B18" s="72" t="s">
        <v>498</v>
      </c>
      <c r="C18" s="88"/>
      <c r="D18" s="74">
        <f t="shared" si="2"/>
        <v>0</v>
      </c>
      <c r="E18" s="89">
        <f t="shared" si="1"/>
        <v>0</v>
      </c>
      <c r="F18" s="468" t="e">
        <f t="shared" si="3"/>
        <v>#DIV/0!</v>
      </c>
      <c r="G18" s="78"/>
      <c r="H18" s="77"/>
      <c r="I18" s="394"/>
      <c r="J18" s="175"/>
      <c r="K18" s="74"/>
      <c r="L18" s="391"/>
      <c r="M18" s="78"/>
      <c r="N18" s="78"/>
      <c r="O18" s="394"/>
      <c r="P18" s="88"/>
      <c r="Q18" s="75"/>
      <c r="R18" s="224" t="e">
        <f t="shared" si="4"/>
        <v>#DIV/0!</v>
      </c>
    </row>
    <row r="19" spans="1:18" s="79" customFormat="1" ht="13.5" hidden="1" thickTop="1">
      <c r="A19" s="71" t="s">
        <v>499</v>
      </c>
      <c r="B19" s="72" t="s">
        <v>500</v>
      </c>
      <c r="C19" s="88"/>
      <c r="D19" s="74">
        <f t="shared" si="2"/>
        <v>0</v>
      </c>
      <c r="E19" s="89">
        <f t="shared" si="1"/>
        <v>0</v>
      </c>
      <c r="F19" s="468" t="e">
        <f t="shared" si="3"/>
        <v>#DIV/0!</v>
      </c>
      <c r="G19" s="78"/>
      <c r="H19" s="77"/>
      <c r="I19" s="394"/>
      <c r="J19" s="175"/>
      <c r="K19" s="74"/>
      <c r="L19" s="391"/>
      <c r="M19" s="78"/>
      <c r="N19" s="78"/>
      <c r="O19" s="394"/>
      <c r="P19" s="88"/>
      <c r="Q19" s="75"/>
      <c r="R19" s="224" t="e">
        <f t="shared" si="4"/>
        <v>#DIV/0!</v>
      </c>
    </row>
    <row r="20" spans="1:18" s="79" customFormat="1" ht="24.75" hidden="1" thickTop="1">
      <c r="A20" s="71" t="s">
        <v>501</v>
      </c>
      <c r="B20" s="72" t="s">
        <v>502</v>
      </c>
      <c r="C20" s="88"/>
      <c r="D20" s="74">
        <f t="shared" si="2"/>
        <v>0</v>
      </c>
      <c r="E20" s="89">
        <f t="shared" si="1"/>
        <v>0</v>
      </c>
      <c r="F20" s="468" t="e">
        <f t="shared" si="3"/>
        <v>#DIV/0!</v>
      </c>
      <c r="G20" s="78"/>
      <c r="H20" s="77"/>
      <c r="I20" s="394"/>
      <c r="J20" s="175"/>
      <c r="K20" s="74"/>
      <c r="L20" s="391"/>
      <c r="M20" s="78"/>
      <c r="N20" s="78"/>
      <c r="O20" s="394"/>
      <c r="P20" s="88"/>
      <c r="Q20" s="75"/>
      <c r="R20" s="224" t="e">
        <f t="shared" si="4"/>
        <v>#DIV/0!</v>
      </c>
    </row>
    <row r="21" spans="1:18" s="79" customFormat="1" ht="24.75" hidden="1" thickTop="1">
      <c r="A21" s="71" t="s">
        <v>503</v>
      </c>
      <c r="B21" s="72" t="s">
        <v>504</v>
      </c>
      <c r="C21" s="88"/>
      <c r="D21" s="74">
        <f t="shared" si="2"/>
        <v>0</v>
      </c>
      <c r="E21" s="89">
        <f t="shared" si="1"/>
        <v>0</v>
      </c>
      <c r="F21" s="468" t="e">
        <f t="shared" si="3"/>
        <v>#DIV/0!</v>
      </c>
      <c r="G21" s="78"/>
      <c r="H21" s="77"/>
      <c r="I21" s="394"/>
      <c r="J21" s="175"/>
      <c r="K21" s="74"/>
      <c r="L21" s="391"/>
      <c r="M21" s="78"/>
      <c r="N21" s="78"/>
      <c r="O21" s="394"/>
      <c r="P21" s="88"/>
      <c r="Q21" s="75"/>
      <c r="R21" s="224" t="e">
        <f t="shared" si="4"/>
        <v>#DIV/0!</v>
      </c>
    </row>
    <row r="22" spans="1:18" s="79" customFormat="1" ht="13.5" hidden="1" thickTop="1">
      <c r="A22" s="71" t="s">
        <v>505</v>
      </c>
      <c r="B22" s="72" t="s">
        <v>506</v>
      </c>
      <c r="C22" s="88"/>
      <c r="D22" s="74">
        <f t="shared" si="2"/>
        <v>0</v>
      </c>
      <c r="E22" s="89">
        <f t="shared" si="1"/>
        <v>0</v>
      </c>
      <c r="F22" s="468" t="e">
        <f t="shared" si="3"/>
        <v>#DIV/0!</v>
      </c>
      <c r="G22" s="78"/>
      <c r="H22" s="77"/>
      <c r="I22" s="394"/>
      <c r="J22" s="175"/>
      <c r="K22" s="74"/>
      <c r="L22" s="391"/>
      <c r="M22" s="78"/>
      <c r="N22" s="78"/>
      <c r="O22" s="394"/>
      <c r="P22" s="88"/>
      <c r="Q22" s="75"/>
      <c r="R22" s="224" t="e">
        <f t="shared" si="4"/>
        <v>#DIV/0!</v>
      </c>
    </row>
    <row r="23" spans="1:18" s="79" customFormat="1" ht="24.75" hidden="1" thickTop="1">
      <c r="A23" s="71" t="s">
        <v>507</v>
      </c>
      <c r="B23" s="72" t="s">
        <v>508</v>
      </c>
      <c r="C23" s="88"/>
      <c r="D23" s="74">
        <f t="shared" si="2"/>
        <v>0</v>
      </c>
      <c r="E23" s="89">
        <f t="shared" si="1"/>
        <v>0</v>
      </c>
      <c r="F23" s="468" t="e">
        <f t="shared" si="3"/>
        <v>#DIV/0!</v>
      </c>
      <c r="G23" s="78"/>
      <c r="H23" s="77"/>
      <c r="I23" s="394"/>
      <c r="J23" s="175"/>
      <c r="K23" s="74"/>
      <c r="L23" s="391"/>
      <c r="M23" s="78"/>
      <c r="N23" s="78"/>
      <c r="O23" s="394"/>
      <c r="P23" s="88"/>
      <c r="Q23" s="75"/>
      <c r="R23" s="224" t="e">
        <f t="shared" si="4"/>
        <v>#DIV/0!</v>
      </c>
    </row>
    <row r="24" spans="1:18" s="79" customFormat="1" ht="24.75" hidden="1" thickTop="1">
      <c r="A24" s="71" t="s">
        <v>509</v>
      </c>
      <c r="B24" s="72" t="s">
        <v>510</v>
      </c>
      <c r="C24" s="88"/>
      <c r="D24" s="74">
        <f t="shared" si="2"/>
        <v>0</v>
      </c>
      <c r="E24" s="89">
        <f t="shared" si="1"/>
        <v>0</v>
      </c>
      <c r="F24" s="468" t="e">
        <f t="shared" si="3"/>
        <v>#DIV/0!</v>
      </c>
      <c r="G24" s="78"/>
      <c r="H24" s="77"/>
      <c r="I24" s="394"/>
      <c r="J24" s="175"/>
      <c r="K24" s="74"/>
      <c r="L24" s="391"/>
      <c r="M24" s="78"/>
      <c r="N24" s="78"/>
      <c r="O24" s="394"/>
      <c r="P24" s="88"/>
      <c r="Q24" s="75"/>
      <c r="R24" s="224" t="e">
        <f t="shared" si="4"/>
        <v>#DIV/0!</v>
      </c>
    </row>
    <row r="25" spans="1:18" s="79" customFormat="1" ht="24.75" hidden="1" thickTop="1">
      <c r="A25" s="71" t="s">
        <v>483</v>
      </c>
      <c r="B25" s="72" t="s">
        <v>484</v>
      </c>
      <c r="C25" s="88"/>
      <c r="D25" s="74">
        <f t="shared" si="2"/>
        <v>0</v>
      </c>
      <c r="E25" s="89">
        <f t="shared" si="1"/>
        <v>0</v>
      </c>
      <c r="F25" s="468" t="e">
        <f t="shared" si="3"/>
        <v>#DIV/0!</v>
      </c>
      <c r="G25" s="78"/>
      <c r="H25" s="77"/>
      <c r="I25" s="394"/>
      <c r="J25" s="175"/>
      <c r="K25" s="74"/>
      <c r="L25" s="391"/>
      <c r="M25" s="78"/>
      <c r="N25" s="78"/>
      <c r="O25" s="394"/>
      <c r="P25" s="88"/>
      <c r="Q25" s="75"/>
      <c r="R25" s="224" t="e">
        <f t="shared" si="4"/>
        <v>#DIV/0!</v>
      </c>
    </row>
    <row r="26" spans="1:18" s="79" customFormat="1" ht="13.5" hidden="1" thickTop="1">
      <c r="A26" s="71" t="s">
        <v>511</v>
      </c>
      <c r="B26" s="72" t="s">
        <v>512</v>
      </c>
      <c r="C26" s="88"/>
      <c r="D26" s="74">
        <f t="shared" si="2"/>
        <v>0</v>
      </c>
      <c r="E26" s="89">
        <f t="shared" si="1"/>
        <v>0</v>
      </c>
      <c r="F26" s="468" t="e">
        <f t="shared" si="3"/>
        <v>#DIV/0!</v>
      </c>
      <c r="G26" s="78"/>
      <c r="H26" s="77"/>
      <c r="I26" s="394"/>
      <c r="J26" s="175"/>
      <c r="K26" s="74"/>
      <c r="L26" s="391"/>
      <c r="M26" s="78"/>
      <c r="N26" s="78"/>
      <c r="O26" s="394"/>
      <c r="P26" s="88"/>
      <c r="Q26" s="75"/>
      <c r="R26" s="224" t="e">
        <f t="shared" si="4"/>
        <v>#DIV/0!</v>
      </c>
    </row>
    <row r="27" spans="1:18" s="79" customFormat="1" ht="13.5" hidden="1" thickTop="1">
      <c r="A27" s="71" t="s">
        <v>513</v>
      </c>
      <c r="B27" s="72" t="s">
        <v>514</v>
      </c>
      <c r="C27" s="88"/>
      <c r="D27" s="74">
        <f t="shared" si="2"/>
        <v>0</v>
      </c>
      <c r="E27" s="89">
        <f t="shared" si="1"/>
        <v>0</v>
      </c>
      <c r="F27" s="468" t="e">
        <f t="shared" si="3"/>
        <v>#DIV/0!</v>
      </c>
      <c r="G27" s="78"/>
      <c r="H27" s="77"/>
      <c r="I27" s="394"/>
      <c r="J27" s="175"/>
      <c r="K27" s="74"/>
      <c r="L27" s="391"/>
      <c r="M27" s="78"/>
      <c r="N27" s="78"/>
      <c r="O27" s="394"/>
      <c r="P27" s="88"/>
      <c r="Q27" s="75"/>
      <c r="R27" s="224" t="e">
        <f t="shared" si="4"/>
        <v>#DIV/0!</v>
      </c>
    </row>
    <row r="28" spans="1:18" s="79" customFormat="1" ht="24.75" hidden="1" thickTop="1">
      <c r="A28" s="71" t="s">
        <v>515</v>
      </c>
      <c r="B28" s="72" t="s">
        <v>516</v>
      </c>
      <c r="C28" s="88"/>
      <c r="D28" s="74">
        <f t="shared" si="2"/>
        <v>0</v>
      </c>
      <c r="E28" s="89">
        <f t="shared" si="1"/>
        <v>0</v>
      </c>
      <c r="F28" s="468" t="e">
        <f t="shared" si="3"/>
        <v>#DIV/0!</v>
      </c>
      <c r="G28" s="78"/>
      <c r="H28" s="77"/>
      <c r="I28" s="394"/>
      <c r="J28" s="175"/>
      <c r="K28" s="74"/>
      <c r="L28" s="391"/>
      <c r="M28" s="78"/>
      <c r="N28" s="78"/>
      <c r="O28" s="394"/>
      <c r="P28" s="88"/>
      <c r="Q28" s="75"/>
      <c r="R28" s="224" t="e">
        <f t="shared" si="4"/>
        <v>#DIV/0!</v>
      </c>
    </row>
    <row r="29" spans="1:18" s="79" customFormat="1" ht="24.75" hidden="1" thickTop="1">
      <c r="A29" s="71" t="s">
        <v>517</v>
      </c>
      <c r="B29" s="72" t="s">
        <v>518</v>
      </c>
      <c r="C29" s="88"/>
      <c r="D29" s="74">
        <f t="shared" si="2"/>
        <v>0</v>
      </c>
      <c r="E29" s="89">
        <f t="shared" si="1"/>
        <v>0</v>
      </c>
      <c r="F29" s="468" t="e">
        <f t="shared" si="3"/>
        <v>#DIV/0!</v>
      </c>
      <c r="G29" s="78"/>
      <c r="H29" s="77"/>
      <c r="I29" s="394"/>
      <c r="J29" s="175"/>
      <c r="K29" s="74"/>
      <c r="L29" s="391"/>
      <c r="M29" s="78"/>
      <c r="N29" s="78"/>
      <c r="O29" s="394"/>
      <c r="P29" s="88"/>
      <c r="Q29" s="75"/>
      <c r="R29" s="224" t="e">
        <f t="shared" si="4"/>
        <v>#DIV/0!</v>
      </c>
    </row>
    <row r="30" spans="1:18" s="99" customFormat="1" ht="16.5" customHeight="1" thickTop="1">
      <c r="A30" s="92" t="s">
        <v>519</v>
      </c>
      <c r="B30" s="93" t="s">
        <v>520</v>
      </c>
      <c r="C30" s="94">
        <f>SUM(C31:C31)</f>
        <v>2000</v>
      </c>
      <c r="D30" s="95">
        <f t="shared" si="2"/>
        <v>2000</v>
      </c>
      <c r="E30" s="95">
        <f>H30+K30+Q30+N30</f>
        <v>1107</v>
      </c>
      <c r="F30" s="476">
        <f t="shared" si="3"/>
        <v>55.35</v>
      </c>
      <c r="G30" s="96">
        <f>SUM(G31:G31)</f>
        <v>2000</v>
      </c>
      <c r="H30" s="95">
        <f>SUM(H31:H31)</f>
        <v>1107</v>
      </c>
      <c r="I30" s="316">
        <f>H30/G30*100</f>
        <v>55.35</v>
      </c>
      <c r="J30" s="171"/>
      <c r="K30" s="95"/>
      <c r="L30" s="417"/>
      <c r="M30" s="97"/>
      <c r="N30" s="97"/>
      <c r="O30" s="396"/>
      <c r="P30" s="98"/>
      <c r="Q30" s="83"/>
      <c r="R30" s="356"/>
    </row>
    <row r="31" spans="1:18" s="79" customFormat="1" ht="54.75" customHeight="1">
      <c r="A31" s="100" t="s">
        <v>521</v>
      </c>
      <c r="B31" s="101" t="s">
        <v>522</v>
      </c>
      <c r="C31" s="102">
        <v>2000</v>
      </c>
      <c r="D31" s="103">
        <f t="shared" si="2"/>
        <v>2000</v>
      </c>
      <c r="E31" s="104">
        <f>SUM(H31+K31+N31+Q31)</f>
        <v>1107</v>
      </c>
      <c r="F31" s="519">
        <f t="shared" si="3"/>
        <v>55.35</v>
      </c>
      <c r="G31" s="105">
        <v>2000</v>
      </c>
      <c r="H31" s="103">
        <v>1107</v>
      </c>
      <c r="I31" s="304">
        <f>H31/G31*100</f>
        <v>55.35</v>
      </c>
      <c r="J31" s="196"/>
      <c r="K31" s="103"/>
      <c r="L31" s="414"/>
      <c r="M31" s="106"/>
      <c r="N31" s="106"/>
      <c r="O31" s="397"/>
      <c r="P31" s="503"/>
      <c r="Q31" s="91"/>
      <c r="R31" s="357"/>
    </row>
    <row r="32" spans="1:18" s="79" customFormat="1" ht="16.5" customHeight="1">
      <c r="A32" s="92" t="s">
        <v>346</v>
      </c>
      <c r="B32" s="93" t="s">
        <v>529</v>
      </c>
      <c r="C32" s="94"/>
      <c r="D32" s="512">
        <f t="shared" si="2"/>
        <v>1376.07</v>
      </c>
      <c r="E32" s="512">
        <f>SUM(H32+K32+N32+Q32)</f>
        <v>1376.07</v>
      </c>
      <c r="F32" s="519">
        <f>E32/D32*100</f>
        <v>100</v>
      </c>
      <c r="G32" s="96"/>
      <c r="H32" s="95"/>
      <c r="I32" s="316"/>
      <c r="J32" s="171">
        <f>SUM(J33:J35)</f>
        <v>1376.07</v>
      </c>
      <c r="K32" s="95">
        <f>SUM(K33:K35)</f>
        <v>1376.07</v>
      </c>
      <c r="L32" s="494">
        <f>K32/J32*100</f>
        <v>100</v>
      </c>
      <c r="M32" s="97"/>
      <c r="N32" s="97"/>
      <c r="O32" s="396"/>
      <c r="P32" s="98"/>
      <c r="Q32" s="83"/>
      <c r="R32" s="356"/>
    </row>
    <row r="33" spans="1:18" s="79" customFormat="1" ht="24">
      <c r="A33" s="71" t="s">
        <v>501</v>
      </c>
      <c r="B33" s="72" t="s">
        <v>502</v>
      </c>
      <c r="C33" s="174"/>
      <c r="D33" s="103">
        <f t="shared" si="2"/>
        <v>26.98</v>
      </c>
      <c r="E33" s="104">
        <f>SUM(H33+K33+N33+Q33)</f>
        <v>26.98</v>
      </c>
      <c r="F33" s="519">
        <f>E33/D33*100</f>
        <v>100</v>
      </c>
      <c r="G33" s="353"/>
      <c r="H33" s="74"/>
      <c r="I33" s="224"/>
      <c r="J33" s="175">
        <v>26.98</v>
      </c>
      <c r="K33" s="74">
        <v>26.98</v>
      </c>
      <c r="L33" s="482">
        <f>K33/J33*100</f>
        <v>100</v>
      </c>
      <c r="M33" s="78"/>
      <c r="N33" s="78"/>
      <c r="O33" s="394"/>
      <c r="P33" s="73"/>
      <c r="Q33" s="75"/>
      <c r="R33" s="280"/>
    </row>
    <row r="34" spans="1:18" s="79" customFormat="1" ht="13.5" thickBot="1">
      <c r="A34" s="71" t="s">
        <v>511</v>
      </c>
      <c r="B34" s="72" t="s">
        <v>512</v>
      </c>
      <c r="C34" s="174"/>
      <c r="D34" s="74">
        <f t="shared" si="2"/>
        <v>1349.09</v>
      </c>
      <c r="E34" s="89">
        <f>SUM(H34+K34+N34+Q34)</f>
        <v>1349.09</v>
      </c>
      <c r="F34" s="477">
        <f>E34/D34*100</f>
        <v>100</v>
      </c>
      <c r="G34" s="75"/>
      <c r="H34" s="74"/>
      <c r="I34" s="224"/>
      <c r="J34" s="175">
        <v>1349.09</v>
      </c>
      <c r="K34" s="74">
        <v>1349.09</v>
      </c>
      <c r="L34" s="482">
        <f>K34/J34*100</f>
        <v>100</v>
      </c>
      <c r="M34" s="78"/>
      <c r="N34" s="78"/>
      <c r="O34" s="394"/>
      <c r="P34" s="73"/>
      <c r="Q34" s="75"/>
      <c r="R34" s="280"/>
    </row>
    <row r="35" spans="1:18" s="79" customFormat="1" ht="60.75" hidden="1" thickBot="1">
      <c r="A35" s="71" t="s">
        <v>347</v>
      </c>
      <c r="B35" s="72" t="s">
        <v>290</v>
      </c>
      <c r="C35" s="174"/>
      <c r="D35" s="74">
        <f t="shared" si="2"/>
        <v>0</v>
      </c>
      <c r="E35" s="89">
        <f>SUM(H35+K35+N35+Q35)</f>
        <v>0</v>
      </c>
      <c r="F35" s="477" t="e">
        <f>E35/D35*100</f>
        <v>#DIV/0!</v>
      </c>
      <c r="G35" s="353"/>
      <c r="H35" s="130"/>
      <c r="I35" s="224"/>
      <c r="J35" s="175"/>
      <c r="K35" s="74"/>
      <c r="L35" s="391" t="e">
        <f>K35/J35*100</f>
        <v>#DIV/0!</v>
      </c>
      <c r="M35" s="78"/>
      <c r="N35" s="78"/>
      <c r="O35" s="394"/>
      <c r="P35" s="73"/>
      <c r="Q35" s="75"/>
      <c r="R35" s="280"/>
    </row>
    <row r="36" spans="1:18" s="63" customFormat="1" ht="18.75" customHeight="1" hidden="1">
      <c r="A36" s="56" t="s">
        <v>523</v>
      </c>
      <c r="B36" s="57" t="s">
        <v>524</v>
      </c>
      <c r="C36" s="58">
        <f>C37</f>
        <v>0</v>
      </c>
      <c r="D36" s="59">
        <f t="shared" si="2"/>
        <v>0</v>
      </c>
      <c r="E36" s="107">
        <f>H36+K36+Q36+N36</f>
        <v>0</v>
      </c>
      <c r="F36" s="496" t="e">
        <f t="shared" si="3"/>
        <v>#DIV/0!</v>
      </c>
      <c r="G36" s="62"/>
      <c r="H36" s="61"/>
      <c r="I36" s="392"/>
      <c r="J36" s="61"/>
      <c r="K36" s="62"/>
      <c r="L36" s="421"/>
      <c r="M36" s="60">
        <f>M37</f>
        <v>0</v>
      </c>
      <c r="N36" s="60">
        <f>N37</f>
        <v>0</v>
      </c>
      <c r="O36" s="354" t="e">
        <f>N36/M36*100</f>
        <v>#DIV/0!</v>
      </c>
      <c r="P36" s="58"/>
      <c r="Q36" s="60"/>
      <c r="R36" s="358"/>
    </row>
    <row r="37" spans="1:18" s="63" customFormat="1" ht="25.5" hidden="1" thickBot="1" thickTop="1">
      <c r="A37" s="80" t="s">
        <v>525</v>
      </c>
      <c r="B37" s="81" t="s">
        <v>526</v>
      </c>
      <c r="C37" s="82">
        <f>C38</f>
        <v>0</v>
      </c>
      <c r="D37" s="67">
        <f t="shared" si="2"/>
        <v>0</v>
      </c>
      <c r="E37" s="87">
        <f>E38</f>
        <v>0</v>
      </c>
      <c r="F37" s="469" t="e">
        <f t="shared" si="3"/>
        <v>#DIV/0!</v>
      </c>
      <c r="G37" s="85"/>
      <c r="H37" s="86"/>
      <c r="I37" s="395"/>
      <c r="J37" s="86"/>
      <c r="K37" s="85"/>
      <c r="L37" s="422"/>
      <c r="M37" s="87">
        <f>M38</f>
        <v>0</v>
      </c>
      <c r="N37" s="87">
        <f>N38</f>
        <v>0</v>
      </c>
      <c r="O37" s="274" t="e">
        <f>N37/M37*100</f>
        <v>#DIV/0!</v>
      </c>
      <c r="P37" s="82"/>
      <c r="Q37" s="87"/>
      <c r="R37" s="359"/>
    </row>
    <row r="38" spans="1:18" s="113" customFormat="1" ht="24.75" hidden="1" thickBot="1">
      <c r="A38" s="108">
        <v>4300</v>
      </c>
      <c r="B38" s="109" t="s">
        <v>527</v>
      </c>
      <c r="C38" s="90"/>
      <c r="D38" s="103">
        <f t="shared" si="2"/>
        <v>0</v>
      </c>
      <c r="E38" s="104">
        <f>SUM(H38+K38+N38+Q38)</f>
        <v>0</v>
      </c>
      <c r="F38" s="470" t="e">
        <f t="shared" si="3"/>
        <v>#DIV/0!</v>
      </c>
      <c r="G38" s="110"/>
      <c r="H38" s="111"/>
      <c r="I38" s="397"/>
      <c r="J38" s="111"/>
      <c r="K38" s="110"/>
      <c r="L38" s="423"/>
      <c r="M38" s="112"/>
      <c r="N38" s="112">
        <v>0</v>
      </c>
      <c r="O38" s="304" t="e">
        <f>N38/M38*100</f>
        <v>#DIV/0!</v>
      </c>
      <c r="P38" s="504"/>
      <c r="Q38" s="112"/>
      <c r="R38" s="360"/>
    </row>
    <row r="39" spans="1:18" s="118" customFormat="1" ht="15.75" customHeight="1" thickBot="1" thickTop="1">
      <c r="A39" s="114">
        <v>500</v>
      </c>
      <c r="B39" s="115" t="s">
        <v>528</v>
      </c>
      <c r="C39" s="116">
        <f>C40</f>
        <v>162000</v>
      </c>
      <c r="D39" s="59">
        <f t="shared" si="2"/>
        <v>162000</v>
      </c>
      <c r="E39" s="107">
        <f>H39+K39+Q39+N39</f>
        <v>72221</v>
      </c>
      <c r="F39" s="496">
        <f t="shared" si="3"/>
        <v>44.580864197530865</v>
      </c>
      <c r="G39" s="59">
        <f>G40</f>
        <v>162000</v>
      </c>
      <c r="H39" s="59">
        <f>H40</f>
        <v>72221</v>
      </c>
      <c r="I39" s="354">
        <f aca="true" t="shared" si="5" ref="I39:I52">H39/G39*100</f>
        <v>44.580864197530865</v>
      </c>
      <c r="J39" s="117"/>
      <c r="K39" s="107"/>
      <c r="L39" s="419"/>
      <c r="M39" s="107"/>
      <c r="N39" s="107"/>
      <c r="O39" s="390"/>
      <c r="P39" s="58"/>
      <c r="Q39" s="60"/>
      <c r="R39" s="358"/>
    </row>
    <row r="40" spans="1:18" s="118" customFormat="1" ht="18" customHeight="1" thickTop="1">
      <c r="A40" s="119">
        <v>50095</v>
      </c>
      <c r="B40" s="120" t="s">
        <v>529</v>
      </c>
      <c r="C40" s="121">
        <f>SUM(C41:C45)</f>
        <v>162000</v>
      </c>
      <c r="D40" s="122">
        <f t="shared" si="2"/>
        <v>162000</v>
      </c>
      <c r="E40" s="84">
        <f>SUM(E41:E45)</f>
        <v>72221</v>
      </c>
      <c r="F40" s="469">
        <f t="shared" si="3"/>
        <v>44.580864197530865</v>
      </c>
      <c r="G40" s="95">
        <f>SUM(G41:G45)</f>
        <v>162000</v>
      </c>
      <c r="H40" s="95">
        <f>SUM(H41:H45)</f>
        <v>72221</v>
      </c>
      <c r="I40" s="274">
        <f t="shared" si="5"/>
        <v>44.580864197530865</v>
      </c>
      <c r="J40" s="123"/>
      <c r="K40" s="84"/>
      <c r="L40" s="417"/>
      <c r="M40" s="84"/>
      <c r="N40" s="84"/>
      <c r="O40" s="381"/>
      <c r="P40" s="82"/>
      <c r="Q40" s="87"/>
      <c r="R40" s="359"/>
    </row>
    <row r="41" spans="1:18" s="37" customFormat="1" ht="24">
      <c r="A41" s="124">
        <v>4210</v>
      </c>
      <c r="B41" s="125" t="s">
        <v>502</v>
      </c>
      <c r="C41" s="88">
        <v>2000</v>
      </c>
      <c r="D41" s="74">
        <f t="shared" si="2"/>
        <v>2000</v>
      </c>
      <c r="E41" s="89">
        <f>SUM(H41+K41+N41+Q41)</f>
        <v>945</v>
      </c>
      <c r="F41" s="468">
        <f t="shared" si="3"/>
        <v>47.25</v>
      </c>
      <c r="G41" s="90">
        <v>2000</v>
      </c>
      <c r="H41" s="103">
        <v>945</v>
      </c>
      <c r="I41" s="224">
        <f t="shared" si="5"/>
        <v>47.25</v>
      </c>
      <c r="J41" s="126"/>
      <c r="K41" s="89"/>
      <c r="L41" s="391"/>
      <c r="M41" s="89"/>
      <c r="N41" s="89"/>
      <c r="O41" s="368"/>
      <c r="P41" s="505"/>
      <c r="Q41" s="127"/>
      <c r="R41" s="361"/>
    </row>
    <row r="42" spans="1:18" s="37" customFormat="1" ht="14.25" customHeight="1">
      <c r="A42" s="124">
        <v>4260</v>
      </c>
      <c r="B42" s="125" t="s">
        <v>506</v>
      </c>
      <c r="C42" s="88">
        <v>2000</v>
      </c>
      <c r="D42" s="74">
        <f t="shared" si="2"/>
        <v>2000</v>
      </c>
      <c r="E42" s="89">
        <f>SUM(H42+K42+N42+Q42)</f>
        <v>298</v>
      </c>
      <c r="F42" s="468">
        <f t="shared" si="3"/>
        <v>14.899999999999999</v>
      </c>
      <c r="G42" s="88">
        <v>2000</v>
      </c>
      <c r="H42" s="74">
        <v>298</v>
      </c>
      <c r="I42" s="224">
        <f t="shared" si="5"/>
        <v>14.899999999999999</v>
      </c>
      <c r="J42" s="126"/>
      <c r="K42" s="89"/>
      <c r="L42" s="391"/>
      <c r="M42" s="89"/>
      <c r="N42" s="89"/>
      <c r="O42" s="368"/>
      <c r="P42" s="505"/>
      <c r="Q42" s="127"/>
      <c r="R42" s="361"/>
    </row>
    <row r="43" spans="1:18" s="37" customFormat="1" ht="14.25" customHeight="1">
      <c r="A43" s="124">
        <v>4270</v>
      </c>
      <c r="B43" s="125" t="s">
        <v>508</v>
      </c>
      <c r="C43" s="88">
        <v>25000</v>
      </c>
      <c r="D43" s="74">
        <f>G43+J43+P43+M43</f>
        <v>25000</v>
      </c>
      <c r="E43" s="89">
        <f>SUM(H43+K43+N43+Q43)</f>
        <v>0</v>
      </c>
      <c r="F43" s="468">
        <f>E43/D43*100</f>
        <v>0</v>
      </c>
      <c r="G43" s="88">
        <v>25000</v>
      </c>
      <c r="H43" s="74"/>
      <c r="I43" s="224">
        <f t="shared" si="5"/>
        <v>0</v>
      </c>
      <c r="J43" s="126"/>
      <c r="K43" s="89"/>
      <c r="L43" s="391"/>
      <c r="M43" s="89"/>
      <c r="N43" s="89"/>
      <c r="O43" s="368"/>
      <c r="P43" s="505"/>
      <c r="Q43" s="127"/>
      <c r="R43" s="361"/>
    </row>
    <row r="44" spans="1:18" s="37" customFormat="1" ht="14.25" customHeight="1" thickBot="1">
      <c r="A44" s="124">
        <v>4300</v>
      </c>
      <c r="B44" s="128" t="s">
        <v>510</v>
      </c>
      <c r="C44" s="88">
        <v>133000</v>
      </c>
      <c r="D44" s="74">
        <f aca="true" t="shared" si="6" ref="D44:E116">G44+J44+P44+M44</f>
        <v>133000</v>
      </c>
      <c r="E44" s="89">
        <f>SUM(H44+K44+N44+Q44)</f>
        <v>70978</v>
      </c>
      <c r="F44" s="468">
        <f>E44/D44*100</f>
        <v>53.36691729323309</v>
      </c>
      <c r="G44" s="88">
        <v>133000</v>
      </c>
      <c r="H44" s="74">
        <v>70978</v>
      </c>
      <c r="I44" s="224">
        <f t="shared" si="5"/>
        <v>53.36691729323309</v>
      </c>
      <c r="J44" s="126"/>
      <c r="K44" s="89"/>
      <c r="L44" s="391"/>
      <c r="M44" s="89"/>
      <c r="N44" s="89"/>
      <c r="O44" s="368"/>
      <c r="P44" s="505"/>
      <c r="Q44" s="127"/>
      <c r="R44" s="361"/>
    </row>
    <row r="45" spans="1:18" s="37" customFormat="1" ht="36.75" hidden="1" thickBot="1">
      <c r="A45" s="124">
        <v>6050</v>
      </c>
      <c r="B45" s="128" t="s">
        <v>325</v>
      </c>
      <c r="C45" s="88"/>
      <c r="D45" s="74">
        <f t="shared" si="6"/>
        <v>0</v>
      </c>
      <c r="E45" s="89">
        <f>SUM(H45+K45+N45+Q45)</f>
        <v>0</v>
      </c>
      <c r="F45" s="468" t="e">
        <f t="shared" si="3"/>
        <v>#DIV/0!</v>
      </c>
      <c r="G45" s="129"/>
      <c r="H45" s="130"/>
      <c r="I45" s="224" t="e">
        <f t="shared" si="5"/>
        <v>#DIV/0!</v>
      </c>
      <c r="J45" s="126"/>
      <c r="K45" s="89"/>
      <c r="L45" s="391"/>
      <c r="M45" s="89"/>
      <c r="N45" s="89"/>
      <c r="O45" s="368"/>
      <c r="P45" s="88"/>
      <c r="Q45" s="89"/>
      <c r="R45" s="362"/>
    </row>
    <row r="46" spans="1:18" s="118" customFormat="1" ht="28.5" customHeight="1" thickBot="1" thickTop="1">
      <c r="A46" s="131">
        <v>600</v>
      </c>
      <c r="B46" s="132" t="s">
        <v>530</v>
      </c>
      <c r="C46" s="133">
        <f>SUM(C50+C53+C96+C126+C132+C134)+C47</f>
        <v>41259480</v>
      </c>
      <c r="D46" s="59">
        <f t="shared" si="6"/>
        <v>45091027</v>
      </c>
      <c r="E46" s="59">
        <f t="shared" si="6"/>
        <v>13980083</v>
      </c>
      <c r="F46" s="520">
        <f t="shared" si="3"/>
        <v>31.004135257331793</v>
      </c>
      <c r="G46" s="59">
        <f>SUM(G96+G134+G53)+G50+G126+G132+G47</f>
        <v>30721027</v>
      </c>
      <c r="H46" s="59">
        <f>SUM(H96+H134+H53)+H50+H126+H132+H47</f>
        <v>10639432</v>
      </c>
      <c r="I46" s="463">
        <f t="shared" si="5"/>
        <v>34.6324099125983</v>
      </c>
      <c r="J46" s="134"/>
      <c r="K46" s="59"/>
      <c r="L46" s="419"/>
      <c r="M46" s="59">
        <f>SUM(M96+M134+M53)</f>
        <v>12855000</v>
      </c>
      <c r="N46" s="59">
        <f>SUM(N96+N134+N53)</f>
        <v>2422901</v>
      </c>
      <c r="O46" s="398">
        <f>N46/M46*100</f>
        <v>18.847926876701674</v>
      </c>
      <c r="P46" s="133">
        <f>P53</f>
        <v>1515000</v>
      </c>
      <c r="Q46" s="59">
        <f>Q53</f>
        <v>917750</v>
      </c>
      <c r="R46" s="363">
        <f>Q46/P46*100</f>
        <v>60.57755775577558</v>
      </c>
    </row>
    <row r="47" spans="1:18" s="118" customFormat="1" ht="24.75" thickTop="1">
      <c r="A47" s="135">
        <v>60002</v>
      </c>
      <c r="B47" s="537" t="s">
        <v>410</v>
      </c>
      <c r="C47" s="137">
        <f>SUM(C49)</f>
        <v>0</v>
      </c>
      <c r="D47" s="139">
        <f t="shared" si="6"/>
        <v>1602000</v>
      </c>
      <c r="E47" s="139">
        <f t="shared" si="6"/>
        <v>0</v>
      </c>
      <c r="F47" s="477">
        <f t="shared" si="3"/>
        <v>0</v>
      </c>
      <c r="G47" s="139">
        <f>SUM(G48:G49)</f>
        <v>1602000</v>
      </c>
      <c r="H47" s="139">
        <f>SUM(H48:H49)</f>
        <v>0</v>
      </c>
      <c r="I47" s="442">
        <f t="shared" si="5"/>
        <v>0</v>
      </c>
      <c r="J47" s="140"/>
      <c r="K47" s="139"/>
      <c r="L47" s="403"/>
      <c r="M47" s="142"/>
      <c r="N47" s="138"/>
      <c r="O47" s="348"/>
      <c r="P47" s="137"/>
      <c r="Q47" s="139"/>
      <c r="R47" s="364"/>
    </row>
    <row r="48" spans="1:18" s="12" customFormat="1" ht="72">
      <c r="A48" s="194">
        <v>2710</v>
      </c>
      <c r="B48" s="195" t="s">
        <v>435</v>
      </c>
      <c r="C48" s="102"/>
      <c r="D48" s="103">
        <f>G48+J48+P48+M48</f>
        <v>100000</v>
      </c>
      <c r="E48" s="103">
        <f>H48+K48+Q48+N48</f>
        <v>0</v>
      </c>
      <c r="F48" s="470">
        <f>E48/D48*100</f>
        <v>0</v>
      </c>
      <c r="G48" s="103">
        <v>100000</v>
      </c>
      <c r="H48" s="103"/>
      <c r="I48" s="464">
        <f t="shared" si="5"/>
        <v>0</v>
      </c>
      <c r="J48" s="196"/>
      <c r="K48" s="103"/>
      <c r="L48" s="414"/>
      <c r="M48" s="541"/>
      <c r="N48" s="103"/>
      <c r="O48" s="304"/>
      <c r="P48" s="102"/>
      <c r="Q48" s="103"/>
      <c r="R48" s="365"/>
    </row>
    <row r="49" spans="1:18" s="118" customFormat="1" ht="28.5" customHeight="1">
      <c r="A49" s="158">
        <v>6050</v>
      </c>
      <c r="B49" s="350" t="s">
        <v>574</v>
      </c>
      <c r="C49" s="176"/>
      <c r="D49" s="161">
        <f t="shared" si="6"/>
        <v>1502000</v>
      </c>
      <c r="E49" s="161">
        <f t="shared" si="6"/>
        <v>0</v>
      </c>
      <c r="F49" s="469">
        <f t="shared" si="3"/>
        <v>0</v>
      </c>
      <c r="G49" s="161">
        <v>1502000</v>
      </c>
      <c r="H49" s="161"/>
      <c r="I49" s="462">
        <f t="shared" si="5"/>
        <v>0</v>
      </c>
      <c r="J49" s="177"/>
      <c r="K49" s="161"/>
      <c r="L49" s="415"/>
      <c r="M49" s="540"/>
      <c r="N49" s="161"/>
      <c r="O49" s="274"/>
      <c r="P49" s="176"/>
      <c r="Q49" s="161"/>
      <c r="R49" s="366"/>
    </row>
    <row r="50" spans="1:18" s="143" customFormat="1" ht="27" customHeight="1">
      <c r="A50" s="135">
        <v>60004</v>
      </c>
      <c r="B50" s="538" t="s">
        <v>531</v>
      </c>
      <c r="C50" s="137">
        <f>SUM(C51:C52)</f>
        <v>6500000</v>
      </c>
      <c r="D50" s="139">
        <f t="shared" si="6"/>
        <v>6500000</v>
      </c>
      <c r="E50" s="139">
        <f t="shared" si="6"/>
        <v>1875000</v>
      </c>
      <c r="F50" s="521">
        <f>E50/D50*100</f>
        <v>28.846153846153843</v>
      </c>
      <c r="G50" s="139">
        <f>SUM(G51:G52)</f>
        <v>6500000</v>
      </c>
      <c r="H50" s="139">
        <f>SUM(H51:H52)</f>
        <v>1875000</v>
      </c>
      <c r="I50" s="462">
        <f t="shared" si="5"/>
        <v>28.846153846153843</v>
      </c>
      <c r="J50" s="140"/>
      <c r="K50" s="141"/>
      <c r="L50" s="348"/>
      <c r="M50" s="142"/>
      <c r="N50" s="139"/>
      <c r="O50" s="399"/>
      <c r="P50" s="137"/>
      <c r="Q50" s="139"/>
      <c r="R50" s="364"/>
    </row>
    <row r="51" spans="1:18" ht="15.75" customHeight="1">
      <c r="A51" s="144">
        <v>4300</v>
      </c>
      <c r="B51" s="145" t="s">
        <v>510</v>
      </c>
      <c r="C51" s="146">
        <v>4500000</v>
      </c>
      <c r="D51" s="147">
        <f t="shared" si="6"/>
        <v>4500000</v>
      </c>
      <c r="E51" s="147">
        <f t="shared" si="6"/>
        <v>1875000</v>
      </c>
      <c r="F51" s="467">
        <f>E51/D51*100</f>
        <v>41.66666666666667</v>
      </c>
      <c r="G51" s="147">
        <v>4500000</v>
      </c>
      <c r="H51" s="539">
        <f>1125000+375000+375000</f>
        <v>1875000</v>
      </c>
      <c r="I51" s="448">
        <f t="shared" si="5"/>
        <v>41.66666666666667</v>
      </c>
      <c r="J51" s="148"/>
      <c r="K51" s="543"/>
      <c r="L51" s="316"/>
      <c r="M51" s="544"/>
      <c r="N51" s="149"/>
      <c r="O51" s="381"/>
      <c r="P51" s="146"/>
      <c r="Q51" s="149"/>
      <c r="R51" s="372"/>
    </row>
    <row r="52" spans="1:18" ht="60">
      <c r="A52" s="158">
        <v>6010</v>
      </c>
      <c r="B52" s="159" t="s">
        <v>247</v>
      </c>
      <c r="C52" s="160">
        <v>2000000</v>
      </c>
      <c r="D52" s="161">
        <f t="shared" si="6"/>
        <v>2000000</v>
      </c>
      <c r="E52" s="161">
        <f t="shared" si="6"/>
        <v>0</v>
      </c>
      <c r="F52" s="469">
        <f>E52/D52*100</f>
        <v>0</v>
      </c>
      <c r="G52" s="161">
        <v>2000000</v>
      </c>
      <c r="H52" s="177"/>
      <c r="I52" s="462">
        <f t="shared" si="5"/>
        <v>0</v>
      </c>
      <c r="J52" s="162"/>
      <c r="K52" s="163"/>
      <c r="L52" s="274"/>
      <c r="M52" s="334"/>
      <c r="N52" s="155"/>
      <c r="O52" s="387"/>
      <c r="P52" s="160"/>
      <c r="Q52" s="155"/>
      <c r="R52" s="366"/>
    </row>
    <row r="53" spans="1:18" s="118" customFormat="1" ht="39" customHeight="1">
      <c r="A53" s="150">
        <v>60015</v>
      </c>
      <c r="B53" s="151" t="s">
        <v>532</v>
      </c>
      <c r="C53" s="98">
        <f>SUM(C54:C62)+SUM(C92:C95)</f>
        <v>12940000</v>
      </c>
      <c r="D53" s="95">
        <f t="shared" si="6"/>
        <v>14370000</v>
      </c>
      <c r="E53" s="95">
        <f t="shared" si="6"/>
        <v>3340651</v>
      </c>
      <c r="F53" s="476">
        <f t="shared" si="3"/>
        <v>23.247397355601947</v>
      </c>
      <c r="G53" s="83"/>
      <c r="H53" s="152"/>
      <c r="I53" s="486"/>
      <c r="J53" s="152"/>
      <c r="K53" s="83"/>
      <c r="L53" s="271"/>
      <c r="M53" s="96">
        <f>SUM(M54:M62)+SUM(M92:M95)</f>
        <v>12855000</v>
      </c>
      <c r="N53" s="83">
        <f>SUM(N54:N62)+SUM(N92:N95)</f>
        <v>2422901</v>
      </c>
      <c r="O53" s="271">
        <f aca="true" t="shared" si="7" ref="O53:O95">N53/M53*100</f>
        <v>18.847926876701674</v>
      </c>
      <c r="P53" s="98">
        <f>SUM(P54:P62)</f>
        <v>1515000</v>
      </c>
      <c r="Q53" s="83">
        <f>SUM(Q54:Q62)</f>
        <v>917750</v>
      </c>
      <c r="R53" s="356">
        <f>Q53/P53*100</f>
        <v>60.57755775577558</v>
      </c>
    </row>
    <row r="54" spans="1:18" ht="24">
      <c r="A54" s="124">
        <v>4210</v>
      </c>
      <c r="B54" s="125" t="s">
        <v>502</v>
      </c>
      <c r="C54" s="88">
        <v>50000</v>
      </c>
      <c r="D54" s="74">
        <f t="shared" si="6"/>
        <v>70000</v>
      </c>
      <c r="E54" s="89">
        <f>SUM(H54+K54+N54+Q54)</f>
        <v>59587</v>
      </c>
      <c r="F54" s="468">
        <f t="shared" si="3"/>
        <v>85.12428571428572</v>
      </c>
      <c r="G54" s="127"/>
      <c r="H54" s="153"/>
      <c r="I54" s="401"/>
      <c r="J54" s="153"/>
      <c r="K54" s="127"/>
      <c r="L54" s="224"/>
      <c r="M54" s="154">
        <f>50000+20000</f>
        <v>70000</v>
      </c>
      <c r="N54" s="127">
        <v>59587</v>
      </c>
      <c r="O54" s="224">
        <f t="shared" si="7"/>
        <v>85.12428571428572</v>
      </c>
      <c r="P54" s="505"/>
      <c r="Q54" s="127"/>
      <c r="R54" s="361"/>
    </row>
    <row r="55" spans="1:18" ht="24" hidden="1">
      <c r="A55" s="124">
        <v>4170</v>
      </c>
      <c r="B55" s="125" t="s">
        <v>536</v>
      </c>
      <c r="C55" s="88"/>
      <c r="D55" s="74">
        <f t="shared" si="6"/>
        <v>0</v>
      </c>
      <c r="E55" s="89">
        <f>SUM(H55+K55+N55+Q55)</f>
        <v>0</v>
      </c>
      <c r="F55" s="468" t="e">
        <f>E55/D55*100</f>
        <v>#DIV/0!</v>
      </c>
      <c r="G55" s="127"/>
      <c r="H55" s="153"/>
      <c r="I55" s="401"/>
      <c r="J55" s="153"/>
      <c r="K55" s="127"/>
      <c r="L55" s="224"/>
      <c r="M55" s="154"/>
      <c r="N55" s="127"/>
      <c r="O55" s="224" t="e">
        <f t="shared" si="7"/>
        <v>#DIV/0!</v>
      </c>
      <c r="P55" s="505"/>
      <c r="Q55" s="127"/>
      <c r="R55" s="361"/>
    </row>
    <row r="56" spans="1:18" ht="15.75" customHeight="1">
      <c r="A56" s="124">
        <v>4260</v>
      </c>
      <c r="B56" s="125" t="s">
        <v>506</v>
      </c>
      <c r="C56" s="88">
        <v>65000</v>
      </c>
      <c r="D56" s="74">
        <f t="shared" si="6"/>
        <v>65000</v>
      </c>
      <c r="E56" s="89">
        <f>SUM(H56+K56+N56+Q56)</f>
        <v>42046</v>
      </c>
      <c r="F56" s="468">
        <f t="shared" si="3"/>
        <v>64.68615384615384</v>
      </c>
      <c r="G56" s="127"/>
      <c r="H56" s="153"/>
      <c r="I56" s="401"/>
      <c r="J56" s="153"/>
      <c r="K56" s="127"/>
      <c r="L56" s="224"/>
      <c r="M56" s="154">
        <v>65000</v>
      </c>
      <c r="N56" s="127">
        <v>42046</v>
      </c>
      <c r="O56" s="224">
        <f t="shared" si="7"/>
        <v>64.68615384615384</v>
      </c>
      <c r="P56" s="505"/>
      <c r="Q56" s="127"/>
      <c r="R56" s="361"/>
    </row>
    <row r="57" spans="1:18" ht="15.75" customHeight="1">
      <c r="A57" s="124">
        <v>4270</v>
      </c>
      <c r="B57" s="128" t="s">
        <v>508</v>
      </c>
      <c r="C57" s="88">
        <v>650000</v>
      </c>
      <c r="D57" s="74">
        <f t="shared" si="6"/>
        <v>610000</v>
      </c>
      <c r="E57" s="89">
        <f>SUM(H57+K57+N57+Q57)</f>
        <v>493806</v>
      </c>
      <c r="F57" s="468">
        <f t="shared" si="3"/>
        <v>80.95180327868853</v>
      </c>
      <c r="G57" s="89"/>
      <c r="H57" s="126"/>
      <c r="I57" s="368"/>
      <c r="J57" s="126"/>
      <c r="K57" s="89"/>
      <c r="L57" s="391"/>
      <c r="M57" s="154">
        <f>650000-100000+60000</f>
        <v>610000</v>
      </c>
      <c r="N57" s="89">
        <v>493806</v>
      </c>
      <c r="O57" s="224">
        <f t="shared" si="7"/>
        <v>80.95180327868853</v>
      </c>
      <c r="P57" s="88"/>
      <c r="Q57" s="89"/>
      <c r="R57" s="361"/>
    </row>
    <row r="58" spans="1:18" ht="15.75" customHeight="1">
      <c r="A58" s="124">
        <v>4300</v>
      </c>
      <c r="B58" s="128" t="s">
        <v>510</v>
      </c>
      <c r="C58" s="88">
        <v>25000</v>
      </c>
      <c r="D58" s="74">
        <f t="shared" si="6"/>
        <v>20000</v>
      </c>
      <c r="E58" s="89">
        <f aca="true" t="shared" si="8" ref="E58:E120">SUM(H58+K58+N58+Q58)</f>
        <v>14314</v>
      </c>
      <c r="F58" s="468">
        <f t="shared" si="3"/>
        <v>71.57</v>
      </c>
      <c r="G58" s="89"/>
      <c r="H58" s="126"/>
      <c r="I58" s="368"/>
      <c r="J58" s="126"/>
      <c r="K58" s="89"/>
      <c r="L58" s="391"/>
      <c r="M58" s="154">
        <f>25000-5000</f>
        <v>20000</v>
      </c>
      <c r="N58" s="89">
        <v>14314</v>
      </c>
      <c r="O58" s="224">
        <f t="shared" si="7"/>
        <v>71.57</v>
      </c>
      <c r="P58" s="88"/>
      <c r="Q58" s="89"/>
      <c r="R58" s="361"/>
    </row>
    <row r="59" spans="1:18" ht="36">
      <c r="A59" s="124">
        <v>4390</v>
      </c>
      <c r="B59" s="128" t="s">
        <v>268</v>
      </c>
      <c r="C59" s="88">
        <v>20000</v>
      </c>
      <c r="D59" s="74">
        <f t="shared" si="6"/>
        <v>5000</v>
      </c>
      <c r="E59" s="89">
        <f>SUM(H59+K59+N59+Q59)</f>
        <v>0</v>
      </c>
      <c r="F59" s="468">
        <f>E59/D59*100</f>
        <v>0</v>
      </c>
      <c r="G59" s="89"/>
      <c r="H59" s="126"/>
      <c r="I59" s="368"/>
      <c r="J59" s="126"/>
      <c r="K59" s="89"/>
      <c r="L59" s="391"/>
      <c r="M59" s="154">
        <f>20000-15000</f>
        <v>5000</v>
      </c>
      <c r="N59" s="89"/>
      <c r="O59" s="224">
        <f t="shared" si="7"/>
        <v>0</v>
      </c>
      <c r="P59" s="88"/>
      <c r="Q59" s="89"/>
      <c r="R59" s="361"/>
    </row>
    <row r="60" spans="1:18" ht="12.75" hidden="1">
      <c r="A60" s="124">
        <v>4580</v>
      </c>
      <c r="B60" s="128" t="s">
        <v>549</v>
      </c>
      <c r="C60" s="88"/>
      <c r="D60" s="74">
        <f t="shared" si="6"/>
        <v>0</v>
      </c>
      <c r="E60" s="89">
        <f>SUM(H60+K60+N60+Q60)</f>
        <v>0</v>
      </c>
      <c r="F60" s="468" t="e">
        <f>E60/D60*100</f>
        <v>#DIV/0!</v>
      </c>
      <c r="G60" s="89"/>
      <c r="H60" s="126"/>
      <c r="I60" s="368"/>
      <c r="J60" s="126"/>
      <c r="K60" s="89"/>
      <c r="L60" s="391"/>
      <c r="M60" s="154"/>
      <c r="N60" s="89"/>
      <c r="O60" s="224" t="e">
        <f t="shared" si="7"/>
        <v>#DIV/0!</v>
      </c>
      <c r="P60" s="88"/>
      <c r="Q60" s="89"/>
      <c r="R60" s="361"/>
    </row>
    <row r="61" spans="1:18" ht="36" hidden="1">
      <c r="A61" s="124">
        <v>4610</v>
      </c>
      <c r="B61" s="128" t="s">
        <v>573</v>
      </c>
      <c r="C61" s="88"/>
      <c r="D61" s="74">
        <f t="shared" si="6"/>
        <v>0</v>
      </c>
      <c r="E61" s="89">
        <f>SUM(H61+K61+N61+Q61)</f>
        <v>0</v>
      </c>
      <c r="F61" s="468" t="e">
        <f>E61/D61*100</f>
        <v>#DIV/0!</v>
      </c>
      <c r="G61" s="89"/>
      <c r="H61" s="126"/>
      <c r="I61" s="368"/>
      <c r="J61" s="126"/>
      <c r="K61" s="89"/>
      <c r="L61" s="391"/>
      <c r="M61" s="154"/>
      <c r="N61" s="89"/>
      <c r="O61" s="224" t="e">
        <f t="shared" si="7"/>
        <v>#DIV/0!</v>
      </c>
      <c r="P61" s="88"/>
      <c r="Q61" s="89"/>
      <c r="R61" s="361"/>
    </row>
    <row r="62" spans="1:18" ht="24">
      <c r="A62" s="124">
        <v>6050</v>
      </c>
      <c r="B62" s="128" t="s">
        <v>574</v>
      </c>
      <c r="C62" s="88">
        <f>SUM(C63:C89)</f>
        <v>12130000</v>
      </c>
      <c r="D62" s="74">
        <f t="shared" si="6"/>
        <v>13600000</v>
      </c>
      <c r="E62" s="89">
        <f t="shared" si="8"/>
        <v>2730898</v>
      </c>
      <c r="F62" s="468">
        <f t="shared" si="3"/>
        <v>20.080132352941177</v>
      </c>
      <c r="G62" s="89"/>
      <c r="H62" s="126"/>
      <c r="I62" s="368"/>
      <c r="J62" s="126"/>
      <c r="K62" s="89"/>
      <c r="L62" s="391"/>
      <c r="M62" s="154">
        <f>SUM(M63:M89)</f>
        <v>12085000</v>
      </c>
      <c r="N62" s="89">
        <f>SUM(N63:N89)</f>
        <v>1813148</v>
      </c>
      <c r="O62" s="224">
        <f t="shared" si="7"/>
        <v>15.003293338849813</v>
      </c>
      <c r="P62" s="88">
        <f>SUM(P63:P89)</f>
        <v>1515000</v>
      </c>
      <c r="Q62" s="89">
        <f>SUM(Q63:Q89)</f>
        <v>917750</v>
      </c>
      <c r="R62" s="280">
        <f>Q62/P62*100</f>
        <v>60.57755775577558</v>
      </c>
    </row>
    <row r="63" spans="1:18" s="11" customFormat="1" ht="24">
      <c r="A63" s="164"/>
      <c r="B63" s="233" t="s">
        <v>367</v>
      </c>
      <c r="C63" s="166">
        <v>2200000</v>
      </c>
      <c r="D63" s="167">
        <f t="shared" si="6"/>
        <v>2200000</v>
      </c>
      <c r="E63" s="167">
        <f t="shared" si="8"/>
        <v>454985</v>
      </c>
      <c r="F63" s="468">
        <f t="shared" si="3"/>
        <v>20.681136363636362</v>
      </c>
      <c r="G63" s="167"/>
      <c r="H63" s="168"/>
      <c r="I63" s="391"/>
      <c r="J63" s="168"/>
      <c r="K63" s="167"/>
      <c r="L63" s="391"/>
      <c r="M63" s="324">
        <v>2200000</v>
      </c>
      <c r="N63" s="167">
        <v>454985</v>
      </c>
      <c r="O63" s="224">
        <f t="shared" si="7"/>
        <v>20.681136363636362</v>
      </c>
      <c r="P63" s="166"/>
      <c r="Q63" s="167"/>
      <c r="R63" s="280"/>
    </row>
    <row r="64" spans="1:18" s="11" customFormat="1" ht="24">
      <c r="A64" s="164"/>
      <c r="B64" s="233" t="s">
        <v>368</v>
      </c>
      <c r="C64" s="166">
        <v>50000</v>
      </c>
      <c r="D64" s="167">
        <f t="shared" si="6"/>
        <v>50000</v>
      </c>
      <c r="E64" s="167">
        <f t="shared" si="8"/>
        <v>0</v>
      </c>
      <c r="F64" s="468">
        <f t="shared" si="3"/>
        <v>0</v>
      </c>
      <c r="G64" s="167"/>
      <c r="H64" s="168"/>
      <c r="I64" s="391"/>
      <c r="J64" s="168"/>
      <c r="K64" s="167"/>
      <c r="L64" s="391"/>
      <c r="M64" s="324">
        <v>50000</v>
      </c>
      <c r="N64" s="167"/>
      <c r="O64" s="224">
        <f t="shared" si="7"/>
        <v>0</v>
      </c>
      <c r="P64" s="166"/>
      <c r="Q64" s="167"/>
      <c r="R64" s="280"/>
    </row>
    <row r="65" spans="1:18" s="11" customFormat="1" ht="36">
      <c r="A65" s="164"/>
      <c r="B65" s="233" t="s">
        <v>369</v>
      </c>
      <c r="C65" s="166">
        <v>10000</v>
      </c>
      <c r="D65" s="167">
        <f t="shared" si="6"/>
        <v>10000</v>
      </c>
      <c r="E65" s="167">
        <f t="shared" si="8"/>
        <v>0</v>
      </c>
      <c r="F65" s="468">
        <f t="shared" si="3"/>
        <v>0</v>
      </c>
      <c r="G65" s="167"/>
      <c r="H65" s="168"/>
      <c r="I65" s="391"/>
      <c r="J65" s="168"/>
      <c r="K65" s="167"/>
      <c r="L65" s="391"/>
      <c r="M65" s="324">
        <v>10000</v>
      </c>
      <c r="N65" s="167"/>
      <c r="O65" s="224">
        <f t="shared" si="7"/>
        <v>0</v>
      </c>
      <c r="P65" s="166"/>
      <c r="Q65" s="167"/>
      <c r="R65" s="280"/>
    </row>
    <row r="66" spans="1:18" s="11" customFormat="1" ht="72">
      <c r="A66" s="164"/>
      <c r="B66" s="233" t="s">
        <v>365</v>
      </c>
      <c r="C66" s="166">
        <v>2400000</v>
      </c>
      <c r="D66" s="167">
        <f t="shared" si="6"/>
        <v>2400000</v>
      </c>
      <c r="E66" s="167">
        <f>SUM(H66+K66+N66+Q66)</f>
        <v>878090</v>
      </c>
      <c r="F66" s="468">
        <f>E66/D66*100</f>
        <v>36.58708333333333</v>
      </c>
      <c r="G66" s="167"/>
      <c r="H66" s="168"/>
      <c r="I66" s="391"/>
      <c r="J66" s="168"/>
      <c r="K66" s="167"/>
      <c r="L66" s="391"/>
      <c r="M66" s="324">
        <v>2400000</v>
      </c>
      <c r="N66" s="167">
        <v>878090</v>
      </c>
      <c r="O66" s="224">
        <f t="shared" si="7"/>
        <v>36.58708333333333</v>
      </c>
      <c r="P66" s="166"/>
      <c r="Q66" s="167"/>
      <c r="R66" s="280"/>
    </row>
    <row r="67" spans="1:18" s="11" customFormat="1" ht="48">
      <c r="A67" s="164"/>
      <c r="B67" s="233" t="s">
        <v>259</v>
      </c>
      <c r="C67" s="166">
        <v>20000</v>
      </c>
      <c r="D67" s="167">
        <f t="shared" si="6"/>
        <v>20000</v>
      </c>
      <c r="E67" s="167">
        <f t="shared" si="8"/>
        <v>0</v>
      </c>
      <c r="F67" s="468">
        <f>E67/D67*100</f>
        <v>0</v>
      </c>
      <c r="G67" s="167"/>
      <c r="H67" s="168"/>
      <c r="I67" s="391"/>
      <c r="J67" s="168"/>
      <c r="K67" s="167"/>
      <c r="L67" s="391"/>
      <c r="M67" s="324">
        <v>20000</v>
      </c>
      <c r="N67" s="167"/>
      <c r="O67" s="224">
        <f t="shared" si="7"/>
        <v>0</v>
      </c>
      <c r="P67" s="166"/>
      <c r="Q67" s="167"/>
      <c r="R67" s="280"/>
    </row>
    <row r="68" spans="1:18" s="11" customFormat="1" ht="36">
      <c r="A68" s="164"/>
      <c r="B68" s="233" t="s">
        <v>260</v>
      </c>
      <c r="C68" s="166">
        <v>100000</v>
      </c>
      <c r="D68" s="167">
        <f t="shared" si="6"/>
        <v>100000</v>
      </c>
      <c r="E68" s="167">
        <f t="shared" si="8"/>
        <v>0</v>
      </c>
      <c r="F68" s="468">
        <f aca="true" t="shared" si="9" ref="F68:F96">E68/D68*100</f>
        <v>0</v>
      </c>
      <c r="G68" s="167"/>
      <c r="H68" s="168"/>
      <c r="I68" s="391"/>
      <c r="J68" s="168"/>
      <c r="K68" s="167"/>
      <c r="L68" s="391"/>
      <c r="M68" s="324">
        <v>100000</v>
      </c>
      <c r="N68" s="167"/>
      <c r="O68" s="224">
        <f t="shared" si="7"/>
        <v>0</v>
      </c>
      <c r="P68" s="166"/>
      <c r="Q68" s="167"/>
      <c r="R68" s="280"/>
    </row>
    <row r="69" spans="1:18" s="11" customFormat="1" ht="36">
      <c r="A69" s="164"/>
      <c r="B69" s="233" t="s">
        <v>366</v>
      </c>
      <c r="C69" s="166">
        <v>500000</v>
      </c>
      <c r="D69" s="167">
        <f t="shared" si="6"/>
        <v>500000</v>
      </c>
      <c r="E69" s="167">
        <f>SUM(H69+K69+N69+Q69)</f>
        <v>0</v>
      </c>
      <c r="F69" s="468">
        <f>E69/D69*100</f>
        <v>0</v>
      </c>
      <c r="G69" s="167"/>
      <c r="H69" s="168"/>
      <c r="I69" s="391"/>
      <c r="J69" s="168"/>
      <c r="K69" s="167"/>
      <c r="L69" s="391"/>
      <c r="M69" s="324">
        <v>500000</v>
      </c>
      <c r="N69" s="167"/>
      <c r="O69" s="224">
        <f t="shared" si="7"/>
        <v>0</v>
      </c>
      <c r="P69" s="166"/>
      <c r="Q69" s="167"/>
      <c r="R69" s="280"/>
    </row>
    <row r="70" spans="1:18" s="11" customFormat="1" ht="12.75">
      <c r="A70" s="164"/>
      <c r="B70" s="233" t="s">
        <v>261</v>
      </c>
      <c r="C70" s="166">
        <v>100000</v>
      </c>
      <c r="D70" s="167">
        <f t="shared" si="6"/>
        <v>100000</v>
      </c>
      <c r="E70" s="167">
        <f t="shared" si="8"/>
        <v>0</v>
      </c>
      <c r="F70" s="468">
        <f t="shared" si="9"/>
        <v>0</v>
      </c>
      <c r="G70" s="167"/>
      <c r="H70" s="168"/>
      <c r="I70" s="391"/>
      <c r="J70" s="168"/>
      <c r="K70" s="167"/>
      <c r="L70" s="391"/>
      <c r="M70" s="324">
        <v>100000</v>
      </c>
      <c r="N70" s="167"/>
      <c r="O70" s="224">
        <f t="shared" si="7"/>
        <v>0</v>
      </c>
      <c r="P70" s="166"/>
      <c r="Q70" s="167"/>
      <c r="R70" s="280"/>
    </row>
    <row r="71" spans="1:18" s="11" customFormat="1" ht="12.75">
      <c r="A71" s="443"/>
      <c r="B71" s="444" t="s">
        <v>262</v>
      </c>
      <c r="C71" s="445">
        <v>100000</v>
      </c>
      <c r="D71" s="446">
        <f t="shared" si="6"/>
        <v>100000</v>
      </c>
      <c r="E71" s="446">
        <f t="shared" si="8"/>
        <v>0</v>
      </c>
      <c r="F71" s="469">
        <f t="shared" si="9"/>
        <v>0</v>
      </c>
      <c r="G71" s="446"/>
      <c r="H71" s="447"/>
      <c r="I71" s="415"/>
      <c r="J71" s="447"/>
      <c r="K71" s="446"/>
      <c r="L71" s="415"/>
      <c r="M71" s="545">
        <v>100000</v>
      </c>
      <c r="N71" s="446"/>
      <c r="O71" s="274">
        <f t="shared" si="7"/>
        <v>0</v>
      </c>
      <c r="P71" s="445"/>
      <c r="Q71" s="446"/>
      <c r="R71" s="323"/>
    </row>
    <row r="72" spans="1:18" s="11" customFormat="1" ht="10.5" customHeight="1">
      <c r="A72" s="563"/>
      <c r="B72" s="564" t="s">
        <v>263</v>
      </c>
      <c r="C72" s="565">
        <v>100000</v>
      </c>
      <c r="D72" s="566">
        <f t="shared" si="6"/>
        <v>100000</v>
      </c>
      <c r="E72" s="566">
        <f t="shared" si="8"/>
        <v>0</v>
      </c>
      <c r="F72" s="470">
        <f t="shared" si="9"/>
        <v>0</v>
      </c>
      <c r="G72" s="566"/>
      <c r="H72" s="567"/>
      <c r="I72" s="414"/>
      <c r="J72" s="567"/>
      <c r="K72" s="566"/>
      <c r="L72" s="414"/>
      <c r="M72" s="568">
        <v>100000</v>
      </c>
      <c r="N72" s="566"/>
      <c r="O72" s="304">
        <f t="shared" si="7"/>
        <v>0</v>
      </c>
      <c r="P72" s="565"/>
      <c r="Q72" s="566"/>
      <c r="R72" s="357"/>
    </row>
    <row r="73" spans="1:18" s="11" customFormat="1" ht="24">
      <c r="A73" s="164"/>
      <c r="B73" s="233" t="s">
        <v>264</v>
      </c>
      <c r="C73" s="166">
        <v>1580000</v>
      </c>
      <c r="D73" s="167">
        <f t="shared" si="6"/>
        <v>0</v>
      </c>
      <c r="E73" s="167">
        <f t="shared" si="8"/>
        <v>0</v>
      </c>
      <c r="F73" s="468"/>
      <c r="G73" s="167"/>
      <c r="H73" s="168"/>
      <c r="I73" s="391"/>
      <c r="J73" s="168"/>
      <c r="K73" s="167"/>
      <c r="L73" s="391"/>
      <c r="M73" s="324"/>
      <c r="N73" s="167"/>
      <c r="O73" s="224"/>
      <c r="P73" s="166"/>
      <c r="Q73" s="167"/>
      <c r="R73" s="280"/>
    </row>
    <row r="74" spans="1:18" s="11" customFormat="1" ht="36">
      <c r="A74" s="164"/>
      <c r="B74" s="233" t="s">
        <v>374</v>
      </c>
      <c r="C74" s="166"/>
      <c r="D74" s="167">
        <f>G74+J74+P74+M74</f>
        <v>1515000</v>
      </c>
      <c r="E74" s="167">
        <f>SUM(H74+K74+N74+Q74)</f>
        <v>917750</v>
      </c>
      <c r="F74" s="468">
        <f>E74/D74*100</f>
        <v>60.57755775577558</v>
      </c>
      <c r="G74" s="167"/>
      <c r="H74" s="168"/>
      <c r="I74" s="391"/>
      <c r="J74" s="168"/>
      <c r="K74" s="167"/>
      <c r="L74" s="391"/>
      <c r="M74" s="324"/>
      <c r="N74" s="167"/>
      <c r="O74" s="224"/>
      <c r="P74" s="166">
        <v>1515000</v>
      </c>
      <c r="Q74" s="167">
        <v>917750</v>
      </c>
      <c r="R74" s="280">
        <f>Q74/P74*100</f>
        <v>60.57755775577558</v>
      </c>
    </row>
    <row r="75" spans="1:18" s="11" customFormat="1" ht="36">
      <c r="A75" s="164"/>
      <c r="B75" s="233" t="s">
        <v>265</v>
      </c>
      <c r="C75" s="166">
        <v>830000</v>
      </c>
      <c r="D75" s="167">
        <f t="shared" si="6"/>
        <v>765000</v>
      </c>
      <c r="E75" s="167">
        <f t="shared" si="8"/>
        <v>0</v>
      </c>
      <c r="F75" s="468">
        <f t="shared" si="9"/>
        <v>0</v>
      </c>
      <c r="G75" s="167"/>
      <c r="H75" s="168"/>
      <c r="I75" s="391"/>
      <c r="J75" s="168"/>
      <c r="K75" s="167"/>
      <c r="L75" s="391"/>
      <c r="M75" s="324">
        <f>830000-65000</f>
        <v>765000</v>
      </c>
      <c r="N75" s="167"/>
      <c r="O75" s="224">
        <f t="shared" si="7"/>
        <v>0</v>
      </c>
      <c r="P75" s="166"/>
      <c r="Q75" s="167"/>
      <c r="R75" s="280"/>
    </row>
    <row r="76" spans="1:18" s="11" customFormat="1" ht="36">
      <c r="A76" s="164"/>
      <c r="B76" s="233" t="s">
        <v>362</v>
      </c>
      <c r="C76" s="166">
        <v>1200000</v>
      </c>
      <c r="D76" s="167">
        <f t="shared" si="6"/>
        <v>2400000</v>
      </c>
      <c r="E76" s="167">
        <f t="shared" si="8"/>
        <v>0</v>
      </c>
      <c r="F76" s="468">
        <f t="shared" si="9"/>
        <v>0</v>
      </c>
      <c r="G76" s="167"/>
      <c r="H76" s="168"/>
      <c r="I76" s="391"/>
      <c r="J76" s="168"/>
      <c r="K76" s="167"/>
      <c r="L76" s="391"/>
      <c r="M76" s="324">
        <f>1200000+1200000</f>
        <v>2400000</v>
      </c>
      <c r="N76" s="167"/>
      <c r="O76" s="224">
        <f t="shared" si="7"/>
        <v>0</v>
      </c>
      <c r="P76" s="166"/>
      <c r="Q76" s="167"/>
      <c r="R76" s="280"/>
    </row>
    <row r="77" spans="1:18" s="11" customFormat="1" ht="36">
      <c r="A77" s="164"/>
      <c r="B77" s="233" t="s">
        <v>266</v>
      </c>
      <c r="C77" s="166">
        <v>100000</v>
      </c>
      <c r="D77" s="167">
        <f t="shared" si="6"/>
        <v>100000</v>
      </c>
      <c r="E77" s="167">
        <f t="shared" si="8"/>
        <v>0</v>
      </c>
      <c r="F77" s="468">
        <f>E77/D77*100</f>
        <v>0</v>
      </c>
      <c r="G77" s="167"/>
      <c r="H77" s="168"/>
      <c r="I77" s="391"/>
      <c r="J77" s="168"/>
      <c r="K77" s="167"/>
      <c r="L77" s="391"/>
      <c r="M77" s="324">
        <v>100000</v>
      </c>
      <c r="N77" s="167"/>
      <c r="O77" s="224">
        <f t="shared" si="7"/>
        <v>0</v>
      </c>
      <c r="P77" s="166"/>
      <c r="Q77" s="167"/>
      <c r="R77" s="280"/>
    </row>
    <row r="78" spans="1:18" s="11" customFormat="1" ht="24">
      <c r="A78" s="164"/>
      <c r="B78" s="233" t="s">
        <v>267</v>
      </c>
      <c r="C78" s="166">
        <v>20000</v>
      </c>
      <c r="D78" s="167">
        <f t="shared" si="6"/>
        <v>20000</v>
      </c>
      <c r="E78" s="167">
        <f t="shared" si="8"/>
        <v>0</v>
      </c>
      <c r="F78" s="468">
        <f t="shared" si="9"/>
        <v>0</v>
      </c>
      <c r="G78" s="167"/>
      <c r="H78" s="168"/>
      <c r="I78" s="391"/>
      <c r="J78" s="168"/>
      <c r="K78" s="167"/>
      <c r="L78" s="391"/>
      <c r="M78" s="324">
        <v>20000</v>
      </c>
      <c r="N78" s="167"/>
      <c r="O78" s="224">
        <f t="shared" si="7"/>
        <v>0</v>
      </c>
      <c r="P78" s="166"/>
      <c r="Q78" s="167"/>
      <c r="R78" s="280"/>
    </row>
    <row r="79" spans="1:18" s="11" customFormat="1" ht="12.75" hidden="1">
      <c r="A79" s="164"/>
      <c r="B79" s="233" t="s">
        <v>320</v>
      </c>
      <c r="C79" s="166"/>
      <c r="D79" s="167">
        <f t="shared" si="6"/>
        <v>0</v>
      </c>
      <c r="E79" s="167">
        <f t="shared" si="8"/>
        <v>0</v>
      </c>
      <c r="F79" s="468" t="e">
        <f t="shared" si="9"/>
        <v>#DIV/0!</v>
      </c>
      <c r="G79" s="167"/>
      <c r="H79" s="168"/>
      <c r="I79" s="391"/>
      <c r="J79" s="168"/>
      <c r="K79" s="167"/>
      <c r="L79" s="391"/>
      <c r="M79" s="324"/>
      <c r="N79" s="167"/>
      <c r="O79" s="224" t="e">
        <f t="shared" si="7"/>
        <v>#DIV/0!</v>
      </c>
      <c r="P79" s="166"/>
      <c r="Q79" s="167"/>
      <c r="R79" s="280"/>
    </row>
    <row r="80" spans="1:18" s="11" customFormat="1" ht="24">
      <c r="A80" s="164"/>
      <c r="B80" s="233" t="s">
        <v>363</v>
      </c>
      <c r="C80" s="166">
        <v>600000</v>
      </c>
      <c r="D80" s="167">
        <f t="shared" si="6"/>
        <v>600000</v>
      </c>
      <c r="E80" s="167">
        <f t="shared" si="8"/>
        <v>8602</v>
      </c>
      <c r="F80" s="468">
        <f t="shared" si="9"/>
        <v>1.4336666666666666</v>
      </c>
      <c r="G80" s="167"/>
      <c r="H80" s="168"/>
      <c r="I80" s="391"/>
      <c r="J80" s="168"/>
      <c r="K80" s="167"/>
      <c r="L80" s="391"/>
      <c r="M80" s="324">
        <v>600000</v>
      </c>
      <c r="N80" s="167">
        <f>8602+1-1</f>
        <v>8602</v>
      </c>
      <c r="O80" s="224">
        <f t="shared" si="7"/>
        <v>1.4336666666666666</v>
      </c>
      <c r="P80" s="166"/>
      <c r="Q80" s="167"/>
      <c r="R80" s="280"/>
    </row>
    <row r="81" spans="1:18" s="11" customFormat="1" ht="24">
      <c r="A81" s="164"/>
      <c r="B81" s="233" t="s">
        <v>449</v>
      </c>
      <c r="C81" s="166">
        <v>600000</v>
      </c>
      <c r="D81" s="167">
        <f t="shared" si="6"/>
        <v>600000</v>
      </c>
      <c r="E81" s="167">
        <f t="shared" si="8"/>
        <v>301301</v>
      </c>
      <c r="F81" s="468">
        <f t="shared" si="9"/>
        <v>50.216833333333334</v>
      </c>
      <c r="G81" s="167"/>
      <c r="H81" s="168"/>
      <c r="I81" s="391"/>
      <c r="J81" s="168"/>
      <c r="K81" s="167"/>
      <c r="L81" s="391"/>
      <c r="M81" s="324">
        <v>600000</v>
      </c>
      <c r="N81" s="167">
        <v>301301</v>
      </c>
      <c r="O81" s="224">
        <f t="shared" si="7"/>
        <v>50.216833333333334</v>
      </c>
      <c r="P81" s="166"/>
      <c r="Q81" s="167"/>
      <c r="R81" s="280"/>
    </row>
    <row r="82" spans="1:18" s="11" customFormat="1" ht="60">
      <c r="A82" s="164"/>
      <c r="B82" s="233" t="s">
        <v>372</v>
      </c>
      <c r="C82" s="166">
        <v>500000</v>
      </c>
      <c r="D82" s="167">
        <f t="shared" si="6"/>
        <v>500000</v>
      </c>
      <c r="E82" s="167">
        <f t="shared" si="8"/>
        <v>0</v>
      </c>
      <c r="F82" s="468">
        <f t="shared" si="9"/>
        <v>0</v>
      </c>
      <c r="G82" s="167"/>
      <c r="H82" s="168"/>
      <c r="I82" s="391"/>
      <c r="J82" s="168"/>
      <c r="K82" s="167"/>
      <c r="L82" s="391"/>
      <c r="M82" s="324">
        <v>500000</v>
      </c>
      <c r="N82" s="167"/>
      <c r="O82" s="224">
        <f t="shared" si="7"/>
        <v>0</v>
      </c>
      <c r="P82" s="166"/>
      <c r="Q82" s="167"/>
      <c r="R82" s="280"/>
    </row>
    <row r="83" spans="1:18" s="11" customFormat="1" ht="36">
      <c r="A83" s="164"/>
      <c r="B83" s="233" t="s">
        <v>376</v>
      </c>
      <c r="C83" s="166">
        <v>50000</v>
      </c>
      <c r="D83" s="167">
        <f t="shared" si="6"/>
        <v>50000</v>
      </c>
      <c r="E83" s="167">
        <f t="shared" si="8"/>
        <v>0</v>
      </c>
      <c r="F83" s="468">
        <f t="shared" si="9"/>
        <v>0</v>
      </c>
      <c r="G83" s="167"/>
      <c r="H83" s="168"/>
      <c r="I83" s="391"/>
      <c r="J83" s="168"/>
      <c r="K83" s="167"/>
      <c r="L83" s="391"/>
      <c r="M83" s="324">
        <v>50000</v>
      </c>
      <c r="N83" s="167"/>
      <c r="O83" s="224">
        <f t="shared" si="7"/>
        <v>0</v>
      </c>
      <c r="P83" s="166"/>
      <c r="Q83" s="167"/>
      <c r="R83" s="280"/>
    </row>
    <row r="84" spans="1:18" s="11" customFormat="1" ht="36">
      <c r="A84" s="164"/>
      <c r="B84" s="233" t="s">
        <v>371</v>
      </c>
      <c r="C84" s="166">
        <v>20000</v>
      </c>
      <c r="D84" s="167">
        <f t="shared" si="6"/>
        <v>20000</v>
      </c>
      <c r="E84" s="167">
        <f t="shared" si="8"/>
        <v>0</v>
      </c>
      <c r="F84" s="468">
        <f t="shared" si="9"/>
        <v>0</v>
      </c>
      <c r="G84" s="167"/>
      <c r="H84" s="168"/>
      <c r="I84" s="391"/>
      <c r="J84" s="168"/>
      <c r="K84" s="167"/>
      <c r="L84" s="391"/>
      <c r="M84" s="324">
        <v>20000</v>
      </c>
      <c r="N84" s="167"/>
      <c r="O84" s="224">
        <f t="shared" si="7"/>
        <v>0</v>
      </c>
      <c r="P84" s="166"/>
      <c r="Q84" s="167"/>
      <c r="R84" s="280"/>
    </row>
    <row r="85" spans="1:18" s="11" customFormat="1" ht="24">
      <c r="A85" s="164"/>
      <c r="B85" s="233" t="s">
        <v>370</v>
      </c>
      <c r="C85" s="166">
        <v>200000</v>
      </c>
      <c r="D85" s="167">
        <f t="shared" si="6"/>
        <v>200000</v>
      </c>
      <c r="E85" s="167">
        <f t="shared" si="8"/>
        <v>0</v>
      </c>
      <c r="F85" s="468">
        <f t="shared" si="9"/>
        <v>0</v>
      </c>
      <c r="G85" s="167"/>
      <c r="H85" s="168"/>
      <c r="I85" s="391"/>
      <c r="J85" s="168"/>
      <c r="K85" s="167"/>
      <c r="L85" s="391"/>
      <c r="M85" s="324">
        <v>200000</v>
      </c>
      <c r="N85" s="167"/>
      <c r="O85" s="224">
        <f t="shared" si="7"/>
        <v>0</v>
      </c>
      <c r="P85" s="166"/>
      <c r="Q85" s="167"/>
      <c r="R85" s="280"/>
    </row>
    <row r="86" spans="1:18" s="11" customFormat="1" ht="46.5" customHeight="1">
      <c r="A86" s="164"/>
      <c r="B86" s="233" t="s">
        <v>364</v>
      </c>
      <c r="C86" s="166">
        <v>800000</v>
      </c>
      <c r="D86" s="167">
        <f t="shared" si="6"/>
        <v>800000</v>
      </c>
      <c r="E86" s="167">
        <f t="shared" si="8"/>
        <v>120170</v>
      </c>
      <c r="F86" s="468">
        <f t="shared" si="9"/>
        <v>15.02125</v>
      </c>
      <c r="G86" s="167"/>
      <c r="H86" s="168"/>
      <c r="I86" s="391"/>
      <c r="J86" s="168"/>
      <c r="K86" s="167"/>
      <c r="L86" s="391"/>
      <c r="M86" s="324">
        <v>800000</v>
      </c>
      <c r="N86" s="167">
        <v>120170</v>
      </c>
      <c r="O86" s="224">
        <f t="shared" si="7"/>
        <v>15.02125</v>
      </c>
      <c r="P86" s="166"/>
      <c r="Q86" s="167"/>
      <c r="R86" s="280"/>
    </row>
    <row r="87" spans="1:18" s="11" customFormat="1" ht="35.25" customHeight="1">
      <c r="A87" s="164"/>
      <c r="B87" s="233" t="s">
        <v>408</v>
      </c>
      <c r="C87" s="166"/>
      <c r="D87" s="167">
        <f>G87+J87+P87+M87</f>
        <v>200000</v>
      </c>
      <c r="E87" s="167">
        <f>SUM(H87+K87+N87+Q87)</f>
        <v>0</v>
      </c>
      <c r="F87" s="468">
        <f>E87/D87*100</f>
        <v>0</v>
      </c>
      <c r="G87" s="167"/>
      <c r="H87" s="168"/>
      <c r="I87" s="391"/>
      <c r="J87" s="168"/>
      <c r="K87" s="167"/>
      <c r="L87" s="391"/>
      <c r="M87" s="324">
        <v>200000</v>
      </c>
      <c r="N87" s="167"/>
      <c r="O87" s="224">
        <f t="shared" si="7"/>
        <v>0</v>
      </c>
      <c r="P87" s="166"/>
      <c r="Q87" s="167"/>
      <c r="R87" s="280"/>
    </row>
    <row r="88" spans="1:18" s="11" customFormat="1" ht="36">
      <c r="A88" s="164"/>
      <c r="B88" s="536" t="s">
        <v>407</v>
      </c>
      <c r="C88" s="166"/>
      <c r="D88" s="167">
        <f>G88+J88+P88+M88</f>
        <v>100000</v>
      </c>
      <c r="E88" s="167">
        <f>SUM(H88+K88+N88+Q88)</f>
        <v>0</v>
      </c>
      <c r="F88" s="468">
        <f>E88/D88*100</f>
        <v>0</v>
      </c>
      <c r="G88" s="167"/>
      <c r="H88" s="168"/>
      <c r="I88" s="391"/>
      <c r="J88" s="168"/>
      <c r="K88" s="167"/>
      <c r="L88" s="391"/>
      <c r="M88" s="324">
        <v>100000</v>
      </c>
      <c r="N88" s="167"/>
      <c r="O88" s="224">
        <f t="shared" si="7"/>
        <v>0</v>
      </c>
      <c r="P88" s="166"/>
      <c r="Q88" s="167"/>
      <c r="R88" s="280"/>
    </row>
    <row r="89" spans="1:18" s="11" customFormat="1" ht="12" customHeight="1">
      <c r="A89" s="443"/>
      <c r="B89" s="444" t="s">
        <v>201</v>
      </c>
      <c r="C89" s="445">
        <v>50000</v>
      </c>
      <c r="D89" s="446">
        <f t="shared" si="6"/>
        <v>150000</v>
      </c>
      <c r="E89" s="446">
        <f t="shared" si="8"/>
        <v>50000</v>
      </c>
      <c r="F89" s="469">
        <f t="shared" si="9"/>
        <v>33.33333333333333</v>
      </c>
      <c r="G89" s="446"/>
      <c r="H89" s="447"/>
      <c r="I89" s="415"/>
      <c r="J89" s="447"/>
      <c r="K89" s="446"/>
      <c r="L89" s="415"/>
      <c r="M89" s="545">
        <f>50000+100000</f>
        <v>150000</v>
      </c>
      <c r="N89" s="446">
        <v>50000</v>
      </c>
      <c r="O89" s="462">
        <f t="shared" si="7"/>
        <v>33.33333333333333</v>
      </c>
      <c r="P89" s="445"/>
      <c r="Q89" s="446"/>
      <c r="R89" s="323"/>
    </row>
    <row r="90" spans="1:18" ht="48" hidden="1">
      <c r="A90" s="124">
        <v>6058</v>
      </c>
      <c r="B90" s="128" t="s">
        <v>533</v>
      </c>
      <c r="C90" s="88"/>
      <c r="D90" s="74">
        <f t="shared" si="6"/>
        <v>0</v>
      </c>
      <c r="E90" s="89">
        <f t="shared" si="8"/>
        <v>0</v>
      </c>
      <c r="F90" s="468" t="e">
        <f t="shared" si="9"/>
        <v>#DIV/0!</v>
      </c>
      <c r="G90" s="89"/>
      <c r="H90" s="126"/>
      <c r="I90" s="368"/>
      <c r="J90" s="126"/>
      <c r="K90" s="89"/>
      <c r="L90" s="391"/>
      <c r="M90" s="154"/>
      <c r="N90" s="89"/>
      <c r="O90" s="224" t="e">
        <f t="shared" si="7"/>
        <v>#DIV/0!</v>
      </c>
      <c r="P90" s="88"/>
      <c r="Q90" s="89"/>
      <c r="R90" s="361"/>
    </row>
    <row r="91" spans="1:18" ht="48" hidden="1">
      <c r="A91" s="124">
        <v>6059</v>
      </c>
      <c r="B91" s="128" t="s">
        <v>533</v>
      </c>
      <c r="C91" s="88"/>
      <c r="D91" s="74">
        <f t="shared" si="6"/>
        <v>0</v>
      </c>
      <c r="E91" s="89">
        <f t="shared" si="8"/>
        <v>0</v>
      </c>
      <c r="F91" s="468" t="e">
        <f t="shared" si="9"/>
        <v>#DIV/0!</v>
      </c>
      <c r="G91" s="89"/>
      <c r="H91" s="126"/>
      <c r="I91" s="368"/>
      <c r="J91" s="126"/>
      <c r="K91" s="89"/>
      <c r="L91" s="391"/>
      <c r="M91" s="154"/>
      <c r="N91" s="89"/>
      <c r="O91" s="224" t="e">
        <f t="shared" si="7"/>
        <v>#DIV/0!</v>
      </c>
      <c r="P91" s="88"/>
      <c r="Q91" s="89"/>
      <c r="R91" s="361"/>
    </row>
    <row r="92" spans="1:18" ht="36" hidden="1">
      <c r="A92" s="124">
        <v>6058</v>
      </c>
      <c r="B92" s="128" t="s">
        <v>200</v>
      </c>
      <c r="C92" s="88"/>
      <c r="D92" s="74">
        <f t="shared" si="6"/>
        <v>0</v>
      </c>
      <c r="E92" s="89">
        <f t="shared" si="8"/>
        <v>0</v>
      </c>
      <c r="F92" s="468" t="e">
        <f t="shared" si="9"/>
        <v>#DIV/0!</v>
      </c>
      <c r="G92" s="89"/>
      <c r="H92" s="126"/>
      <c r="I92" s="368"/>
      <c r="J92" s="126"/>
      <c r="K92" s="89"/>
      <c r="L92" s="391"/>
      <c r="M92" s="154"/>
      <c r="N92" s="89"/>
      <c r="O92" s="224" t="e">
        <f t="shared" si="7"/>
        <v>#DIV/0!</v>
      </c>
      <c r="P92" s="88"/>
      <c r="Q92" s="89"/>
      <c r="R92" s="361"/>
    </row>
    <row r="93" spans="1:18" ht="36" hidden="1">
      <c r="A93" s="124">
        <v>6059</v>
      </c>
      <c r="B93" s="128" t="s">
        <v>200</v>
      </c>
      <c r="C93" s="88"/>
      <c r="D93" s="74">
        <f t="shared" si="6"/>
        <v>0</v>
      </c>
      <c r="E93" s="89">
        <f t="shared" si="8"/>
        <v>0</v>
      </c>
      <c r="F93" s="468" t="e">
        <f t="shared" si="9"/>
        <v>#DIV/0!</v>
      </c>
      <c r="G93" s="89"/>
      <c r="H93" s="126"/>
      <c r="I93" s="368"/>
      <c r="J93" s="126"/>
      <c r="K93" s="89"/>
      <c r="L93" s="391"/>
      <c r="M93" s="154"/>
      <c r="N93" s="89"/>
      <c r="O93" s="224" t="e">
        <f t="shared" si="7"/>
        <v>#DIV/0!</v>
      </c>
      <c r="P93" s="88"/>
      <c r="Q93" s="89"/>
      <c r="R93" s="361"/>
    </row>
    <row r="94" spans="1:18" ht="48" hidden="1">
      <c r="A94" s="124">
        <v>6051</v>
      </c>
      <c r="B94" s="128" t="s">
        <v>534</v>
      </c>
      <c r="C94" s="88"/>
      <c r="D94" s="74">
        <f t="shared" si="6"/>
        <v>0</v>
      </c>
      <c r="E94" s="89">
        <f t="shared" si="8"/>
        <v>0</v>
      </c>
      <c r="F94" s="468" t="e">
        <f t="shared" si="9"/>
        <v>#DIV/0!</v>
      </c>
      <c r="G94" s="89"/>
      <c r="H94" s="126"/>
      <c r="I94" s="368"/>
      <c r="J94" s="126"/>
      <c r="K94" s="89"/>
      <c r="L94" s="391"/>
      <c r="M94" s="154"/>
      <c r="N94" s="89"/>
      <c r="O94" s="224" t="e">
        <f t="shared" si="7"/>
        <v>#DIV/0!</v>
      </c>
      <c r="P94" s="88"/>
      <c r="Q94" s="89"/>
      <c r="R94" s="361"/>
    </row>
    <row r="95" spans="1:18" ht="48" hidden="1">
      <c r="A95" s="124">
        <v>6053</v>
      </c>
      <c r="B95" s="128" t="s">
        <v>450</v>
      </c>
      <c r="C95" s="88"/>
      <c r="D95" s="74">
        <f t="shared" si="6"/>
        <v>0</v>
      </c>
      <c r="E95" s="89">
        <f t="shared" si="8"/>
        <v>0</v>
      </c>
      <c r="F95" s="468" t="e">
        <f t="shared" si="9"/>
        <v>#DIV/0!</v>
      </c>
      <c r="G95" s="89"/>
      <c r="H95" s="126"/>
      <c r="I95" s="368"/>
      <c r="J95" s="126"/>
      <c r="K95" s="89"/>
      <c r="L95" s="391"/>
      <c r="M95" s="154"/>
      <c r="N95" s="155"/>
      <c r="O95" s="224" t="e">
        <f t="shared" si="7"/>
        <v>#DIV/0!</v>
      </c>
      <c r="P95" s="88"/>
      <c r="Q95" s="89"/>
      <c r="R95" s="361"/>
    </row>
    <row r="96" spans="1:18" s="118" customFormat="1" ht="24">
      <c r="A96" s="119">
        <v>60016</v>
      </c>
      <c r="B96" s="120" t="s">
        <v>535</v>
      </c>
      <c r="C96" s="82">
        <f>SUM(C98:C104)</f>
        <v>17040000</v>
      </c>
      <c r="D96" s="95">
        <f t="shared" si="6"/>
        <v>17481947</v>
      </c>
      <c r="E96" s="84">
        <f>H96+K96+Q96+N96</f>
        <v>6765062</v>
      </c>
      <c r="F96" s="467">
        <f t="shared" si="9"/>
        <v>38.697417398645584</v>
      </c>
      <c r="G96" s="87">
        <f>SUM(G97:G104)</f>
        <v>17481947</v>
      </c>
      <c r="H96" s="87">
        <f>SUM(H97:H104)</f>
        <v>6765062</v>
      </c>
      <c r="I96" s="316">
        <f aca="true" t="shared" si="10" ref="I96:I159">H96/G96*100</f>
        <v>38.697417398645584</v>
      </c>
      <c r="J96" s="156"/>
      <c r="K96" s="87"/>
      <c r="L96" s="271"/>
      <c r="M96" s="87"/>
      <c r="N96" s="87"/>
      <c r="O96" s="400"/>
      <c r="P96" s="82"/>
      <c r="Q96" s="87"/>
      <c r="R96" s="359"/>
    </row>
    <row r="97" spans="1:18" ht="24" hidden="1">
      <c r="A97" s="124">
        <v>4170</v>
      </c>
      <c r="B97" s="125" t="s">
        <v>536</v>
      </c>
      <c r="C97" s="88"/>
      <c r="D97" s="74">
        <f t="shared" si="6"/>
        <v>0</v>
      </c>
      <c r="E97" s="89">
        <f>SUM(H97+K97+N97+Q97)</f>
        <v>0</v>
      </c>
      <c r="F97" s="468"/>
      <c r="G97" s="88"/>
      <c r="H97" s="127"/>
      <c r="I97" s="224" t="e">
        <f>H97/G97*100</f>
        <v>#DIV/0!</v>
      </c>
      <c r="J97" s="153"/>
      <c r="K97" s="127"/>
      <c r="L97" s="224"/>
      <c r="M97" s="127"/>
      <c r="N97" s="127"/>
      <c r="O97" s="401"/>
      <c r="P97" s="505"/>
      <c r="Q97" s="127"/>
      <c r="R97" s="361"/>
    </row>
    <row r="98" spans="1:18" ht="24" hidden="1">
      <c r="A98" s="124">
        <v>4210</v>
      </c>
      <c r="B98" s="125" t="s">
        <v>502</v>
      </c>
      <c r="C98" s="88"/>
      <c r="D98" s="74">
        <f t="shared" si="6"/>
        <v>0</v>
      </c>
      <c r="E98" s="89">
        <f t="shared" si="8"/>
        <v>0</v>
      </c>
      <c r="F98" s="468" t="e">
        <f aca="true" t="shared" si="11" ref="F98:F110">E98/D98*100</f>
        <v>#DIV/0!</v>
      </c>
      <c r="G98" s="88"/>
      <c r="H98" s="127"/>
      <c r="I98" s="224" t="e">
        <f t="shared" si="10"/>
        <v>#DIV/0!</v>
      </c>
      <c r="J98" s="153"/>
      <c r="K98" s="127"/>
      <c r="L98" s="224"/>
      <c r="M98" s="127"/>
      <c r="N98" s="127"/>
      <c r="O98" s="401"/>
      <c r="P98" s="505"/>
      <c r="Q98" s="127"/>
      <c r="R98" s="361"/>
    </row>
    <row r="99" spans="1:18" ht="16.5" customHeight="1">
      <c r="A99" s="124">
        <v>4270</v>
      </c>
      <c r="B99" s="128" t="s">
        <v>508</v>
      </c>
      <c r="C99" s="88">
        <v>700000</v>
      </c>
      <c r="D99" s="74">
        <f t="shared" si="6"/>
        <v>281960</v>
      </c>
      <c r="E99" s="89">
        <f t="shared" si="8"/>
        <v>259122</v>
      </c>
      <c r="F99" s="468">
        <f t="shared" si="11"/>
        <v>91.90026954177898</v>
      </c>
      <c r="G99" s="88">
        <f>700000-230000-128040-60000</f>
        <v>281960</v>
      </c>
      <c r="H99" s="89">
        <v>259122</v>
      </c>
      <c r="I99" s="224">
        <f t="shared" si="10"/>
        <v>91.90026954177898</v>
      </c>
      <c r="J99" s="126"/>
      <c r="K99" s="127"/>
      <c r="L99" s="224"/>
      <c r="M99" s="89"/>
      <c r="N99" s="89"/>
      <c r="O99" s="368"/>
      <c r="P99" s="88"/>
      <c r="Q99" s="89"/>
      <c r="R99" s="362"/>
    </row>
    <row r="100" spans="1:18" ht="14.25" customHeight="1">
      <c r="A100" s="124">
        <v>4300</v>
      </c>
      <c r="B100" s="128" t="s">
        <v>510</v>
      </c>
      <c r="C100" s="88">
        <v>45000</v>
      </c>
      <c r="D100" s="74">
        <f t="shared" si="6"/>
        <v>45000</v>
      </c>
      <c r="E100" s="89">
        <f t="shared" si="8"/>
        <v>15193</v>
      </c>
      <c r="F100" s="468">
        <f t="shared" si="11"/>
        <v>33.76222222222222</v>
      </c>
      <c r="G100" s="88">
        <v>45000</v>
      </c>
      <c r="H100" s="89">
        <v>15193</v>
      </c>
      <c r="I100" s="224">
        <f t="shared" si="10"/>
        <v>33.76222222222222</v>
      </c>
      <c r="J100" s="126"/>
      <c r="K100" s="127"/>
      <c r="L100" s="224"/>
      <c r="M100" s="89"/>
      <c r="N100" s="89"/>
      <c r="O100" s="368"/>
      <c r="P100" s="88"/>
      <c r="Q100" s="89"/>
      <c r="R100" s="362"/>
    </row>
    <row r="101" spans="1:18" ht="36">
      <c r="A101" s="124">
        <v>4390</v>
      </c>
      <c r="B101" s="128" t="s">
        <v>268</v>
      </c>
      <c r="C101" s="88">
        <v>25000</v>
      </c>
      <c r="D101" s="74">
        <f t="shared" si="6"/>
        <v>25000</v>
      </c>
      <c r="E101" s="89">
        <f t="shared" si="8"/>
        <v>0</v>
      </c>
      <c r="F101" s="468">
        <f t="shared" si="11"/>
        <v>0</v>
      </c>
      <c r="G101" s="88">
        <v>25000</v>
      </c>
      <c r="H101" s="89"/>
      <c r="I101" s="224">
        <f t="shared" si="10"/>
        <v>0</v>
      </c>
      <c r="J101" s="126"/>
      <c r="K101" s="127"/>
      <c r="L101" s="224"/>
      <c r="M101" s="89"/>
      <c r="N101" s="89"/>
      <c r="O101" s="368"/>
      <c r="P101" s="88"/>
      <c r="Q101" s="89"/>
      <c r="R101" s="362"/>
    </row>
    <row r="102" spans="1:18" ht="12.75">
      <c r="A102" s="124">
        <v>4580</v>
      </c>
      <c r="B102" s="128" t="s">
        <v>549</v>
      </c>
      <c r="C102" s="88"/>
      <c r="D102" s="74">
        <f>G102+J102+P102+M102</f>
        <v>55000</v>
      </c>
      <c r="E102" s="89">
        <f>SUM(H102+K102+N102+Q102)</f>
        <v>55000</v>
      </c>
      <c r="F102" s="468">
        <f>E102/D102*100</f>
        <v>100</v>
      </c>
      <c r="G102" s="88">
        <v>55000</v>
      </c>
      <c r="H102" s="89">
        <v>55000</v>
      </c>
      <c r="I102" s="442">
        <f t="shared" si="10"/>
        <v>100</v>
      </c>
      <c r="J102" s="126"/>
      <c r="K102" s="127"/>
      <c r="L102" s="224"/>
      <c r="M102" s="89"/>
      <c r="N102" s="89"/>
      <c r="O102" s="368"/>
      <c r="P102" s="88"/>
      <c r="Q102" s="89"/>
      <c r="R102" s="362"/>
    </row>
    <row r="103" spans="1:18" ht="36">
      <c r="A103" s="124">
        <v>4610</v>
      </c>
      <c r="B103" s="291" t="s">
        <v>573</v>
      </c>
      <c r="C103" s="88"/>
      <c r="D103" s="74">
        <f t="shared" si="6"/>
        <v>13040</v>
      </c>
      <c r="E103" s="89">
        <f t="shared" si="8"/>
        <v>13040</v>
      </c>
      <c r="F103" s="468">
        <f t="shared" si="11"/>
        <v>100</v>
      </c>
      <c r="G103" s="88">
        <v>13040</v>
      </c>
      <c r="H103" s="89">
        <v>13040</v>
      </c>
      <c r="I103" s="442">
        <f t="shared" si="10"/>
        <v>100</v>
      </c>
      <c r="J103" s="126"/>
      <c r="K103" s="127"/>
      <c r="L103" s="224"/>
      <c r="M103" s="89"/>
      <c r="N103" s="89"/>
      <c r="O103" s="368"/>
      <c r="P103" s="88"/>
      <c r="Q103" s="89"/>
      <c r="R103" s="368"/>
    </row>
    <row r="104" spans="1:18" ht="24">
      <c r="A104" s="124">
        <v>6050</v>
      </c>
      <c r="B104" s="291" t="s">
        <v>574</v>
      </c>
      <c r="C104" s="88">
        <f>SUM(C105:C125)</f>
        <v>16270000</v>
      </c>
      <c r="D104" s="74">
        <f t="shared" si="6"/>
        <v>17061947</v>
      </c>
      <c r="E104" s="89">
        <f>SUM(H104+K104+N104+Q104)</f>
        <v>6422707</v>
      </c>
      <c r="F104" s="468">
        <f>E104/D104*100</f>
        <v>37.64345886199271</v>
      </c>
      <c r="G104" s="154">
        <f>SUM(G105:G125)</f>
        <v>17061947</v>
      </c>
      <c r="H104" s="89">
        <f>SUM(H105:H125)</f>
        <v>6422707</v>
      </c>
      <c r="I104" s="224">
        <f t="shared" si="10"/>
        <v>37.64345886199271</v>
      </c>
      <c r="J104" s="126"/>
      <c r="K104" s="127"/>
      <c r="L104" s="224"/>
      <c r="M104" s="89"/>
      <c r="N104" s="89"/>
      <c r="O104" s="368"/>
      <c r="P104" s="88"/>
      <c r="Q104" s="89"/>
      <c r="R104" s="362"/>
    </row>
    <row r="105" spans="1:18" s="11" customFormat="1" ht="12.75">
      <c r="A105" s="164"/>
      <c r="B105" s="165" t="s">
        <v>379</v>
      </c>
      <c r="C105" s="166">
        <v>50000</v>
      </c>
      <c r="D105" s="167">
        <f t="shared" si="6"/>
        <v>50000</v>
      </c>
      <c r="E105" s="167">
        <f t="shared" si="8"/>
        <v>13898</v>
      </c>
      <c r="F105" s="468">
        <f t="shared" si="11"/>
        <v>27.796</v>
      </c>
      <c r="G105" s="166">
        <v>50000</v>
      </c>
      <c r="H105" s="167">
        <v>13898</v>
      </c>
      <c r="I105" s="224">
        <f t="shared" si="10"/>
        <v>27.796</v>
      </c>
      <c r="J105" s="168"/>
      <c r="K105" s="508"/>
      <c r="L105" s="224"/>
      <c r="M105" s="167"/>
      <c r="N105" s="167"/>
      <c r="O105" s="391"/>
      <c r="P105" s="166"/>
      <c r="Q105" s="167"/>
      <c r="R105" s="369"/>
    </row>
    <row r="106" spans="1:18" s="11" customFormat="1" ht="24">
      <c r="A106" s="164"/>
      <c r="B106" s="165" t="s">
        <v>269</v>
      </c>
      <c r="C106" s="166">
        <v>1000000</v>
      </c>
      <c r="D106" s="167">
        <f t="shared" si="6"/>
        <v>1206500</v>
      </c>
      <c r="E106" s="167">
        <f t="shared" si="8"/>
        <v>874371</v>
      </c>
      <c r="F106" s="468">
        <f t="shared" si="11"/>
        <v>72.47169498549523</v>
      </c>
      <c r="G106" s="166">
        <f>1000000+60500+20000+75000+51000</f>
        <v>1206500</v>
      </c>
      <c r="H106" s="167">
        <f>187+245011+1+148171+2348+418315+1+60337</f>
        <v>874371</v>
      </c>
      <c r="I106" s="224">
        <f t="shared" si="10"/>
        <v>72.47169498549523</v>
      </c>
      <c r="J106" s="168"/>
      <c r="K106" s="508"/>
      <c r="L106" s="224"/>
      <c r="M106" s="167"/>
      <c r="N106" s="167"/>
      <c r="O106" s="391"/>
      <c r="P106" s="166"/>
      <c r="Q106" s="167"/>
      <c r="R106" s="369"/>
    </row>
    <row r="107" spans="1:18" s="11" customFormat="1" ht="36">
      <c r="A107" s="164"/>
      <c r="B107" s="165" t="s">
        <v>380</v>
      </c>
      <c r="C107" s="166">
        <v>50000</v>
      </c>
      <c r="D107" s="167">
        <f t="shared" si="6"/>
        <v>39000</v>
      </c>
      <c r="E107" s="167">
        <f t="shared" si="8"/>
        <v>0</v>
      </c>
      <c r="F107" s="468">
        <f t="shared" si="11"/>
        <v>0</v>
      </c>
      <c r="G107" s="166">
        <f>50000-11000</f>
        <v>39000</v>
      </c>
      <c r="H107" s="167"/>
      <c r="I107" s="224">
        <f t="shared" si="10"/>
        <v>0</v>
      </c>
      <c r="J107" s="168"/>
      <c r="K107" s="508"/>
      <c r="L107" s="224"/>
      <c r="M107" s="167"/>
      <c r="N107" s="167"/>
      <c r="O107" s="391"/>
      <c r="P107" s="166"/>
      <c r="Q107" s="167"/>
      <c r="R107" s="369"/>
    </row>
    <row r="108" spans="1:18" s="11" customFormat="1" ht="11.25" customHeight="1">
      <c r="A108" s="164"/>
      <c r="B108" s="165" t="s">
        <v>270</v>
      </c>
      <c r="C108" s="166">
        <v>1100000</v>
      </c>
      <c r="D108" s="167">
        <f t="shared" si="6"/>
        <v>1500000</v>
      </c>
      <c r="E108" s="167">
        <f t="shared" si="8"/>
        <v>214495</v>
      </c>
      <c r="F108" s="468">
        <f t="shared" si="11"/>
        <v>14.299666666666667</v>
      </c>
      <c r="G108" s="166">
        <f>1100000+400000</f>
        <v>1500000</v>
      </c>
      <c r="H108" s="167">
        <f>1342+213153</f>
        <v>214495</v>
      </c>
      <c r="I108" s="224">
        <f t="shared" si="10"/>
        <v>14.299666666666667</v>
      </c>
      <c r="J108" s="168"/>
      <c r="K108" s="508"/>
      <c r="L108" s="224"/>
      <c r="M108" s="167"/>
      <c r="N108" s="167"/>
      <c r="O108" s="391"/>
      <c r="P108" s="166"/>
      <c r="Q108" s="167"/>
      <c r="R108" s="369"/>
    </row>
    <row r="109" spans="1:18" s="11" customFormat="1" ht="36">
      <c r="A109" s="164"/>
      <c r="B109" s="165" t="s">
        <v>279</v>
      </c>
      <c r="C109" s="166">
        <v>50000</v>
      </c>
      <c r="D109" s="167">
        <f t="shared" si="6"/>
        <v>10000</v>
      </c>
      <c r="E109" s="167">
        <f>SUM(H109+K109+N109+Q109)</f>
        <v>0</v>
      </c>
      <c r="F109" s="468">
        <f>E109/D109*100</f>
        <v>0</v>
      </c>
      <c r="G109" s="166">
        <f>50000-40000</f>
        <v>10000</v>
      </c>
      <c r="H109" s="167"/>
      <c r="I109" s="391">
        <f t="shared" si="10"/>
        <v>0</v>
      </c>
      <c r="J109" s="168"/>
      <c r="K109" s="508"/>
      <c r="L109" s="224"/>
      <c r="M109" s="167"/>
      <c r="N109" s="167"/>
      <c r="O109" s="391"/>
      <c r="P109" s="166"/>
      <c r="Q109" s="167"/>
      <c r="R109" s="369"/>
    </row>
    <row r="110" spans="1:18" s="11" customFormat="1" ht="12.75">
      <c r="A110" s="164"/>
      <c r="B110" s="165" t="s">
        <v>271</v>
      </c>
      <c r="C110" s="166">
        <v>50000</v>
      </c>
      <c r="D110" s="167">
        <f t="shared" si="6"/>
        <v>50000</v>
      </c>
      <c r="E110" s="167">
        <f t="shared" si="8"/>
        <v>0</v>
      </c>
      <c r="F110" s="468">
        <f t="shared" si="11"/>
        <v>0</v>
      </c>
      <c r="G110" s="166">
        <v>50000</v>
      </c>
      <c r="H110" s="167"/>
      <c r="I110" s="391">
        <f t="shared" si="10"/>
        <v>0</v>
      </c>
      <c r="J110" s="168"/>
      <c r="K110" s="508"/>
      <c r="L110" s="224"/>
      <c r="M110" s="167"/>
      <c r="N110" s="167"/>
      <c r="O110" s="391"/>
      <c r="P110" s="166"/>
      <c r="Q110" s="167"/>
      <c r="R110" s="369"/>
    </row>
    <row r="111" spans="1:18" s="11" customFormat="1" ht="15" customHeight="1">
      <c r="A111" s="164"/>
      <c r="B111" s="165" t="s">
        <v>272</v>
      </c>
      <c r="C111" s="166">
        <v>1200000</v>
      </c>
      <c r="D111" s="167">
        <f t="shared" si="6"/>
        <v>999500</v>
      </c>
      <c r="E111" s="167">
        <f t="shared" si="8"/>
        <v>196775</v>
      </c>
      <c r="F111" s="468">
        <f>E111/D111*100</f>
        <v>19.68734367183592</v>
      </c>
      <c r="G111" s="166">
        <f>1200000-200500</f>
        <v>999500</v>
      </c>
      <c r="H111" s="167">
        <f>890+190145+1+1112+522+1987+2117+1</f>
        <v>196775</v>
      </c>
      <c r="I111" s="391">
        <f t="shared" si="10"/>
        <v>19.68734367183592</v>
      </c>
      <c r="J111" s="168"/>
      <c r="K111" s="508"/>
      <c r="L111" s="224"/>
      <c r="M111" s="167"/>
      <c r="N111" s="167"/>
      <c r="O111" s="391"/>
      <c r="P111" s="166"/>
      <c r="Q111" s="167"/>
      <c r="R111" s="369"/>
    </row>
    <row r="112" spans="1:18" s="11" customFormat="1" ht="48">
      <c r="A112" s="164"/>
      <c r="B112" s="165" t="s">
        <v>377</v>
      </c>
      <c r="C112" s="166">
        <v>2000000</v>
      </c>
      <c r="D112" s="167">
        <f t="shared" si="6"/>
        <v>2000000</v>
      </c>
      <c r="E112" s="167">
        <f>SUM(H112+K112+N112+Q112)</f>
        <v>669554</v>
      </c>
      <c r="F112" s="468">
        <f>E112/D112*100</f>
        <v>33.4777</v>
      </c>
      <c r="G112" s="166">
        <v>2000000</v>
      </c>
      <c r="H112" s="167">
        <v>669554</v>
      </c>
      <c r="I112" s="391">
        <f t="shared" si="10"/>
        <v>33.4777</v>
      </c>
      <c r="J112" s="168"/>
      <c r="K112" s="508"/>
      <c r="L112" s="224"/>
      <c r="M112" s="167"/>
      <c r="N112" s="167"/>
      <c r="O112" s="391"/>
      <c r="P112" s="166"/>
      <c r="Q112" s="167"/>
      <c r="R112" s="369"/>
    </row>
    <row r="113" spans="1:18" s="11" customFormat="1" ht="12.75">
      <c r="A113" s="164"/>
      <c r="B113" s="165" t="s">
        <v>378</v>
      </c>
      <c r="C113" s="166">
        <v>1500000</v>
      </c>
      <c r="D113" s="167">
        <f t="shared" si="6"/>
        <v>1500000</v>
      </c>
      <c r="E113" s="167">
        <f t="shared" si="8"/>
        <v>135541</v>
      </c>
      <c r="F113" s="468">
        <f aca="true" t="shared" si="12" ref="F113:F171">E113/D113*100</f>
        <v>9.036066666666667</v>
      </c>
      <c r="G113" s="166">
        <v>1500000</v>
      </c>
      <c r="H113" s="167">
        <v>135541</v>
      </c>
      <c r="I113" s="391">
        <f t="shared" si="10"/>
        <v>9.036066666666667</v>
      </c>
      <c r="J113" s="168"/>
      <c r="K113" s="508"/>
      <c r="L113" s="224"/>
      <c r="M113" s="167"/>
      <c r="N113" s="167"/>
      <c r="O113" s="391"/>
      <c r="P113" s="166"/>
      <c r="Q113" s="167"/>
      <c r="R113" s="369"/>
    </row>
    <row r="114" spans="1:18" s="11" customFormat="1" ht="24">
      <c r="A114" s="164"/>
      <c r="B114" s="165" t="s">
        <v>273</v>
      </c>
      <c r="C114" s="166">
        <v>50000</v>
      </c>
      <c r="D114" s="167">
        <f t="shared" si="6"/>
        <v>50000</v>
      </c>
      <c r="E114" s="167">
        <f t="shared" si="8"/>
        <v>0</v>
      </c>
      <c r="F114" s="468">
        <f t="shared" si="12"/>
        <v>0</v>
      </c>
      <c r="G114" s="166">
        <v>50000</v>
      </c>
      <c r="H114" s="167"/>
      <c r="I114" s="391">
        <f t="shared" si="10"/>
        <v>0</v>
      </c>
      <c r="J114" s="168"/>
      <c r="K114" s="508"/>
      <c r="L114" s="224"/>
      <c r="M114" s="167"/>
      <c r="N114" s="167"/>
      <c r="O114" s="391"/>
      <c r="P114" s="166"/>
      <c r="Q114" s="167"/>
      <c r="R114" s="369"/>
    </row>
    <row r="115" spans="1:18" s="11" customFormat="1" ht="48">
      <c r="A115" s="164"/>
      <c r="B115" s="169" t="s">
        <v>275</v>
      </c>
      <c r="C115" s="166">
        <v>10000</v>
      </c>
      <c r="D115" s="167">
        <f t="shared" si="6"/>
        <v>10000</v>
      </c>
      <c r="E115" s="167">
        <f t="shared" si="8"/>
        <v>0</v>
      </c>
      <c r="F115" s="468">
        <f t="shared" si="12"/>
        <v>0</v>
      </c>
      <c r="G115" s="166">
        <v>10000</v>
      </c>
      <c r="H115" s="167"/>
      <c r="I115" s="391">
        <f t="shared" si="10"/>
        <v>0</v>
      </c>
      <c r="J115" s="168"/>
      <c r="K115" s="508"/>
      <c r="L115" s="224"/>
      <c r="M115" s="167"/>
      <c r="N115" s="167"/>
      <c r="O115" s="391"/>
      <c r="P115" s="166"/>
      <c r="Q115" s="167"/>
      <c r="R115" s="369"/>
    </row>
    <row r="116" spans="1:18" s="11" customFormat="1" ht="17.25" customHeight="1">
      <c r="A116" s="164"/>
      <c r="B116" s="169" t="s">
        <v>274</v>
      </c>
      <c r="C116" s="166">
        <v>100000</v>
      </c>
      <c r="D116" s="167">
        <f t="shared" si="6"/>
        <v>100000</v>
      </c>
      <c r="E116" s="167">
        <f t="shared" si="8"/>
        <v>800</v>
      </c>
      <c r="F116" s="468">
        <f t="shared" si="12"/>
        <v>0.8</v>
      </c>
      <c r="G116" s="166">
        <v>100000</v>
      </c>
      <c r="H116" s="167">
        <v>800</v>
      </c>
      <c r="I116" s="391">
        <f t="shared" si="10"/>
        <v>0.8</v>
      </c>
      <c r="J116" s="168"/>
      <c r="K116" s="508"/>
      <c r="L116" s="224"/>
      <c r="M116" s="167"/>
      <c r="N116" s="167"/>
      <c r="O116" s="391"/>
      <c r="P116" s="166"/>
      <c r="Q116" s="167"/>
      <c r="R116" s="369"/>
    </row>
    <row r="117" spans="1:18" s="11" customFormat="1" ht="48">
      <c r="A117" s="164"/>
      <c r="B117" s="169" t="s">
        <v>276</v>
      </c>
      <c r="C117" s="166">
        <v>7500000</v>
      </c>
      <c r="D117" s="167">
        <f aca="true" t="shared" si="13" ref="D117:D185">G117+J117+P117+M117</f>
        <v>7750000</v>
      </c>
      <c r="E117" s="167">
        <f t="shared" si="8"/>
        <v>3272496</v>
      </c>
      <c r="F117" s="468">
        <f t="shared" si="12"/>
        <v>42.225754838709676</v>
      </c>
      <c r="G117" s="166">
        <f>7500000+200000+650000-600000</f>
        <v>7750000</v>
      </c>
      <c r="H117" s="167">
        <f>200080+346814+1+548898+5281+556562+489090+379671+1+746098</f>
        <v>3272496</v>
      </c>
      <c r="I117" s="391">
        <f t="shared" si="10"/>
        <v>42.225754838709676</v>
      </c>
      <c r="J117" s="168"/>
      <c r="K117" s="508"/>
      <c r="L117" s="224"/>
      <c r="M117" s="167"/>
      <c r="N117" s="167"/>
      <c r="O117" s="391"/>
      <c r="P117" s="166"/>
      <c r="Q117" s="167"/>
      <c r="R117" s="369"/>
    </row>
    <row r="118" spans="1:18" s="11" customFormat="1" ht="12.75">
      <c r="A118" s="443"/>
      <c r="B118" s="546" t="s">
        <v>277</v>
      </c>
      <c r="C118" s="445">
        <v>600000</v>
      </c>
      <c r="D118" s="446">
        <f t="shared" si="13"/>
        <v>505000</v>
      </c>
      <c r="E118" s="446">
        <f t="shared" si="8"/>
        <v>357948</v>
      </c>
      <c r="F118" s="469">
        <f t="shared" si="12"/>
        <v>70.88079207920792</v>
      </c>
      <c r="G118" s="445">
        <f>600000-20000-75000</f>
        <v>505000</v>
      </c>
      <c r="H118" s="446">
        <f>133880+177219+1+46848</f>
        <v>357948</v>
      </c>
      <c r="I118" s="415">
        <f t="shared" si="10"/>
        <v>70.88079207920792</v>
      </c>
      <c r="J118" s="447"/>
      <c r="K118" s="547"/>
      <c r="L118" s="274"/>
      <c r="M118" s="446"/>
      <c r="N118" s="446"/>
      <c r="O118" s="415"/>
      <c r="P118" s="445"/>
      <c r="Q118" s="446"/>
      <c r="R118" s="431"/>
    </row>
    <row r="119" spans="1:18" s="11" customFormat="1" ht="24">
      <c r="A119" s="164"/>
      <c r="B119" s="169" t="s">
        <v>381</v>
      </c>
      <c r="C119" s="166">
        <v>10000</v>
      </c>
      <c r="D119" s="167">
        <f t="shared" si="13"/>
        <v>10000</v>
      </c>
      <c r="E119" s="167">
        <f t="shared" si="8"/>
        <v>0</v>
      </c>
      <c r="F119" s="468">
        <f t="shared" si="12"/>
        <v>0</v>
      </c>
      <c r="G119" s="166">
        <v>10000</v>
      </c>
      <c r="H119" s="167"/>
      <c r="I119" s="391">
        <f t="shared" si="10"/>
        <v>0</v>
      </c>
      <c r="J119" s="168"/>
      <c r="K119" s="508"/>
      <c r="L119" s="224"/>
      <c r="M119" s="167"/>
      <c r="N119" s="167"/>
      <c r="O119" s="391"/>
      <c r="P119" s="166"/>
      <c r="Q119" s="167"/>
      <c r="R119" s="369"/>
    </row>
    <row r="120" spans="1:18" s="11" customFormat="1" ht="24">
      <c r="A120" s="164"/>
      <c r="B120" s="169" t="s">
        <v>278</v>
      </c>
      <c r="C120" s="166">
        <v>750000</v>
      </c>
      <c r="D120" s="167">
        <f t="shared" si="13"/>
        <v>750000</v>
      </c>
      <c r="E120" s="167">
        <f t="shared" si="8"/>
        <v>659032</v>
      </c>
      <c r="F120" s="468">
        <f t="shared" si="12"/>
        <v>87.87093333333334</v>
      </c>
      <c r="G120" s="166">
        <v>750000</v>
      </c>
      <c r="H120" s="167">
        <f>158600+241685+82+231096+27569</f>
        <v>659032</v>
      </c>
      <c r="I120" s="391">
        <f t="shared" si="10"/>
        <v>87.87093333333334</v>
      </c>
      <c r="J120" s="168"/>
      <c r="K120" s="508"/>
      <c r="L120" s="224"/>
      <c r="M120" s="167"/>
      <c r="N120" s="167"/>
      <c r="O120" s="391"/>
      <c r="P120" s="166"/>
      <c r="Q120" s="167"/>
      <c r="R120" s="369"/>
    </row>
    <row r="121" spans="1:18" s="11" customFormat="1" ht="12.75">
      <c r="A121" s="164"/>
      <c r="B121" s="233" t="s">
        <v>402</v>
      </c>
      <c r="C121" s="166"/>
      <c r="D121" s="167">
        <f>G121+J121+P121+M121</f>
        <v>1947</v>
      </c>
      <c r="E121" s="167">
        <f>SUM(H121+K121+N121+Q121)</f>
        <v>1946</v>
      </c>
      <c r="F121" s="468">
        <f>E121/D121*100</f>
        <v>99.94863893168979</v>
      </c>
      <c r="G121" s="166">
        <v>1947</v>
      </c>
      <c r="H121" s="167">
        <v>1946</v>
      </c>
      <c r="I121" s="391">
        <f t="shared" si="10"/>
        <v>99.94863893168979</v>
      </c>
      <c r="J121" s="168"/>
      <c r="K121" s="508"/>
      <c r="L121" s="224"/>
      <c r="M121" s="167"/>
      <c r="N121" s="167"/>
      <c r="O121" s="391"/>
      <c r="P121" s="166"/>
      <c r="Q121" s="167"/>
      <c r="R121" s="369"/>
    </row>
    <row r="122" spans="1:18" s="11" customFormat="1" ht="24">
      <c r="A122" s="164"/>
      <c r="B122" s="233" t="s">
        <v>382</v>
      </c>
      <c r="C122" s="166">
        <v>50000</v>
      </c>
      <c r="D122" s="167">
        <f>G122+J122+P122+M122</f>
        <v>50000</v>
      </c>
      <c r="E122" s="167">
        <f>SUM(H122+K122+N122+Q122)</f>
        <v>0</v>
      </c>
      <c r="F122" s="468">
        <f>E122/D122*100</f>
        <v>0</v>
      </c>
      <c r="G122" s="166">
        <v>50000</v>
      </c>
      <c r="H122" s="167"/>
      <c r="I122" s="391">
        <f t="shared" si="10"/>
        <v>0</v>
      </c>
      <c r="J122" s="168"/>
      <c r="K122" s="508"/>
      <c r="L122" s="224"/>
      <c r="M122" s="167"/>
      <c r="N122" s="167"/>
      <c r="O122" s="391"/>
      <c r="P122" s="166"/>
      <c r="Q122" s="167"/>
      <c r="R122" s="369"/>
    </row>
    <row r="123" spans="1:18" s="11" customFormat="1" ht="12.75">
      <c r="A123" s="164"/>
      <c r="B123" s="536" t="s">
        <v>411</v>
      </c>
      <c r="C123" s="166"/>
      <c r="D123" s="167">
        <f>G123+J123+P123+M123</f>
        <v>150000</v>
      </c>
      <c r="E123" s="167">
        <f>SUM(H123+K123+N123+Q123)</f>
        <v>0</v>
      </c>
      <c r="F123" s="468">
        <f>E123/D123*100</f>
        <v>0</v>
      </c>
      <c r="G123" s="166">
        <v>150000</v>
      </c>
      <c r="H123" s="167"/>
      <c r="I123" s="391">
        <f t="shared" si="10"/>
        <v>0</v>
      </c>
      <c r="J123" s="168"/>
      <c r="K123" s="508"/>
      <c r="L123" s="224"/>
      <c r="M123" s="167"/>
      <c r="N123" s="167"/>
      <c r="O123" s="391"/>
      <c r="P123" s="166"/>
      <c r="Q123" s="167"/>
      <c r="R123" s="369"/>
    </row>
    <row r="124" spans="1:18" s="11" customFormat="1" ht="36">
      <c r="A124" s="164"/>
      <c r="B124" s="536" t="s">
        <v>407</v>
      </c>
      <c r="C124" s="166"/>
      <c r="D124" s="167">
        <f>G124+J124+P124+M124</f>
        <v>230000</v>
      </c>
      <c r="E124" s="167">
        <f>SUM(H124+K124+N124+Q124)</f>
        <v>0</v>
      </c>
      <c r="F124" s="468">
        <f>E124/D124*100</f>
        <v>0</v>
      </c>
      <c r="G124" s="166">
        <v>230000</v>
      </c>
      <c r="H124" s="167"/>
      <c r="I124" s="391">
        <f t="shared" si="10"/>
        <v>0</v>
      </c>
      <c r="J124" s="168"/>
      <c r="K124" s="508"/>
      <c r="L124" s="224"/>
      <c r="M124" s="167"/>
      <c r="N124" s="167"/>
      <c r="O124" s="391"/>
      <c r="P124" s="166"/>
      <c r="Q124" s="167"/>
      <c r="R124" s="369"/>
    </row>
    <row r="125" spans="1:18" s="11" customFormat="1" ht="12.75">
      <c r="A125" s="164"/>
      <c r="B125" s="169" t="s">
        <v>383</v>
      </c>
      <c r="C125" s="166">
        <v>200000</v>
      </c>
      <c r="D125" s="167">
        <f t="shared" si="13"/>
        <v>100000</v>
      </c>
      <c r="E125" s="167">
        <f>SUM(H125+K125+N125+Q125)</f>
        <v>25851</v>
      </c>
      <c r="F125" s="468">
        <f>E125/D125*100</f>
        <v>25.851000000000003</v>
      </c>
      <c r="G125" s="166">
        <f>200000-100000</f>
        <v>100000</v>
      </c>
      <c r="H125" s="167">
        <v>25851</v>
      </c>
      <c r="I125" s="391">
        <f t="shared" si="10"/>
        <v>25.851000000000003</v>
      </c>
      <c r="J125" s="168"/>
      <c r="K125" s="508"/>
      <c r="L125" s="224"/>
      <c r="M125" s="167"/>
      <c r="N125" s="167"/>
      <c r="O125" s="391"/>
      <c r="P125" s="166"/>
      <c r="Q125" s="167"/>
      <c r="R125" s="369"/>
    </row>
    <row r="126" spans="1:18" s="143" customFormat="1" ht="14.25" customHeight="1">
      <c r="A126" s="150">
        <v>60017</v>
      </c>
      <c r="B126" s="170" t="s">
        <v>538</v>
      </c>
      <c r="C126" s="94">
        <f>SUM(C127:C131)</f>
        <v>1850200</v>
      </c>
      <c r="D126" s="95">
        <f t="shared" si="13"/>
        <v>2209800</v>
      </c>
      <c r="E126" s="84">
        <f>H126+K126+Q126+N126</f>
        <v>755609</v>
      </c>
      <c r="F126" s="467">
        <f t="shared" si="12"/>
        <v>34.193546927323744</v>
      </c>
      <c r="G126" s="94">
        <f>SUM(G127:G131)</f>
        <v>2209800</v>
      </c>
      <c r="H126" s="95">
        <f>SUM(H127:H131)</f>
        <v>755609</v>
      </c>
      <c r="I126" s="316">
        <f t="shared" si="10"/>
        <v>34.193546927323744</v>
      </c>
      <c r="J126" s="171"/>
      <c r="K126" s="83"/>
      <c r="L126" s="271"/>
      <c r="M126" s="95"/>
      <c r="N126" s="95"/>
      <c r="O126" s="402"/>
      <c r="P126" s="94"/>
      <c r="Q126" s="95"/>
      <c r="R126" s="370"/>
    </row>
    <row r="127" spans="1:18" s="12" customFormat="1" ht="14.25" customHeight="1">
      <c r="A127" s="172">
        <v>4270</v>
      </c>
      <c r="B127" s="173" t="s">
        <v>508</v>
      </c>
      <c r="C127" s="174">
        <f>490000+328200</f>
        <v>818200</v>
      </c>
      <c r="D127" s="74">
        <f t="shared" si="13"/>
        <v>1101100</v>
      </c>
      <c r="E127" s="89">
        <f aca="true" t="shared" si="14" ref="E127:E133">SUM(H127+K127+N127+Q127)</f>
        <v>172581</v>
      </c>
      <c r="F127" s="468">
        <f t="shared" si="12"/>
        <v>15.673508309871947</v>
      </c>
      <c r="G127" s="174">
        <f>490000+328200+32300+54600+80000+116000</f>
        <v>1101100</v>
      </c>
      <c r="H127" s="74">
        <v>172581</v>
      </c>
      <c r="I127" s="224">
        <f t="shared" si="10"/>
        <v>15.673508309871947</v>
      </c>
      <c r="J127" s="175"/>
      <c r="K127" s="75"/>
      <c r="L127" s="224"/>
      <c r="M127" s="74"/>
      <c r="N127" s="74"/>
      <c r="O127" s="368"/>
      <c r="P127" s="174"/>
      <c r="Q127" s="74"/>
      <c r="R127" s="362"/>
    </row>
    <row r="128" spans="1:18" s="12" customFormat="1" ht="15.75" customHeight="1">
      <c r="A128" s="172">
        <v>4300</v>
      </c>
      <c r="B128" s="173" t="s">
        <v>510</v>
      </c>
      <c r="C128" s="174">
        <v>5000</v>
      </c>
      <c r="D128" s="74">
        <f t="shared" si="13"/>
        <v>5000</v>
      </c>
      <c r="E128" s="89">
        <f t="shared" si="14"/>
        <v>2700</v>
      </c>
      <c r="F128" s="468">
        <f t="shared" si="12"/>
        <v>54</v>
      </c>
      <c r="G128" s="174">
        <v>5000</v>
      </c>
      <c r="H128" s="74">
        <v>2700</v>
      </c>
      <c r="I128" s="224">
        <f t="shared" si="10"/>
        <v>54</v>
      </c>
      <c r="J128" s="175"/>
      <c r="K128" s="75"/>
      <c r="L128" s="224"/>
      <c r="M128" s="74"/>
      <c r="N128" s="74"/>
      <c r="O128" s="368"/>
      <c r="P128" s="174"/>
      <c r="Q128" s="74"/>
      <c r="R128" s="362"/>
    </row>
    <row r="129" spans="1:18" s="12" customFormat="1" ht="36">
      <c r="A129" s="124">
        <v>4390</v>
      </c>
      <c r="B129" s="128" t="s">
        <v>268</v>
      </c>
      <c r="C129" s="174">
        <v>5000</v>
      </c>
      <c r="D129" s="74">
        <f>G129+J129+P129+M129</f>
        <v>5000</v>
      </c>
      <c r="E129" s="89">
        <f>SUM(H129+K129+N129+Q129)</f>
        <v>0</v>
      </c>
      <c r="F129" s="468">
        <f>E129/D129*100</f>
        <v>0</v>
      </c>
      <c r="G129" s="174">
        <v>5000</v>
      </c>
      <c r="H129" s="74"/>
      <c r="I129" s="224">
        <f t="shared" si="10"/>
        <v>0</v>
      </c>
      <c r="J129" s="175"/>
      <c r="K129" s="75"/>
      <c r="L129" s="224"/>
      <c r="M129" s="74"/>
      <c r="N129" s="74"/>
      <c r="O129" s="368"/>
      <c r="P129" s="174"/>
      <c r="Q129" s="74"/>
      <c r="R129" s="362"/>
    </row>
    <row r="130" spans="1:18" s="12" customFormat="1" ht="14.25" customHeight="1">
      <c r="A130" s="172">
        <v>4430</v>
      </c>
      <c r="B130" s="173" t="s">
        <v>512</v>
      </c>
      <c r="C130" s="174">
        <v>2000</v>
      </c>
      <c r="D130" s="74">
        <f t="shared" si="13"/>
        <v>2000</v>
      </c>
      <c r="E130" s="89">
        <f t="shared" si="14"/>
        <v>0</v>
      </c>
      <c r="F130" s="468">
        <f t="shared" si="12"/>
        <v>0</v>
      </c>
      <c r="G130" s="174">
        <v>2000</v>
      </c>
      <c r="H130" s="74"/>
      <c r="I130" s="224">
        <f t="shared" si="10"/>
        <v>0</v>
      </c>
      <c r="J130" s="175"/>
      <c r="K130" s="75"/>
      <c r="L130" s="224"/>
      <c r="M130" s="74"/>
      <c r="N130" s="74"/>
      <c r="O130" s="368"/>
      <c r="P130" s="174"/>
      <c r="Q130" s="74"/>
      <c r="R130" s="362"/>
    </row>
    <row r="131" spans="1:18" s="12" customFormat="1" ht="24">
      <c r="A131" s="158">
        <v>6050</v>
      </c>
      <c r="B131" s="159" t="s">
        <v>537</v>
      </c>
      <c r="C131" s="176">
        <f>770000+250000</f>
        <v>1020000</v>
      </c>
      <c r="D131" s="161">
        <f t="shared" si="13"/>
        <v>1096700</v>
      </c>
      <c r="E131" s="155">
        <f t="shared" si="14"/>
        <v>580328</v>
      </c>
      <c r="F131" s="469">
        <f t="shared" si="12"/>
        <v>52.915838424364004</v>
      </c>
      <c r="G131" s="176">
        <f>770000+250000+140000-100000+100000-70000+6700</f>
        <v>1096700</v>
      </c>
      <c r="H131" s="161">
        <v>580328</v>
      </c>
      <c r="I131" s="274">
        <f t="shared" si="10"/>
        <v>52.915838424364004</v>
      </c>
      <c r="J131" s="177"/>
      <c r="K131" s="509"/>
      <c r="L131" s="274"/>
      <c r="M131" s="161"/>
      <c r="N131" s="161"/>
      <c r="O131" s="387"/>
      <c r="P131" s="176"/>
      <c r="Q131" s="161"/>
      <c r="R131" s="366"/>
    </row>
    <row r="132" spans="1:18" s="143" customFormat="1" ht="24">
      <c r="A132" s="201">
        <v>60053</v>
      </c>
      <c r="B132" s="202" t="s">
        <v>237</v>
      </c>
      <c r="C132" s="203">
        <f>C133</f>
        <v>400000</v>
      </c>
      <c r="D132" s="122">
        <f t="shared" si="13"/>
        <v>400000</v>
      </c>
      <c r="E132" s="122">
        <f t="shared" si="14"/>
        <v>0</v>
      </c>
      <c r="F132" s="521">
        <f t="shared" si="12"/>
        <v>0</v>
      </c>
      <c r="G132" s="203">
        <f>G133</f>
        <v>400000</v>
      </c>
      <c r="H132" s="122">
        <f>H133</f>
        <v>0</v>
      </c>
      <c r="I132" s="274">
        <f t="shared" si="10"/>
        <v>0</v>
      </c>
      <c r="J132" s="204"/>
      <c r="K132" s="510"/>
      <c r="L132" s="297"/>
      <c r="M132" s="122"/>
      <c r="N132" s="122"/>
      <c r="O132" s="389"/>
      <c r="P132" s="203"/>
      <c r="Q132" s="122"/>
      <c r="R132" s="371"/>
    </row>
    <row r="133" spans="1:18" s="12" customFormat="1" ht="24">
      <c r="A133" s="158">
        <v>6050</v>
      </c>
      <c r="B133" s="159" t="s">
        <v>537</v>
      </c>
      <c r="C133" s="176">
        <v>400000</v>
      </c>
      <c r="D133" s="161">
        <f t="shared" si="13"/>
        <v>400000</v>
      </c>
      <c r="E133" s="155">
        <f t="shared" si="14"/>
        <v>0</v>
      </c>
      <c r="F133" s="469">
        <f t="shared" si="12"/>
        <v>0</v>
      </c>
      <c r="G133" s="176">
        <v>400000</v>
      </c>
      <c r="H133" s="161"/>
      <c r="I133" s="274">
        <f t="shared" si="10"/>
        <v>0</v>
      </c>
      <c r="J133" s="177"/>
      <c r="K133" s="509"/>
      <c r="L133" s="274"/>
      <c r="M133" s="161"/>
      <c r="N133" s="161"/>
      <c r="O133" s="387"/>
      <c r="P133" s="176"/>
      <c r="Q133" s="161"/>
      <c r="R133" s="366"/>
    </row>
    <row r="134" spans="1:18" ht="12.75">
      <c r="A134" s="119">
        <v>60095</v>
      </c>
      <c r="B134" s="178" t="s">
        <v>529</v>
      </c>
      <c r="C134" s="121">
        <f>C136+C135</f>
        <v>2529280</v>
      </c>
      <c r="D134" s="95">
        <f t="shared" si="13"/>
        <v>2527280</v>
      </c>
      <c r="E134" s="84">
        <f>H134+K134+Q134+N134</f>
        <v>1243761</v>
      </c>
      <c r="F134" s="467">
        <f t="shared" si="12"/>
        <v>49.21342312683992</v>
      </c>
      <c r="G134" s="281">
        <f>SUM(G135:G136)</f>
        <v>2527280</v>
      </c>
      <c r="H134" s="84">
        <f>SUM(H135:H136)</f>
        <v>1243761</v>
      </c>
      <c r="I134" s="316">
        <f t="shared" si="10"/>
        <v>49.21342312683992</v>
      </c>
      <c r="J134" s="123"/>
      <c r="K134" s="84"/>
      <c r="L134" s="417"/>
      <c r="M134" s="84"/>
      <c r="N134" s="84"/>
      <c r="O134" s="381"/>
      <c r="P134" s="121"/>
      <c r="Q134" s="84"/>
      <c r="R134" s="372"/>
    </row>
    <row r="135" spans="1:18" s="12" customFormat="1" ht="72">
      <c r="A135" s="172">
        <v>4300</v>
      </c>
      <c r="B135" s="173" t="s">
        <v>433</v>
      </c>
      <c r="C135" s="174">
        <v>100000</v>
      </c>
      <c r="D135" s="74">
        <f t="shared" si="13"/>
        <v>0</v>
      </c>
      <c r="E135" s="74">
        <f>H135+K135+Q135+N135</f>
        <v>0</v>
      </c>
      <c r="F135" s="468"/>
      <c r="G135" s="102">
        <f>100000-100000</f>
        <v>0</v>
      </c>
      <c r="H135" s="103"/>
      <c r="I135" s="224"/>
      <c r="J135" s="175"/>
      <c r="K135" s="74"/>
      <c r="L135" s="391"/>
      <c r="M135" s="74"/>
      <c r="N135" s="74"/>
      <c r="O135" s="368"/>
      <c r="P135" s="174"/>
      <c r="Q135" s="74"/>
      <c r="R135" s="362"/>
    </row>
    <row r="136" spans="1:18" s="118" customFormat="1" ht="12.75">
      <c r="A136" s="179"/>
      <c r="B136" s="180" t="s">
        <v>539</v>
      </c>
      <c r="C136" s="181">
        <f>SUM(C137:C165)</f>
        <v>2429280</v>
      </c>
      <c r="D136" s="139">
        <f t="shared" si="13"/>
        <v>2527280</v>
      </c>
      <c r="E136" s="182">
        <f>H136+K136+Q136+N136</f>
        <v>1243761</v>
      </c>
      <c r="F136" s="468">
        <f t="shared" si="12"/>
        <v>49.21342312683992</v>
      </c>
      <c r="G136" s="181">
        <f>SUM(G137:G165)</f>
        <v>2527280</v>
      </c>
      <c r="H136" s="182">
        <f>SUM(H137:H165)</f>
        <v>1243761</v>
      </c>
      <c r="I136" s="224">
        <f t="shared" si="10"/>
        <v>49.21342312683992</v>
      </c>
      <c r="J136" s="183"/>
      <c r="K136" s="182"/>
      <c r="L136" s="403"/>
      <c r="M136" s="182"/>
      <c r="N136" s="182"/>
      <c r="O136" s="368"/>
      <c r="P136" s="181"/>
      <c r="Q136" s="182"/>
      <c r="R136" s="362"/>
    </row>
    <row r="137" spans="1:18" ht="36">
      <c r="A137" s="124">
        <v>3020</v>
      </c>
      <c r="B137" s="128" t="s">
        <v>562</v>
      </c>
      <c r="C137" s="88">
        <v>4000</v>
      </c>
      <c r="D137" s="74">
        <f t="shared" si="13"/>
        <v>4000</v>
      </c>
      <c r="E137" s="89">
        <f>SUM(H137+K137+N137+Q137)</f>
        <v>1536</v>
      </c>
      <c r="F137" s="468">
        <f t="shared" si="12"/>
        <v>38.4</v>
      </c>
      <c r="G137" s="88">
        <v>4000</v>
      </c>
      <c r="H137" s="89">
        <v>1536</v>
      </c>
      <c r="I137" s="224">
        <f t="shared" si="10"/>
        <v>38.4</v>
      </c>
      <c r="J137" s="126"/>
      <c r="K137" s="89"/>
      <c r="L137" s="391"/>
      <c r="M137" s="89"/>
      <c r="N137" s="89"/>
      <c r="O137" s="368"/>
      <c r="P137" s="88"/>
      <c r="Q137" s="89"/>
      <c r="R137" s="362"/>
    </row>
    <row r="138" spans="1:18" ht="24">
      <c r="A138" s="124">
        <v>4010</v>
      </c>
      <c r="B138" s="128" t="s">
        <v>492</v>
      </c>
      <c r="C138" s="88">
        <v>1275700</v>
      </c>
      <c r="D138" s="74">
        <f t="shared" si="13"/>
        <v>1275700</v>
      </c>
      <c r="E138" s="89">
        <f>SUM(H138+K138+N138+Q138)</f>
        <v>608679</v>
      </c>
      <c r="F138" s="468">
        <f t="shared" si="12"/>
        <v>47.713333855922244</v>
      </c>
      <c r="G138" s="88">
        <v>1275700</v>
      </c>
      <c r="H138" s="89">
        <v>608679</v>
      </c>
      <c r="I138" s="224">
        <f t="shared" si="10"/>
        <v>47.713333855922244</v>
      </c>
      <c r="J138" s="126"/>
      <c r="K138" s="89"/>
      <c r="L138" s="391"/>
      <c r="M138" s="89"/>
      <c r="N138" s="89"/>
      <c r="O138" s="368"/>
      <c r="P138" s="88"/>
      <c r="Q138" s="89"/>
      <c r="R138" s="362"/>
    </row>
    <row r="139" spans="1:18" ht="24">
      <c r="A139" s="184">
        <v>4040</v>
      </c>
      <c r="B139" s="128" t="s">
        <v>541</v>
      </c>
      <c r="C139" s="88">
        <v>99000</v>
      </c>
      <c r="D139" s="74">
        <f t="shared" si="13"/>
        <v>99000</v>
      </c>
      <c r="E139" s="89">
        <f>SUM(H139+K139+N139+Q139)</f>
        <v>86191</v>
      </c>
      <c r="F139" s="468">
        <f t="shared" si="12"/>
        <v>87.06161616161616</v>
      </c>
      <c r="G139" s="88">
        <v>99000</v>
      </c>
      <c r="H139" s="89">
        <f>86192-1</f>
        <v>86191</v>
      </c>
      <c r="I139" s="224">
        <f t="shared" si="10"/>
        <v>87.06161616161616</v>
      </c>
      <c r="J139" s="126"/>
      <c r="K139" s="89"/>
      <c r="L139" s="391"/>
      <c r="M139" s="89"/>
      <c r="N139" s="89"/>
      <c r="O139" s="368"/>
      <c r="P139" s="88"/>
      <c r="Q139" s="89"/>
      <c r="R139" s="362"/>
    </row>
    <row r="140" spans="1:18" ht="24">
      <c r="A140" s="124">
        <v>4110</v>
      </c>
      <c r="B140" s="128" t="s">
        <v>542</v>
      </c>
      <c r="C140" s="88">
        <v>208600</v>
      </c>
      <c r="D140" s="74">
        <f t="shared" si="13"/>
        <v>208600</v>
      </c>
      <c r="E140" s="89">
        <f aca="true" t="shared" si="15" ref="E140:E165">SUM(H140+K140+N140+Q140)</f>
        <v>102546</v>
      </c>
      <c r="F140" s="468">
        <f t="shared" si="12"/>
        <v>49.15915627996165</v>
      </c>
      <c r="G140" s="88">
        <v>208600</v>
      </c>
      <c r="H140" s="89">
        <v>102546</v>
      </c>
      <c r="I140" s="224">
        <f t="shared" si="10"/>
        <v>49.15915627996165</v>
      </c>
      <c r="J140" s="126"/>
      <c r="K140" s="89"/>
      <c r="L140" s="391"/>
      <c r="M140" s="89"/>
      <c r="N140" s="89"/>
      <c r="O140" s="368"/>
      <c r="P140" s="88"/>
      <c r="Q140" s="89"/>
      <c r="R140" s="362"/>
    </row>
    <row r="141" spans="1:18" ht="12.75">
      <c r="A141" s="158">
        <v>4120</v>
      </c>
      <c r="B141" s="159" t="s">
        <v>543</v>
      </c>
      <c r="C141" s="160">
        <v>33000</v>
      </c>
      <c r="D141" s="161">
        <f t="shared" si="13"/>
        <v>33000</v>
      </c>
      <c r="E141" s="155">
        <f t="shared" si="15"/>
        <v>16638</v>
      </c>
      <c r="F141" s="469">
        <f t="shared" si="12"/>
        <v>50.418181818181814</v>
      </c>
      <c r="G141" s="160">
        <v>33000</v>
      </c>
      <c r="H141" s="155">
        <v>16638</v>
      </c>
      <c r="I141" s="274">
        <f t="shared" si="10"/>
        <v>50.418181818181814</v>
      </c>
      <c r="J141" s="162"/>
      <c r="K141" s="155"/>
      <c r="L141" s="415"/>
      <c r="M141" s="155"/>
      <c r="N141" s="155"/>
      <c r="O141" s="387"/>
      <c r="P141" s="160"/>
      <c r="Q141" s="155"/>
      <c r="R141" s="366"/>
    </row>
    <row r="142" spans="1:18" ht="12.75">
      <c r="A142" s="108">
        <v>4140</v>
      </c>
      <c r="B142" s="199" t="s">
        <v>544</v>
      </c>
      <c r="C142" s="90">
        <v>25300</v>
      </c>
      <c r="D142" s="103">
        <f t="shared" si="13"/>
        <v>25300</v>
      </c>
      <c r="E142" s="104">
        <f t="shared" si="15"/>
        <v>6923</v>
      </c>
      <c r="F142" s="470">
        <f t="shared" si="12"/>
        <v>27.363636363636363</v>
      </c>
      <c r="G142" s="90">
        <v>25300</v>
      </c>
      <c r="H142" s="104">
        <v>6923</v>
      </c>
      <c r="I142" s="304">
        <f t="shared" si="10"/>
        <v>27.363636363636363</v>
      </c>
      <c r="J142" s="200"/>
      <c r="K142" s="104"/>
      <c r="L142" s="414"/>
      <c r="M142" s="104"/>
      <c r="N142" s="104"/>
      <c r="O142" s="388"/>
      <c r="P142" s="90"/>
      <c r="Q142" s="104"/>
      <c r="R142" s="365"/>
    </row>
    <row r="143" spans="1:18" ht="24">
      <c r="A143" s="124">
        <v>4170</v>
      </c>
      <c r="B143" s="128" t="s">
        <v>536</v>
      </c>
      <c r="C143" s="88">
        <v>7000</v>
      </c>
      <c r="D143" s="74">
        <f t="shared" si="13"/>
        <v>7000</v>
      </c>
      <c r="E143" s="89">
        <f t="shared" si="15"/>
        <v>228</v>
      </c>
      <c r="F143" s="468">
        <f t="shared" si="12"/>
        <v>3.257142857142857</v>
      </c>
      <c r="G143" s="88">
        <v>7000</v>
      </c>
      <c r="H143" s="89">
        <v>228</v>
      </c>
      <c r="I143" s="224">
        <f t="shared" si="10"/>
        <v>3.257142857142857</v>
      </c>
      <c r="J143" s="126"/>
      <c r="K143" s="89"/>
      <c r="L143" s="391"/>
      <c r="M143" s="89"/>
      <c r="N143" s="89"/>
      <c r="O143" s="368"/>
      <c r="P143" s="88"/>
      <c r="Q143" s="89"/>
      <c r="R143" s="362"/>
    </row>
    <row r="144" spans="1:18" ht="24">
      <c r="A144" s="124">
        <v>4210</v>
      </c>
      <c r="B144" s="125" t="s">
        <v>502</v>
      </c>
      <c r="C144" s="88">
        <v>85680</v>
      </c>
      <c r="D144" s="74">
        <f t="shared" si="13"/>
        <v>82980</v>
      </c>
      <c r="E144" s="89">
        <f t="shared" si="15"/>
        <v>36412</v>
      </c>
      <c r="F144" s="468">
        <f t="shared" si="12"/>
        <v>43.880453121234034</v>
      </c>
      <c r="G144" s="88">
        <f>85680-2700</f>
        <v>82980</v>
      </c>
      <c r="H144" s="89">
        <v>36412</v>
      </c>
      <c r="I144" s="224">
        <f t="shared" si="10"/>
        <v>43.880453121234034</v>
      </c>
      <c r="J144" s="126"/>
      <c r="K144" s="89"/>
      <c r="L144" s="391"/>
      <c r="M144" s="89"/>
      <c r="N144" s="89"/>
      <c r="O144" s="368"/>
      <c r="P144" s="88"/>
      <c r="Q144" s="89"/>
      <c r="R144" s="362"/>
    </row>
    <row r="145" spans="1:18" ht="12.75">
      <c r="A145" s="124">
        <v>4260</v>
      </c>
      <c r="B145" s="125" t="s">
        <v>506</v>
      </c>
      <c r="C145" s="88">
        <v>40000</v>
      </c>
      <c r="D145" s="74">
        <f t="shared" si="13"/>
        <v>40000</v>
      </c>
      <c r="E145" s="89">
        <f t="shared" si="15"/>
        <v>23229</v>
      </c>
      <c r="F145" s="468">
        <f t="shared" si="12"/>
        <v>58.072500000000005</v>
      </c>
      <c r="G145" s="88">
        <v>40000</v>
      </c>
      <c r="H145" s="89">
        <v>23229</v>
      </c>
      <c r="I145" s="224">
        <f t="shared" si="10"/>
        <v>58.072500000000005</v>
      </c>
      <c r="J145" s="126"/>
      <c r="K145" s="89"/>
      <c r="L145" s="391"/>
      <c r="M145" s="89"/>
      <c r="N145" s="89"/>
      <c r="O145" s="368"/>
      <c r="P145" s="88"/>
      <c r="Q145" s="89"/>
      <c r="R145" s="362"/>
    </row>
    <row r="146" spans="1:18" ht="24">
      <c r="A146" s="124">
        <v>4270</v>
      </c>
      <c r="B146" s="128" t="s">
        <v>508</v>
      </c>
      <c r="C146" s="88">
        <v>38000</v>
      </c>
      <c r="D146" s="74">
        <f t="shared" si="13"/>
        <v>38000</v>
      </c>
      <c r="E146" s="89">
        <f t="shared" si="15"/>
        <v>8564</v>
      </c>
      <c r="F146" s="468">
        <f t="shared" si="12"/>
        <v>22.53684210526316</v>
      </c>
      <c r="G146" s="88">
        <v>38000</v>
      </c>
      <c r="H146" s="89">
        <v>8564</v>
      </c>
      <c r="I146" s="224">
        <f t="shared" si="10"/>
        <v>22.53684210526316</v>
      </c>
      <c r="J146" s="126"/>
      <c r="K146" s="89"/>
      <c r="L146" s="391"/>
      <c r="M146" s="89"/>
      <c r="N146" s="89"/>
      <c r="O146" s="368"/>
      <c r="P146" s="88"/>
      <c r="Q146" s="89"/>
      <c r="R146" s="362"/>
    </row>
    <row r="147" spans="1:18" ht="24">
      <c r="A147" s="124">
        <v>4280</v>
      </c>
      <c r="B147" s="128" t="s">
        <v>545</v>
      </c>
      <c r="C147" s="88">
        <v>1500</v>
      </c>
      <c r="D147" s="74">
        <f t="shared" si="13"/>
        <v>1500</v>
      </c>
      <c r="E147" s="89">
        <f t="shared" si="15"/>
        <v>339</v>
      </c>
      <c r="F147" s="468">
        <f t="shared" si="12"/>
        <v>22.6</v>
      </c>
      <c r="G147" s="88">
        <v>1500</v>
      </c>
      <c r="H147" s="89">
        <v>339</v>
      </c>
      <c r="I147" s="224">
        <f t="shared" si="10"/>
        <v>22.6</v>
      </c>
      <c r="J147" s="126"/>
      <c r="K147" s="89"/>
      <c r="L147" s="391"/>
      <c r="M147" s="89"/>
      <c r="N147" s="89"/>
      <c r="O147" s="368"/>
      <c r="P147" s="88"/>
      <c r="Q147" s="89"/>
      <c r="R147" s="362"/>
    </row>
    <row r="148" spans="1:18" ht="24">
      <c r="A148" s="124">
        <v>4300</v>
      </c>
      <c r="B148" s="128" t="s">
        <v>546</v>
      </c>
      <c r="C148" s="88">
        <v>340000</v>
      </c>
      <c r="D148" s="74">
        <f t="shared" si="13"/>
        <v>438000</v>
      </c>
      <c r="E148" s="89">
        <f t="shared" si="15"/>
        <v>190789</v>
      </c>
      <c r="F148" s="468">
        <f t="shared" si="12"/>
        <v>43.55913242009132</v>
      </c>
      <c r="G148" s="88">
        <f>340000+38000+60000</f>
        <v>438000</v>
      </c>
      <c r="H148" s="89">
        <v>190789</v>
      </c>
      <c r="I148" s="224">
        <f t="shared" si="10"/>
        <v>43.55913242009132</v>
      </c>
      <c r="J148" s="126"/>
      <c r="K148" s="89"/>
      <c r="L148" s="391"/>
      <c r="M148" s="89"/>
      <c r="N148" s="89"/>
      <c r="O148" s="368"/>
      <c r="P148" s="88"/>
      <c r="Q148" s="89"/>
      <c r="R148" s="362"/>
    </row>
    <row r="149" spans="1:18" ht="24">
      <c r="A149" s="124">
        <v>4350</v>
      </c>
      <c r="B149" s="128" t="s">
        <v>48</v>
      </c>
      <c r="C149" s="88">
        <v>5500</v>
      </c>
      <c r="D149" s="74">
        <f t="shared" si="13"/>
        <v>5500</v>
      </c>
      <c r="E149" s="89">
        <f t="shared" si="15"/>
        <v>2847</v>
      </c>
      <c r="F149" s="468">
        <f t="shared" si="12"/>
        <v>51.763636363636365</v>
      </c>
      <c r="G149" s="88">
        <v>5500</v>
      </c>
      <c r="H149" s="89">
        <v>2847</v>
      </c>
      <c r="I149" s="224">
        <f t="shared" si="10"/>
        <v>51.763636363636365</v>
      </c>
      <c r="J149" s="126"/>
      <c r="K149" s="89"/>
      <c r="L149" s="391"/>
      <c r="M149" s="89"/>
      <c r="N149" s="89"/>
      <c r="O149" s="368"/>
      <c r="P149" s="88"/>
      <c r="Q149" s="89"/>
      <c r="R149" s="362"/>
    </row>
    <row r="150" spans="1:18" ht="48">
      <c r="A150" s="172">
        <v>4360</v>
      </c>
      <c r="B150" s="337" t="s">
        <v>287</v>
      </c>
      <c r="C150" s="88">
        <v>18000</v>
      </c>
      <c r="D150" s="74">
        <f t="shared" si="13"/>
        <v>18000</v>
      </c>
      <c r="E150" s="89">
        <f>SUM(H150+K150+N150+Q150)</f>
        <v>9999</v>
      </c>
      <c r="F150" s="468">
        <f>E150/D150*100</f>
        <v>55.55</v>
      </c>
      <c r="G150" s="88">
        <v>18000</v>
      </c>
      <c r="H150" s="89">
        <v>9999</v>
      </c>
      <c r="I150" s="224">
        <f t="shared" si="10"/>
        <v>55.55</v>
      </c>
      <c r="J150" s="126"/>
      <c r="K150" s="89"/>
      <c r="L150" s="391"/>
      <c r="M150" s="89"/>
      <c r="N150" s="89"/>
      <c r="O150" s="368"/>
      <c r="P150" s="88"/>
      <c r="Q150" s="89"/>
      <c r="R150" s="362"/>
    </row>
    <row r="151" spans="1:18" ht="48">
      <c r="A151" s="172">
        <v>4370</v>
      </c>
      <c r="B151" s="337" t="s">
        <v>288</v>
      </c>
      <c r="C151" s="88">
        <v>16000</v>
      </c>
      <c r="D151" s="74">
        <f t="shared" si="13"/>
        <v>16000</v>
      </c>
      <c r="E151" s="89">
        <f>SUM(H151+K151+N151+Q151)</f>
        <v>7099</v>
      </c>
      <c r="F151" s="468">
        <f>E151/D151*100</f>
        <v>44.36875</v>
      </c>
      <c r="G151" s="88">
        <v>16000</v>
      </c>
      <c r="H151" s="89">
        <v>7099</v>
      </c>
      <c r="I151" s="224">
        <f t="shared" si="10"/>
        <v>44.36875</v>
      </c>
      <c r="J151" s="126"/>
      <c r="K151" s="89"/>
      <c r="L151" s="391"/>
      <c r="M151" s="89"/>
      <c r="N151" s="89"/>
      <c r="O151" s="368"/>
      <c r="P151" s="88"/>
      <c r="Q151" s="89"/>
      <c r="R151" s="362"/>
    </row>
    <row r="152" spans="1:18" ht="36">
      <c r="A152" s="124">
        <v>4390</v>
      </c>
      <c r="B152" s="128" t="s">
        <v>268</v>
      </c>
      <c r="C152" s="88">
        <v>1000</v>
      </c>
      <c r="D152" s="74">
        <f t="shared" si="13"/>
        <v>1000</v>
      </c>
      <c r="E152" s="89">
        <f>SUM(H152+K152+N152+Q152)</f>
        <v>37</v>
      </c>
      <c r="F152" s="468">
        <f>E152/D152*100</f>
        <v>3.6999999999999997</v>
      </c>
      <c r="G152" s="88">
        <v>1000</v>
      </c>
      <c r="H152" s="89">
        <v>37</v>
      </c>
      <c r="I152" s="224">
        <f t="shared" si="10"/>
        <v>3.6999999999999997</v>
      </c>
      <c r="J152" s="126"/>
      <c r="K152" s="89"/>
      <c r="L152" s="391"/>
      <c r="M152" s="89"/>
      <c r="N152" s="89"/>
      <c r="O152" s="368"/>
      <c r="P152" s="88"/>
      <c r="Q152" s="89"/>
      <c r="R152" s="362"/>
    </row>
    <row r="153" spans="1:18" ht="24">
      <c r="A153" s="172">
        <v>4400</v>
      </c>
      <c r="B153" s="337" t="s">
        <v>289</v>
      </c>
      <c r="C153" s="88">
        <v>52000</v>
      </c>
      <c r="D153" s="74">
        <f t="shared" si="13"/>
        <v>52000</v>
      </c>
      <c r="E153" s="89">
        <f>SUM(H153+K153+N153+Q153)</f>
        <v>24944</v>
      </c>
      <c r="F153" s="468">
        <f>E153/D153*100</f>
        <v>47.96923076923077</v>
      </c>
      <c r="G153" s="88">
        <v>52000</v>
      </c>
      <c r="H153" s="89">
        <v>24944</v>
      </c>
      <c r="I153" s="224">
        <f t="shared" si="10"/>
        <v>47.96923076923077</v>
      </c>
      <c r="J153" s="126"/>
      <c r="K153" s="89"/>
      <c r="L153" s="391"/>
      <c r="M153" s="89"/>
      <c r="N153" s="89"/>
      <c r="O153" s="368"/>
      <c r="P153" s="88"/>
      <c r="Q153" s="89"/>
      <c r="R153" s="362"/>
    </row>
    <row r="154" spans="1:18" ht="24">
      <c r="A154" s="124">
        <v>4410</v>
      </c>
      <c r="B154" s="128" t="s">
        <v>484</v>
      </c>
      <c r="C154" s="88">
        <v>16000</v>
      </c>
      <c r="D154" s="74">
        <f t="shared" si="13"/>
        <v>13000</v>
      </c>
      <c r="E154" s="89">
        <f t="shared" si="15"/>
        <v>5960</v>
      </c>
      <c r="F154" s="468">
        <f t="shared" si="12"/>
        <v>45.84615384615385</v>
      </c>
      <c r="G154" s="88">
        <f>16000-3000</f>
        <v>13000</v>
      </c>
      <c r="H154" s="89">
        <v>5960</v>
      </c>
      <c r="I154" s="224">
        <f t="shared" si="10"/>
        <v>45.84615384615385</v>
      </c>
      <c r="J154" s="126"/>
      <c r="K154" s="89"/>
      <c r="L154" s="391"/>
      <c r="M154" s="89"/>
      <c r="N154" s="89"/>
      <c r="O154" s="368"/>
      <c r="P154" s="88"/>
      <c r="Q154" s="89"/>
      <c r="R154" s="362"/>
    </row>
    <row r="155" spans="1:18" ht="24">
      <c r="A155" s="124">
        <v>4420</v>
      </c>
      <c r="B155" s="128" t="s">
        <v>547</v>
      </c>
      <c r="C155" s="88">
        <v>1000</v>
      </c>
      <c r="D155" s="74">
        <f t="shared" si="13"/>
        <v>1000</v>
      </c>
      <c r="E155" s="89">
        <f>SUM(H155+K155+N155+Q155)</f>
        <v>0</v>
      </c>
      <c r="F155" s="468">
        <f>E155/D155*100</f>
        <v>0</v>
      </c>
      <c r="G155" s="88">
        <v>1000</v>
      </c>
      <c r="H155" s="89"/>
      <c r="I155" s="224">
        <f t="shared" si="10"/>
        <v>0</v>
      </c>
      <c r="J155" s="126"/>
      <c r="K155" s="89"/>
      <c r="L155" s="391"/>
      <c r="M155" s="89"/>
      <c r="N155" s="89"/>
      <c r="O155" s="368"/>
      <c r="P155" s="88"/>
      <c r="Q155" s="89"/>
      <c r="R155" s="362"/>
    </row>
    <row r="156" spans="1:18" ht="12.75">
      <c r="A156" s="124">
        <v>4430</v>
      </c>
      <c r="B156" s="128" t="s">
        <v>512</v>
      </c>
      <c r="C156" s="88">
        <v>18000</v>
      </c>
      <c r="D156" s="74">
        <f t="shared" si="13"/>
        <v>18000</v>
      </c>
      <c r="E156" s="89">
        <f t="shared" si="15"/>
        <v>9786</v>
      </c>
      <c r="F156" s="468">
        <f t="shared" si="12"/>
        <v>54.36666666666666</v>
      </c>
      <c r="G156" s="88">
        <v>18000</v>
      </c>
      <c r="H156" s="89">
        <v>9786</v>
      </c>
      <c r="I156" s="224">
        <f t="shared" si="10"/>
        <v>54.36666666666666</v>
      </c>
      <c r="J156" s="126"/>
      <c r="K156" s="89"/>
      <c r="L156" s="391"/>
      <c r="M156" s="89"/>
      <c r="N156" s="89"/>
      <c r="O156" s="368"/>
      <c r="P156" s="88"/>
      <c r="Q156" s="89"/>
      <c r="R156" s="362"/>
    </row>
    <row r="157" spans="1:18" ht="12.75">
      <c r="A157" s="124">
        <v>4440</v>
      </c>
      <c r="B157" s="128" t="s">
        <v>514</v>
      </c>
      <c r="C157" s="88">
        <v>29000</v>
      </c>
      <c r="D157" s="74">
        <f t="shared" si="13"/>
        <v>29000</v>
      </c>
      <c r="E157" s="89">
        <f t="shared" si="15"/>
        <v>29000</v>
      </c>
      <c r="F157" s="468">
        <f t="shared" si="12"/>
        <v>100</v>
      </c>
      <c r="G157" s="88">
        <v>29000</v>
      </c>
      <c r="H157" s="89">
        <v>29000</v>
      </c>
      <c r="I157" s="442">
        <f t="shared" si="10"/>
        <v>100</v>
      </c>
      <c r="J157" s="126"/>
      <c r="K157" s="89"/>
      <c r="L157" s="391"/>
      <c r="M157" s="89"/>
      <c r="N157" s="89"/>
      <c r="O157" s="368"/>
      <c r="P157" s="88"/>
      <c r="Q157" s="89"/>
      <c r="R157" s="362"/>
    </row>
    <row r="158" spans="1:18" ht="24">
      <c r="A158" s="124">
        <v>4480</v>
      </c>
      <c r="B158" s="128" t="s">
        <v>548</v>
      </c>
      <c r="C158" s="88">
        <v>5000</v>
      </c>
      <c r="D158" s="74">
        <f t="shared" si="13"/>
        <v>5000</v>
      </c>
      <c r="E158" s="89">
        <f t="shared" si="15"/>
        <v>2168</v>
      </c>
      <c r="F158" s="468">
        <f t="shared" si="12"/>
        <v>43.36</v>
      </c>
      <c r="G158" s="88">
        <v>5000</v>
      </c>
      <c r="H158" s="89">
        <v>2168</v>
      </c>
      <c r="I158" s="224">
        <f t="shared" si="10"/>
        <v>43.36</v>
      </c>
      <c r="J158" s="126"/>
      <c r="K158" s="89"/>
      <c r="L158" s="391"/>
      <c r="M158" s="89"/>
      <c r="N158" s="89"/>
      <c r="O158" s="368"/>
      <c r="P158" s="88"/>
      <c r="Q158" s="89"/>
      <c r="R158" s="362"/>
    </row>
    <row r="159" spans="1:18" ht="36">
      <c r="A159" s="172">
        <v>4700</v>
      </c>
      <c r="B159" s="337" t="s">
        <v>285</v>
      </c>
      <c r="C159" s="88">
        <v>22000</v>
      </c>
      <c r="D159" s="74">
        <f t="shared" si="13"/>
        <v>17000</v>
      </c>
      <c r="E159" s="89">
        <f t="shared" si="15"/>
        <v>7225</v>
      </c>
      <c r="F159" s="468">
        <f t="shared" si="12"/>
        <v>42.5</v>
      </c>
      <c r="G159" s="88">
        <f>22000-5000</f>
        <v>17000</v>
      </c>
      <c r="H159" s="89">
        <v>7225</v>
      </c>
      <c r="I159" s="224">
        <f t="shared" si="10"/>
        <v>42.5</v>
      </c>
      <c r="J159" s="126"/>
      <c r="K159" s="89"/>
      <c r="L159" s="391"/>
      <c r="M159" s="89"/>
      <c r="N159" s="89"/>
      <c r="O159" s="368"/>
      <c r="P159" s="88"/>
      <c r="Q159" s="89"/>
      <c r="R159" s="362"/>
    </row>
    <row r="160" spans="1:18" ht="60">
      <c r="A160" s="197">
        <v>4740</v>
      </c>
      <c r="B160" s="198" t="s">
        <v>290</v>
      </c>
      <c r="C160" s="160">
        <v>6000</v>
      </c>
      <c r="D160" s="161">
        <f t="shared" si="13"/>
        <v>5000</v>
      </c>
      <c r="E160" s="155">
        <f t="shared" si="15"/>
        <v>1574</v>
      </c>
      <c r="F160" s="469">
        <f t="shared" si="12"/>
        <v>31.480000000000004</v>
      </c>
      <c r="G160" s="160">
        <f>6000-1000</f>
        <v>5000</v>
      </c>
      <c r="H160" s="155">
        <v>1574</v>
      </c>
      <c r="I160" s="274">
        <f aca="true" t="shared" si="16" ref="I160:I223">H160/G160*100</f>
        <v>31.480000000000004</v>
      </c>
      <c r="J160" s="162"/>
      <c r="K160" s="155"/>
      <c r="L160" s="415"/>
      <c r="M160" s="155"/>
      <c r="N160" s="155"/>
      <c r="O160" s="387"/>
      <c r="P160" s="160"/>
      <c r="Q160" s="155"/>
      <c r="R160" s="366"/>
    </row>
    <row r="161" spans="1:18" ht="36">
      <c r="A161" s="194">
        <v>4750</v>
      </c>
      <c r="B161" s="306" t="s">
        <v>291</v>
      </c>
      <c r="C161" s="90">
        <v>13000</v>
      </c>
      <c r="D161" s="103">
        <f t="shared" si="13"/>
        <v>22000</v>
      </c>
      <c r="E161" s="104">
        <f t="shared" si="15"/>
        <v>15911</v>
      </c>
      <c r="F161" s="470">
        <f t="shared" si="12"/>
        <v>72.32272727272728</v>
      </c>
      <c r="G161" s="90">
        <f>13000+9000</f>
        <v>22000</v>
      </c>
      <c r="H161" s="104">
        <v>15911</v>
      </c>
      <c r="I161" s="304">
        <f t="shared" si="16"/>
        <v>72.32272727272728</v>
      </c>
      <c r="J161" s="200"/>
      <c r="K161" s="104"/>
      <c r="L161" s="414"/>
      <c r="M161" s="104"/>
      <c r="N161" s="104"/>
      <c r="O161" s="388"/>
      <c r="P161" s="90"/>
      <c r="Q161" s="104"/>
      <c r="R161" s="365"/>
    </row>
    <row r="162" spans="1:18" ht="35.25" customHeight="1" hidden="1">
      <c r="A162" s="124"/>
      <c r="B162" s="291"/>
      <c r="C162" s="88"/>
      <c r="D162" s="74">
        <f t="shared" si="13"/>
        <v>0</v>
      </c>
      <c r="E162" s="89">
        <f t="shared" si="15"/>
        <v>0</v>
      </c>
      <c r="F162" s="468" t="e">
        <f t="shared" si="12"/>
        <v>#DIV/0!</v>
      </c>
      <c r="G162" s="88"/>
      <c r="H162" s="89"/>
      <c r="I162" s="224" t="e">
        <f t="shared" si="16"/>
        <v>#DIV/0!</v>
      </c>
      <c r="J162" s="126"/>
      <c r="K162" s="89"/>
      <c r="L162" s="391"/>
      <c r="M162" s="89"/>
      <c r="N162" s="89"/>
      <c r="O162" s="368"/>
      <c r="P162" s="88"/>
      <c r="Q162" s="89"/>
      <c r="R162" s="362"/>
    </row>
    <row r="163" spans="1:18" ht="24">
      <c r="A163" s="124">
        <v>6050</v>
      </c>
      <c r="B163" s="291" t="s">
        <v>537</v>
      </c>
      <c r="C163" s="88">
        <v>34000</v>
      </c>
      <c r="D163" s="74">
        <f t="shared" si="13"/>
        <v>36000</v>
      </c>
      <c r="E163" s="89">
        <f t="shared" si="15"/>
        <v>13737</v>
      </c>
      <c r="F163" s="468">
        <f t="shared" si="12"/>
        <v>38.15833333333333</v>
      </c>
      <c r="G163" s="88">
        <f>34000+2000</f>
        <v>36000</v>
      </c>
      <c r="H163" s="89">
        <v>13737</v>
      </c>
      <c r="I163" s="224">
        <f t="shared" si="16"/>
        <v>38.15833333333333</v>
      </c>
      <c r="J163" s="126"/>
      <c r="K163" s="89"/>
      <c r="L163" s="391"/>
      <c r="M163" s="89"/>
      <c r="N163" s="89"/>
      <c r="O163" s="368"/>
      <c r="P163" s="88"/>
      <c r="Q163" s="89"/>
      <c r="R163" s="362"/>
    </row>
    <row r="164" spans="1:18" ht="36.75" thickBot="1">
      <c r="A164" s="124">
        <v>6060</v>
      </c>
      <c r="B164" s="128" t="s">
        <v>552</v>
      </c>
      <c r="C164" s="88">
        <v>35000</v>
      </c>
      <c r="D164" s="74">
        <f t="shared" si="13"/>
        <v>35700</v>
      </c>
      <c r="E164" s="89">
        <f t="shared" si="15"/>
        <v>31400</v>
      </c>
      <c r="F164" s="468">
        <f t="shared" si="12"/>
        <v>87.95518207282913</v>
      </c>
      <c r="G164" s="88">
        <f>35000+700</f>
        <v>35700</v>
      </c>
      <c r="H164" s="89">
        <v>31400</v>
      </c>
      <c r="I164" s="280">
        <f t="shared" si="16"/>
        <v>87.95518207282913</v>
      </c>
      <c r="J164" s="126"/>
      <c r="K164" s="89"/>
      <c r="L164" s="391"/>
      <c r="M164" s="89"/>
      <c r="N164" s="89"/>
      <c r="O164" s="368"/>
      <c r="P164" s="88"/>
      <c r="Q164" s="89"/>
      <c r="R164" s="362"/>
    </row>
    <row r="165" spans="1:18" ht="9.75" customHeight="1" hidden="1">
      <c r="A165" s="124">
        <v>6050</v>
      </c>
      <c r="B165" s="128" t="s">
        <v>553</v>
      </c>
      <c r="C165" s="88">
        <v>0</v>
      </c>
      <c r="D165" s="74">
        <f t="shared" si="13"/>
        <v>0</v>
      </c>
      <c r="E165" s="89">
        <f t="shared" si="15"/>
        <v>0</v>
      </c>
      <c r="F165" s="468">
        <v>0</v>
      </c>
      <c r="G165" s="88">
        <v>0</v>
      </c>
      <c r="H165" s="89">
        <v>0</v>
      </c>
      <c r="I165" s="280">
        <v>0</v>
      </c>
      <c r="J165" s="126"/>
      <c r="K165" s="89"/>
      <c r="L165" s="391"/>
      <c r="M165" s="89"/>
      <c r="N165" s="89"/>
      <c r="O165" s="368"/>
      <c r="P165" s="88"/>
      <c r="Q165" s="89"/>
      <c r="R165" s="362"/>
    </row>
    <row r="166" spans="1:18" s="118" customFormat="1" ht="19.5" customHeight="1" thickBot="1" thickTop="1">
      <c r="A166" s="114">
        <v>630</v>
      </c>
      <c r="B166" s="115" t="s">
        <v>554</v>
      </c>
      <c r="C166" s="116">
        <f>C167++C172</f>
        <v>163000</v>
      </c>
      <c r="D166" s="59">
        <f t="shared" si="13"/>
        <v>63000</v>
      </c>
      <c r="E166" s="107">
        <f>H166+K166+Q166+N166</f>
        <v>24549</v>
      </c>
      <c r="F166" s="496">
        <f t="shared" si="12"/>
        <v>38.96666666666667</v>
      </c>
      <c r="G166" s="116">
        <f>SUM(G167)+G172</f>
        <v>63000</v>
      </c>
      <c r="H166" s="107">
        <f>SUM(H167)+H172</f>
        <v>24549</v>
      </c>
      <c r="I166" s="416">
        <f t="shared" si="16"/>
        <v>38.96666666666667</v>
      </c>
      <c r="J166" s="117"/>
      <c r="K166" s="107"/>
      <c r="L166" s="419"/>
      <c r="M166" s="107"/>
      <c r="N166" s="107"/>
      <c r="O166" s="390"/>
      <c r="P166" s="116"/>
      <c r="Q166" s="107"/>
      <c r="R166" s="373"/>
    </row>
    <row r="167" spans="1:18" ht="34.5" customHeight="1" thickTop="1">
      <c r="A167" s="119">
        <v>63003</v>
      </c>
      <c r="B167" s="185" t="s">
        <v>555</v>
      </c>
      <c r="C167" s="121">
        <f>SUM(C168:C171)</f>
        <v>63000</v>
      </c>
      <c r="D167" s="122">
        <f t="shared" si="13"/>
        <v>63000</v>
      </c>
      <c r="E167" s="186">
        <f>H167+K167+Q167+N167</f>
        <v>24549</v>
      </c>
      <c r="F167" s="469">
        <f t="shared" si="12"/>
        <v>38.96666666666667</v>
      </c>
      <c r="G167" s="121">
        <f>SUM(G168:G171)</f>
        <v>63000</v>
      </c>
      <c r="H167" s="84">
        <f>SUM(H168:H171)</f>
        <v>24549</v>
      </c>
      <c r="I167" s="382">
        <f t="shared" si="16"/>
        <v>38.96666666666667</v>
      </c>
      <c r="J167" s="123"/>
      <c r="K167" s="84"/>
      <c r="L167" s="417"/>
      <c r="M167" s="84"/>
      <c r="N167" s="84"/>
      <c r="O167" s="381"/>
      <c r="P167" s="121"/>
      <c r="Q167" s="84"/>
      <c r="R167" s="372"/>
    </row>
    <row r="168" spans="1:18" ht="72">
      <c r="A168" s="124">
        <v>2820</v>
      </c>
      <c r="B168" s="128" t="s">
        <v>87</v>
      </c>
      <c r="C168" s="88">
        <v>7000</v>
      </c>
      <c r="D168" s="74">
        <f t="shared" si="13"/>
        <v>4000</v>
      </c>
      <c r="E168" s="89">
        <f aca="true" t="shared" si="17" ref="E168:E191">SUM(H168+K168+N168+Q168)</f>
        <v>2000</v>
      </c>
      <c r="F168" s="468">
        <f t="shared" si="12"/>
        <v>50</v>
      </c>
      <c r="G168" s="88">
        <f>7000-3000</f>
        <v>4000</v>
      </c>
      <c r="H168" s="89">
        <v>2000</v>
      </c>
      <c r="I168" s="468">
        <f t="shared" si="16"/>
        <v>50</v>
      </c>
      <c r="J168" s="89"/>
      <c r="K168" s="89"/>
      <c r="L168" s="391"/>
      <c r="M168" s="89"/>
      <c r="N168" s="89"/>
      <c r="O168" s="368"/>
      <c r="P168" s="88"/>
      <c r="Q168" s="89"/>
      <c r="R168" s="362"/>
    </row>
    <row r="169" spans="1:18" ht="60">
      <c r="A169" s="124">
        <v>2810</v>
      </c>
      <c r="B169" s="128" t="s">
        <v>404</v>
      </c>
      <c r="C169" s="88"/>
      <c r="D169" s="74">
        <f>G169+J169+P169+M169</f>
        <v>3000</v>
      </c>
      <c r="E169" s="89">
        <f>SUM(H169+K169+N169+Q169)</f>
        <v>2000</v>
      </c>
      <c r="F169" s="468">
        <f>E169/D169*100</f>
        <v>66.66666666666666</v>
      </c>
      <c r="G169" s="88">
        <v>3000</v>
      </c>
      <c r="H169" s="89">
        <v>2000</v>
      </c>
      <c r="I169" s="280">
        <f t="shared" si="16"/>
        <v>66.66666666666666</v>
      </c>
      <c r="J169" s="126"/>
      <c r="K169" s="89"/>
      <c r="L169" s="391"/>
      <c r="M169" s="89"/>
      <c r="N169" s="89"/>
      <c r="O169" s="368"/>
      <c r="P169" s="88"/>
      <c r="Q169" s="89"/>
      <c r="R169" s="362"/>
    </row>
    <row r="170" spans="1:18" ht="25.5" customHeight="1">
      <c r="A170" s="124">
        <v>4210</v>
      </c>
      <c r="B170" s="125" t="s">
        <v>326</v>
      </c>
      <c r="C170" s="88">
        <v>4000</v>
      </c>
      <c r="D170" s="74">
        <f>G170+J170+P170+M170</f>
        <v>4000</v>
      </c>
      <c r="E170" s="89">
        <f>SUM(H170+K170+N170+Q170)</f>
        <v>0</v>
      </c>
      <c r="F170" s="468">
        <f>E170/D170*100</f>
        <v>0</v>
      </c>
      <c r="G170" s="88">
        <v>4000</v>
      </c>
      <c r="H170" s="89"/>
      <c r="I170" s="280">
        <f t="shared" si="16"/>
        <v>0</v>
      </c>
      <c r="J170" s="126"/>
      <c r="K170" s="89"/>
      <c r="L170" s="391"/>
      <c r="M170" s="89"/>
      <c r="N170" s="89"/>
      <c r="O170" s="368"/>
      <c r="P170" s="88"/>
      <c r="Q170" s="89"/>
      <c r="R170" s="362"/>
    </row>
    <row r="171" spans="1:18" ht="24">
      <c r="A171" s="124">
        <v>4300</v>
      </c>
      <c r="B171" s="128" t="s">
        <v>327</v>
      </c>
      <c r="C171" s="88">
        <v>52000</v>
      </c>
      <c r="D171" s="74">
        <f t="shared" si="13"/>
        <v>52000</v>
      </c>
      <c r="E171" s="89">
        <f t="shared" si="17"/>
        <v>20549</v>
      </c>
      <c r="F171" s="468">
        <f t="shared" si="12"/>
        <v>39.51730769230769</v>
      </c>
      <c r="G171" s="88">
        <v>52000</v>
      </c>
      <c r="H171" s="89">
        <v>20549</v>
      </c>
      <c r="I171" s="280">
        <f t="shared" si="16"/>
        <v>39.51730769230769</v>
      </c>
      <c r="J171" s="126"/>
      <c r="K171" s="89"/>
      <c r="L171" s="391"/>
      <c r="M171" s="89"/>
      <c r="N171" s="89"/>
      <c r="O171" s="368"/>
      <c r="P171" s="88"/>
      <c r="Q171" s="89"/>
      <c r="R171" s="362"/>
    </row>
    <row r="172" spans="1:18" s="143" customFormat="1" ht="16.5" customHeight="1">
      <c r="A172" s="150">
        <v>63095</v>
      </c>
      <c r="B172" s="187" t="s">
        <v>529</v>
      </c>
      <c r="C172" s="94">
        <f>C173+C180+C192</f>
        <v>100000</v>
      </c>
      <c r="D172" s="95">
        <f t="shared" si="13"/>
        <v>0</v>
      </c>
      <c r="E172" s="95">
        <f t="shared" si="17"/>
        <v>0</v>
      </c>
      <c r="F172" s="476"/>
      <c r="G172" s="94">
        <f>G173+G180+G192</f>
        <v>0</v>
      </c>
      <c r="H172" s="95">
        <f>H173+H180+H192</f>
        <v>0</v>
      </c>
      <c r="I172" s="413"/>
      <c r="J172" s="171"/>
      <c r="K172" s="95"/>
      <c r="L172" s="417"/>
      <c r="M172" s="95"/>
      <c r="N172" s="95"/>
      <c r="O172" s="402"/>
      <c r="P172" s="94"/>
      <c r="Q172" s="95"/>
      <c r="R172" s="370"/>
    </row>
    <row r="173" spans="1:18" s="279" customFormat="1" ht="24" hidden="1">
      <c r="A173" s="225"/>
      <c r="B173" s="226" t="s">
        <v>202</v>
      </c>
      <c r="C173" s="227">
        <f>SUM(C174:C179)</f>
        <v>0</v>
      </c>
      <c r="D173" s="228">
        <f t="shared" si="13"/>
        <v>0</v>
      </c>
      <c r="E173" s="228">
        <f t="shared" si="17"/>
        <v>0</v>
      </c>
      <c r="F173" s="477"/>
      <c r="G173" s="227">
        <f>SUM(G174:G179)</f>
        <v>0</v>
      </c>
      <c r="H173" s="228">
        <f>SUM(H174:H179)</f>
        <v>0</v>
      </c>
      <c r="I173" s="280"/>
      <c r="J173" s="229"/>
      <c r="K173" s="228"/>
      <c r="L173" s="403"/>
      <c r="M173" s="228"/>
      <c r="N173" s="228"/>
      <c r="O173" s="403"/>
      <c r="P173" s="227"/>
      <c r="Q173" s="228"/>
      <c r="R173" s="374"/>
    </row>
    <row r="174" spans="1:18" s="12" customFormat="1" ht="16.5" customHeight="1" hidden="1">
      <c r="A174" s="172">
        <v>4308</v>
      </c>
      <c r="B174" s="206" t="s">
        <v>527</v>
      </c>
      <c r="C174" s="174"/>
      <c r="D174" s="74">
        <f t="shared" si="13"/>
        <v>0</v>
      </c>
      <c r="E174" s="74">
        <f t="shared" si="17"/>
        <v>0</v>
      </c>
      <c r="F174" s="474"/>
      <c r="G174" s="174"/>
      <c r="H174" s="74"/>
      <c r="I174" s="361"/>
      <c r="J174" s="175"/>
      <c r="K174" s="74"/>
      <c r="L174" s="391"/>
      <c r="M174" s="74"/>
      <c r="N174" s="74"/>
      <c r="O174" s="368"/>
      <c r="P174" s="174"/>
      <c r="Q174" s="74"/>
      <c r="R174" s="362"/>
    </row>
    <row r="175" spans="1:18" s="12" customFormat="1" ht="16.5" customHeight="1" hidden="1">
      <c r="A175" s="172">
        <v>4309</v>
      </c>
      <c r="B175" s="206" t="s">
        <v>527</v>
      </c>
      <c r="C175" s="174"/>
      <c r="D175" s="74">
        <f t="shared" si="13"/>
        <v>0</v>
      </c>
      <c r="E175" s="74">
        <f t="shared" si="17"/>
        <v>0</v>
      </c>
      <c r="F175" s="474"/>
      <c r="G175" s="174"/>
      <c r="H175" s="74"/>
      <c r="I175" s="361"/>
      <c r="J175" s="175"/>
      <c r="K175" s="74"/>
      <c r="L175" s="391"/>
      <c r="M175" s="74"/>
      <c r="N175" s="74"/>
      <c r="O175" s="368"/>
      <c r="P175" s="174"/>
      <c r="Q175" s="74"/>
      <c r="R175" s="362"/>
    </row>
    <row r="176" spans="1:18" s="12" customFormat="1" ht="16.5" customHeight="1" hidden="1">
      <c r="A176" s="172">
        <v>4418</v>
      </c>
      <c r="B176" s="206" t="s">
        <v>484</v>
      </c>
      <c r="C176" s="174"/>
      <c r="D176" s="74">
        <f t="shared" si="13"/>
        <v>0</v>
      </c>
      <c r="E176" s="74">
        <f t="shared" si="17"/>
        <v>0</v>
      </c>
      <c r="F176" s="474"/>
      <c r="G176" s="174"/>
      <c r="H176" s="74"/>
      <c r="I176" s="361"/>
      <c r="J176" s="175"/>
      <c r="K176" s="74"/>
      <c r="L176" s="391"/>
      <c r="M176" s="74"/>
      <c r="N176" s="74"/>
      <c r="O176" s="368"/>
      <c r="P176" s="174"/>
      <c r="Q176" s="74"/>
      <c r="R176" s="362"/>
    </row>
    <row r="177" spans="1:18" s="12" customFormat="1" ht="16.5" customHeight="1" hidden="1">
      <c r="A177" s="172">
        <v>4419</v>
      </c>
      <c r="B177" s="206" t="s">
        <v>484</v>
      </c>
      <c r="C177" s="174"/>
      <c r="D177" s="74">
        <f t="shared" si="13"/>
        <v>0</v>
      </c>
      <c r="E177" s="74">
        <f t="shared" si="17"/>
        <v>0</v>
      </c>
      <c r="F177" s="474"/>
      <c r="G177" s="174"/>
      <c r="H177" s="74"/>
      <c r="I177" s="361"/>
      <c r="J177" s="175"/>
      <c r="K177" s="74"/>
      <c r="L177" s="391"/>
      <c r="M177" s="74"/>
      <c r="N177" s="74"/>
      <c r="O177" s="368"/>
      <c r="P177" s="174"/>
      <c r="Q177" s="74"/>
      <c r="R177" s="362"/>
    </row>
    <row r="178" spans="1:18" s="12" customFormat="1" ht="24" hidden="1">
      <c r="A178" s="172">
        <v>4428</v>
      </c>
      <c r="B178" s="206" t="s">
        <v>556</v>
      </c>
      <c r="C178" s="174"/>
      <c r="D178" s="74">
        <f t="shared" si="13"/>
        <v>0</v>
      </c>
      <c r="E178" s="74">
        <f t="shared" si="17"/>
        <v>0</v>
      </c>
      <c r="F178" s="474"/>
      <c r="G178" s="174"/>
      <c r="H178" s="74"/>
      <c r="I178" s="361"/>
      <c r="J178" s="175"/>
      <c r="K178" s="74"/>
      <c r="L178" s="391"/>
      <c r="M178" s="74"/>
      <c r="N178" s="74"/>
      <c r="O178" s="368"/>
      <c r="P178" s="174"/>
      <c r="Q178" s="74"/>
      <c r="R178" s="362"/>
    </row>
    <row r="179" spans="1:18" s="12" customFormat="1" ht="24" hidden="1">
      <c r="A179" s="172">
        <v>4429</v>
      </c>
      <c r="B179" s="206" t="s">
        <v>556</v>
      </c>
      <c r="C179" s="174"/>
      <c r="D179" s="74">
        <f t="shared" si="13"/>
        <v>0</v>
      </c>
      <c r="E179" s="74">
        <f t="shared" si="17"/>
        <v>0</v>
      </c>
      <c r="F179" s="474"/>
      <c r="G179" s="174"/>
      <c r="H179" s="74"/>
      <c r="I179" s="361"/>
      <c r="J179" s="175"/>
      <c r="K179" s="74"/>
      <c r="L179" s="391"/>
      <c r="M179" s="74"/>
      <c r="N179" s="74"/>
      <c r="O179" s="368"/>
      <c r="P179" s="174"/>
      <c r="Q179" s="74"/>
      <c r="R179" s="362"/>
    </row>
    <row r="180" spans="1:18" s="279" customFormat="1" ht="48" hidden="1">
      <c r="A180" s="225"/>
      <c r="B180" s="226" t="s">
        <v>280</v>
      </c>
      <c r="C180" s="227">
        <f>SUM(C181:C191)</f>
        <v>0</v>
      </c>
      <c r="D180" s="228">
        <f t="shared" si="13"/>
        <v>0</v>
      </c>
      <c r="E180" s="228">
        <f t="shared" si="17"/>
        <v>0</v>
      </c>
      <c r="F180" s="468"/>
      <c r="G180" s="227">
        <f>SUM(G181:G191)</f>
        <v>0</v>
      </c>
      <c r="H180" s="228">
        <f>SUM(H181:H191)</f>
        <v>0</v>
      </c>
      <c r="I180" s="280"/>
      <c r="J180" s="229"/>
      <c r="K180" s="228"/>
      <c r="L180" s="403"/>
      <c r="M180" s="228"/>
      <c r="N180" s="228"/>
      <c r="O180" s="403"/>
      <c r="P180" s="227"/>
      <c r="Q180" s="228"/>
      <c r="R180" s="374"/>
    </row>
    <row r="181" spans="1:18" s="12" customFormat="1" ht="24" hidden="1">
      <c r="A181" s="172">
        <v>4110</v>
      </c>
      <c r="B181" s="128" t="s">
        <v>542</v>
      </c>
      <c r="C181" s="174"/>
      <c r="D181" s="74">
        <f t="shared" si="13"/>
        <v>0</v>
      </c>
      <c r="E181" s="74">
        <f t="shared" si="17"/>
        <v>0</v>
      </c>
      <c r="F181" s="474"/>
      <c r="G181" s="174"/>
      <c r="H181" s="74"/>
      <c r="I181" s="361"/>
      <c r="J181" s="175"/>
      <c r="K181" s="74"/>
      <c r="L181" s="391"/>
      <c r="M181" s="74"/>
      <c r="N181" s="74"/>
      <c r="O181" s="368"/>
      <c r="P181" s="174"/>
      <c r="Q181" s="74"/>
      <c r="R181" s="362"/>
    </row>
    <row r="182" spans="1:18" s="12" customFormat="1" ht="16.5" customHeight="1" hidden="1">
      <c r="A182" s="172">
        <v>4120</v>
      </c>
      <c r="B182" s="128" t="s">
        <v>543</v>
      </c>
      <c r="C182" s="174"/>
      <c r="D182" s="74">
        <f t="shared" si="13"/>
        <v>0</v>
      </c>
      <c r="E182" s="74">
        <f t="shared" si="17"/>
        <v>0</v>
      </c>
      <c r="F182" s="474"/>
      <c r="G182" s="174"/>
      <c r="H182" s="74"/>
      <c r="I182" s="361"/>
      <c r="J182" s="175"/>
      <c r="K182" s="74"/>
      <c r="L182" s="391"/>
      <c r="M182" s="74"/>
      <c r="N182" s="74"/>
      <c r="O182" s="368"/>
      <c r="P182" s="174"/>
      <c r="Q182" s="74"/>
      <c r="R182" s="362"/>
    </row>
    <row r="183" spans="1:18" s="12" customFormat="1" ht="24" hidden="1">
      <c r="A183" s="172">
        <v>4178</v>
      </c>
      <c r="B183" s="128" t="s">
        <v>536</v>
      </c>
      <c r="C183" s="174"/>
      <c r="D183" s="74">
        <f t="shared" si="13"/>
        <v>0</v>
      </c>
      <c r="E183" s="74">
        <f t="shared" si="17"/>
        <v>0</v>
      </c>
      <c r="F183" s="474"/>
      <c r="G183" s="174"/>
      <c r="H183" s="74"/>
      <c r="I183" s="361"/>
      <c r="J183" s="175"/>
      <c r="K183" s="74"/>
      <c r="L183" s="391"/>
      <c r="M183" s="74"/>
      <c r="N183" s="74"/>
      <c r="O183" s="368"/>
      <c r="P183" s="174"/>
      <c r="Q183" s="74"/>
      <c r="R183" s="362"/>
    </row>
    <row r="184" spans="1:18" s="12" customFormat="1" ht="24" hidden="1">
      <c r="A184" s="172">
        <v>4179</v>
      </c>
      <c r="B184" s="128" t="s">
        <v>536</v>
      </c>
      <c r="C184" s="174"/>
      <c r="D184" s="74">
        <f t="shared" si="13"/>
        <v>0</v>
      </c>
      <c r="E184" s="74">
        <f t="shared" si="17"/>
        <v>0</v>
      </c>
      <c r="F184" s="474"/>
      <c r="G184" s="174"/>
      <c r="H184" s="74"/>
      <c r="I184" s="361"/>
      <c r="J184" s="175"/>
      <c r="K184" s="74"/>
      <c r="L184" s="391"/>
      <c r="M184" s="74"/>
      <c r="N184" s="74"/>
      <c r="O184" s="368"/>
      <c r="P184" s="174"/>
      <c r="Q184" s="74"/>
      <c r="R184" s="362"/>
    </row>
    <row r="185" spans="1:18" s="12" customFormat="1" ht="24" hidden="1">
      <c r="A185" s="172">
        <v>4218</v>
      </c>
      <c r="B185" s="125" t="s">
        <v>502</v>
      </c>
      <c r="C185" s="174"/>
      <c r="D185" s="74">
        <f t="shared" si="13"/>
        <v>0</v>
      </c>
      <c r="E185" s="74">
        <f t="shared" si="17"/>
        <v>0</v>
      </c>
      <c r="F185" s="474"/>
      <c r="G185" s="174"/>
      <c r="H185" s="74"/>
      <c r="I185" s="361"/>
      <c r="J185" s="175"/>
      <c r="K185" s="74"/>
      <c r="L185" s="391"/>
      <c r="M185" s="74"/>
      <c r="N185" s="74"/>
      <c r="O185" s="368"/>
      <c r="P185" s="174"/>
      <c r="Q185" s="74"/>
      <c r="R185" s="362"/>
    </row>
    <row r="186" spans="1:18" s="12" customFormat="1" ht="24" hidden="1">
      <c r="A186" s="172">
        <v>4219</v>
      </c>
      <c r="B186" s="125" t="s">
        <v>502</v>
      </c>
      <c r="C186" s="174"/>
      <c r="D186" s="74">
        <f aca="true" t="shared" si="18" ref="D186:E252">G186+J186+P186+M186</f>
        <v>0</v>
      </c>
      <c r="E186" s="74">
        <f t="shared" si="17"/>
        <v>0</v>
      </c>
      <c r="F186" s="474"/>
      <c r="G186" s="174"/>
      <c r="H186" s="74"/>
      <c r="I186" s="361"/>
      <c r="J186" s="175"/>
      <c r="K186" s="74"/>
      <c r="L186" s="391"/>
      <c r="M186" s="74"/>
      <c r="N186" s="74"/>
      <c r="O186" s="368"/>
      <c r="P186" s="174"/>
      <c r="Q186" s="74"/>
      <c r="R186" s="362"/>
    </row>
    <row r="187" spans="1:18" s="12" customFormat="1" ht="16.5" customHeight="1" hidden="1">
      <c r="A187" s="172">
        <v>4300</v>
      </c>
      <c r="B187" s="206" t="s">
        <v>527</v>
      </c>
      <c r="C187" s="174"/>
      <c r="D187" s="74">
        <f t="shared" si="18"/>
        <v>0</v>
      </c>
      <c r="E187" s="74">
        <f t="shared" si="17"/>
        <v>0</v>
      </c>
      <c r="F187" s="474"/>
      <c r="G187" s="174"/>
      <c r="H187" s="74"/>
      <c r="I187" s="361"/>
      <c r="J187" s="175"/>
      <c r="K187" s="74"/>
      <c r="L187" s="391"/>
      <c r="M187" s="74"/>
      <c r="N187" s="74"/>
      <c r="O187" s="368"/>
      <c r="P187" s="174"/>
      <c r="Q187" s="74"/>
      <c r="R187" s="362"/>
    </row>
    <row r="188" spans="1:18" s="12" customFormat="1" ht="16.5" customHeight="1" hidden="1">
      <c r="A188" s="172">
        <v>4308</v>
      </c>
      <c r="B188" s="206" t="s">
        <v>527</v>
      </c>
      <c r="C188" s="174"/>
      <c r="D188" s="74">
        <f t="shared" si="18"/>
        <v>0</v>
      </c>
      <c r="E188" s="74">
        <f>SUM(H188+K188+N188+Q188)</f>
        <v>0</v>
      </c>
      <c r="F188" s="474"/>
      <c r="G188" s="174"/>
      <c r="H188" s="74"/>
      <c r="I188" s="361"/>
      <c r="J188" s="175"/>
      <c r="K188" s="74"/>
      <c r="L188" s="391"/>
      <c r="M188" s="74"/>
      <c r="N188" s="74"/>
      <c r="O188" s="368"/>
      <c r="P188" s="174"/>
      <c r="Q188" s="74"/>
      <c r="R188" s="362"/>
    </row>
    <row r="189" spans="1:18" s="12" customFormat="1" ht="16.5" customHeight="1" hidden="1">
      <c r="A189" s="172">
        <v>4309</v>
      </c>
      <c r="B189" s="206" t="s">
        <v>527</v>
      </c>
      <c r="C189" s="174"/>
      <c r="D189" s="74">
        <f t="shared" si="18"/>
        <v>0</v>
      </c>
      <c r="E189" s="74">
        <f>SUM(H189+K189+N189+Q189)</f>
        <v>0</v>
      </c>
      <c r="F189" s="474"/>
      <c r="G189" s="174"/>
      <c r="H189" s="74"/>
      <c r="I189" s="361"/>
      <c r="J189" s="175"/>
      <c r="K189" s="74"/>
      <c r="L189" s="391"/>
      <c r="M189" s="74"/>
      <c r="N189" s="74"/>
      <c r="O189" s="368"/>
      <c r="P189" s="174"/>
      <c r="Q189" s="74"/>
      <c r="R189" s="362"/>
    </row>
    <row r="190" spans="1:18" s="12" customFormat="1" ht="36" hidden="1">
      <c r="A190" s="172">
        <v>4388</v>
      </c>
      <c r="B190" s="206" t="s">
        <v>281</v>
      </c>
      <c r="C190" s="174"/>
      <c r="D190" s="74">
        <f t="shared" si="18"/>
        <v>0</v>
      </c>
      <c r="E190" s="74">
        <f t="shared" si="17"/>
        <v>0</v>
      </c>
      <c r="F190" s="474"/>
      <c r="G190" s="174"/>
      <c r="H190" s="74"/>
      <c r="I190" s="361"/>
      <c r="J190" s="175"/>
      <c r="K190" s="74"/>
      <c r="L190" s="391"/>
      <c r="M190" s="74"/>
      <c r="N190" s="74"/>
      <c r="O190" s="368"/>
      <c r="P190" s="174"/>
      <c r="Q190" s="74"/>
      <c r="R190" s="362"/>
    </row>
    <row r="191" spans="1:18" s="12" customFormat="1" ht="36" hidden="1">
      <c r="A191" s="172">
        <v>4389</v>
      </c>
      <c r="B191" s="206" t="s">
        <v>281</v>
      </c>
      <c r="C191" s="174"/>
      <c r="D191" s="74">
        <f t="shared" si="18"/>
        <v>0</v>
      </c>
      <c r="E191" s="74">
        <f t="shared" si="17"/>
        <v>0</v>
      </c>
      <c r="F191" s="474"/>
      <c r="G191" s="174"/>
      <c r="H191" s="74"/>
      <c r="I191" s="361"/>
      <c r="J191" s="175"/>
      <c r="K191" s="74"/>
      <c r="L191" s="391"/>
      <c r="M191" s="74"/>
      <c r="N191" s="74"/>
      <c r="O191" s="368"/>
      <c r="P191" s="174"/>
      <c r="Q191" s="74"/>
      <c r="R191" s="362"/>
    </row>
    <row r="192" spans="1:18" s="279" customFormat="1" ht="36">
      <c r="A192" s="225"/>
      <c r="B192" s="226" t="s">
        <v>434</v>
      </c>
      <c r="C192" s="227">
        <f>SUM(C193)</f>
        <v>100000</v>
      </c>
      <c r="D192" s="228">
        <f t="shared" si="18"/>
        <v>0</v>
      </c>
      <c r="E192" s="228">
        <f>SUM(H192+K192+N192+Q192)</f>
        <v>0</v>
      </c>
      <c r="F192" s="477"/>
      <c r="G192" s="227">
        <f>SUM(G193)</f>
        <v>0</v>
      </c>
      <c r="H192" s="228">
        <f>SUM(H193)</f>
        <v>0</v>
      </c>
      <c r="I192" s="361"/>
      <c r="J192" s="229"/>
      <c r="K192" s="228"/>
      <c r="L192" s="403"/>
      <c r="M192" s="228"/>
      <c r="N192" s="228"/>
      <c r="O192" s="403"/>
      <c r="P192" s="227"/>
      <c r="Q192" s="228"/>
      <c r="R192" s="374"/>
    </row>
    <row r="193" spans="1:18" s="12" customFormat="1" ht="72.75" thickBot="1">
      <c r="A193" s="172">
        <v>2710</v>
      </c>
      <c r="B193" s="206" t="s">
        <v>435</v>
      </c>
      <c r="C193" s="174">
        <v>100000</v>
      </c>
      <c r="D193" s="74">
        <f t="shared" si="18"/>
        <v>0</v>
      </c>
      <c r="E193" s="74">
        <f>SUM(H193+K193+N193+Q193)</f>
        <v>0</v>
      </c>
      <c r="F193" s="474"/>
      <c r="G193" s="174">
        <f>100000-100000</f>
        <v>0</v>
      </c>
      <c r="H193" s="74"/>
      <c r="I193" s="361"/>
      <c r="J193" s="175"/>
      <c r="K193" s="74"/>
      <c r="L193" s="391"/>
      <c r="M193" s="74"/>
      <c r="N193" s="74"/>
      <c r="O193" s="368"/>
      <c r="P193" s="174"/>
      <c r="Q193" s="74"/>
      <c r="R193" s="362"/>
    </row>
    <row r="194" spans="1:18" ht="24.75" customHeight="1" thickBot="1" thickTop="1">
      <c r="A194" s="114">
        <v>700</v>
      </c>
      <c r="B194" s="115" t="s">
        <v>557</v>
      </c>
      <c r="C194" s="116">
        <f>C195+C198+C218+C216</f>
        <v>19736040</v>
      </c>
      <c r="D194" s="59">
        <f t="shared" si="18"/>
        <v>22820040</v>
      </c>
      <c r="E194" s="107">
        <f>H194+K194+Q194+N194</f>
        <v>6607890</v>
      </c>
      <c r="F194" s="496">
        <f aca="true" t="shared" si="19" ref="F194:F214">E194/D194*100</f>
        <v>28.956522425026428</v>
      </c>
      <c r="G194" s="116">
        <f>G195+G198+G218+G216</f>
        <v>22782040</v>
      </c>
      <c r="H194" s="107">
        <f>H195+H198+H218+H216</f>
        <v>6598893</v>
      </c>
      <c r="I194" s="354">
        <f t="shared" si="16"/>
        <v>28.965329707085054</v>
      </c>
      <c r="J194" s="107"/>
      <c r="K194" s="107"/>
      <c r="L194" s="419"/>
      <c r="M194" s="107"/>
      <c r="N194" s="107"/>
      <c r="O194" s="390"/>
      <c r="P194" s="116">
        <f>P195+P198+P218</f>
        <v>38000</v>
      </c>
      <c r="Q194" s="107">
        <f>Q195+Q198+Q218</f>
        <v>8997</v>
      </c>
      <c r="R194" s="354">
        <f>Q194/P194*100</f>
        <v>23.676315789473684</v>
      </c>
    </row>
    <row r="195" spans="1:18" s="118" customFormat="1" ht="24.75" thickTop="1">
      <c r="A195" s="188">
        <v>70001</v>
      </c>
      <c r="B195" s="189" t="s">
        <v>558</v>
      </c>
      <c r="C195" s="190">
        <f>SUM(C196:C197)</f>
        <v>8000000</v>
      </c>
      <c r="D195" s="122">
        <f t="shared" si="18"/>
        <v>9800000</v>
      </c>
      <c r="E195" s="67">
        <f aca="true" t="shared" si="20" ref="E195:E229">SUM(H195+K195+N195+Q195)</f>
        <v>2500000</v>
      </c>
      <c r="F195" s="469">
        <f t="shared" si="19"/>
        <v>25.510204081632654</v>
      </c>
      <c r="G195" s="191">
        <f>SUM(G196:G197)</f>
        <v>9800000</v>
      </c>
      <c r="H195" s="186">
        <f>SUM(H196:H197)</f>
        <v>2500000</v>
      </c>
      <c r="I195" s="274">
        <f t="shared" si="16"/>
        <v>25.510204081632654</v>
      </c>
      <c r="J195" s="192"/>
      <c r="K195" s="193"/>
      <c r="L195" s="424"/>
      <c r="M195" s="192"/>
      <c r="N195" s="192"/>
      <c r="O195" s="387"/>
      <c r="P195" s="190"/>
      <c r="Q195" s="192"/>
      <c r="R195" s="366"/>
    </row>
    <row r="196" spans="1:18" s="12" customFormat="1" ht="36">
      <c r="A196" s="194">
        <v>2650</v>
      </c>
      <c r="B196" s="195" t="s">
        <v>282</v>
      </c>
      <c r="C196" s="102">
        <v>6000000</v>
      </c>
      <c r="D196" s="103">
        <f t="shared" si="18"/>
        <v>8800000</v>
      </c>
      <c r="E196" s="104">
        <f t="shared" si="20"/>
        <v>2500000</v>
      </c>
      <c r="F196" s="470">
        <f t="shared" si="19"/>
        <v>28.40909090909091</v>
      </c>
      <c r="G196" s="102">
        <f>6000000+2800000</f>
        <v>8800000</v>
      </c>
      <c r="H196" s="103">
        <f>2000000+500000</f>
        <v>2500000</v>
      </c>
      <c r="I196" s="304">
        <f t="shared" si="16"/>
        <v>28.40909090909091</v>
      </c>
      <c r="J196" s="196"/>
      <c r="K196" s="196"/>
      <c r="L196" s="414"/>
      <c r="M196" s="103"/>
      <c r="N196" s="103"/>
      <c r="O196" s="388"/>
      <c r="P196" s="102"/>
      <c r="Q196" s="103"/>
      <c r="R196" s="365"/>
    </row>
    <row r="197" spans="1:18" ht="84">
      <c r="A197" s="197">
        <v>6210</v>
      </c>
      <c r="B197" s="198" t="s">
        <v>560</v>
      </c>
      <c r="C197" s="88">
        <v>2000000</v>
      </c>
      <c r="D197" s="74">
        <f t="shared" si="18"/>
        <v>1000000</v>
      </c>
      <c r="E197" s="89">
        <f t="shared" si="20"/>
        <v>0</v>
      </c>
      <c r="F197" s="468">
        <f t="shared" si="19"/>
        <v>0</v>
      </c>
      <c r="G197" s="88">
        <f>2000000-1000000</f>
        <v>1000000</v>
      </c>
      <c r="H197" s="89"/>
      <c r="I197" s="224">
        <f t="shared" si="16"/>
        <v>0</v>
      </c>
      <c r="J197" s="126"/>
      <c r="K197" s="89"/>
      <c r="L197" s="391"/>
      <c r="M197" s="89"/>
      <c r="N197" s="89"/>
      <c r="O197" s="368"/>
      <c r="P197" s="88"/>
      <c r="Q197" s="89"/>
      <c r="R197" s="362"/>
    </row>
    <row r="198" spans="1:18" s="118" customFormat="1" ht="24.75" customHeight="1">
      <c r="A198" s="119">
        <v>70005</v>
      </c>
      <c r="B198" s="185" t="s">
        <v>561</v>
      </c>
      <c r="C198" s="121">
        <f>SUM(C199:C215)</f>
        <v>2846000</v>
      </c>
      <c r="D198" s="95">
        <f t="shared" si="18"/>
        <v>2824600</v>
      </c>
      <c r="E198" s="84">
        <f>H198+K198+Q198+N198</f>
        <v>633084</v>
      </c>
      <c r="F198" s="467">
        <f t="shared" si="19"/>
        <v>22.41322665156128</v>
      </c>
      <c r="G198" s="121">
        <f>SUM(G199:G215)</f>
        <v>2786600</v>
      </c>
      <c r="H198" s="84">
        <f>SUM(H199:H215)</f>
        <v>624087</v>
      </c>
      <c r="I198" s="316">
        <f t="shared" si="16"/>
        <v>22.396002296705664</v>
      </c>
      <c r="J198" s="123"/>
      <c r="K198" s="84"/>
      <c r="L198" s="417"/>
      <c r="M198" s="84"/>
      <c r="N198" s="84"/>
      <c r="O198" s="381"/>
      <c r="P198" s="121">
        <f>SUM(P199:P215)</f>
        <v>38000</v>
      </c>
      <c r="Q198" s="84">
        <f>SUM(Q199:Q215)</f>
        <v>8997</v>
      </c>
      <c r="R198" s="316">
        <f>Q198/P198*100</f>
        <v>23.676315789473684</v>
      </c>
    </row>
    <row r="199" spans="1:18" ht="24">
      <c r="A199" s="124">
        <v>4300</v>
      </c>
      <c r="B199" s="128" t="s">
        <v>283</v>
      </c>
      <c r="C199" s="90">
        <v>5000</v>
      </c>
      <c r="D199" s="103">
        <f t="shared" si="18"/>
        <v>5000</v>
      </c>
      <c r="E199" s="104">
        <f t="shared" si="20"/>
        <v>0</v>
      </c>
      <c r="F199" s="470">
        <f t="shared" si="19"/>
        <v>0</v>
      </c>
      <c r="G199" s="90">
        <v>5000</v>
      </c>
      <c r="H199" s="104"/>
      <c r="I199" s="304">
        <f t="shared" si="16"/>
        <v>0</v>
      </c>
      <c r="J199" s="200"/>
      <c r="K199" s="104"/>
      <c r="L199" s="414"/>
      <c r="M199" s="104"/>
      <c r="N199" s="104"/>
      <c r="O199" s="388"/>
      <c r="P199" s="90"/>
      <c r="Q199" s="104"/>
      <c r="R199" s="365"/>
    </row>
    <row r="200" spans="1:18" ht="29.25" customHeight="1" hidden="1">
      <c r="A200" s="124">
        <v>4300</v>
      </c>
      <c r="B200" s="128" t="s">
        <v>361</v>
      </c>
      <c r="C200" s="88"/>
      <c r="D200" s="74">
        <f t="shared" si="18"/>
        <v>0</v>
      </c>
      <c r="E200" s="89">
        <f t="shared" si="20"/>
        <v>0</v>
      </c>
      <c r="F200" s="442" t="e">
        <f t="shared" si="19"/>
        <v>#DIV/0!</v>
      </c>
      <c r="G200" s="88"/>
      <c r="H200" s="89"/>
      <c r="I200" s="224"/>
      <c r="J200" s="126"/>
      <c r="K200" s="89"/>
      <c r="L200" s="391"/>
      <c r="M200" s="89"/>
      <c r="N200" s="89"/>
      <c r="O200" s="368"/>
      <c r="P200" s="88"/>
      <c r="Q200" s="89"/>
      <c r="R200" s="362"/>
    </row>
    <row r="201" spans="1:18" ht="24.75" customHeight="1" hidden="1">
      <c r="A201" s="124">
        <v>4210</v>
      </c>
      <c r="B201" s="125" t="s">
        <v>502</v>
      </c>
      <c r="C201" s="88"/>
      <c r="D201" s="74">
        <f t="shared" si="18"/>
        <v>0</v>
      </c>
      <c r="E201" s="89">
        <f t="shared" si="20"/>
        <v>0</v>
      </c>
      <c r="F201" s="442" t="e">
        <f t="shared" si="19"/>
        <v>#DIV/0!</v>
      </c>
      <c r="G201" s="88"/>
      <c r="H201" s="89"/>
      <c r="I201" s="224"/>
      <c r="J201" s="126"/>
      <c r="K201" s="89"/>
      <c r="L201" s="391"/>
      <c r="M201" s="89"/>
      <c r="N201" s="89"/>
      <c r="O201" s="368"/>
      <c r="P201" s="88"/>
      <c r="Q201" s="89"/>
      <c r="R201" s="224"/>
    </row>
    <row r="202" spans="1:18" ht="24.75" customHeight="1" hidden="1">
      <c r="A202" s="124">
        <v>4170</v>
      </c>
      <c r="B202" s="125" t="s">
        <v>536</v>
      </c>
      <c r="C202" s="88"/>
      <c r="D202" s="74">
        <f t="shared" si="18"/>
        <v>0</v>
      </c>
      <c r="E202" s="89">
        <f t="shared" si="20"/>
        <v>0</v>
      </c>
      <c r="F202" s="442" t="e">
        <f t="shared" si="19"/>
        <v>#DIV/0!</v>
      </c>
      <c r="G202" s="88"/>
      <c r="H202" s="89"/>
      <c r="I202" s="224"/>
      <c r="J202" s="126"/>
      <c r="K202" s="89"/>
      <c r="L202" s="391"/>
      <c r="M202" s="89"/>
      <c r="N202" s="89"/>
      <c r="O202" s="368"/>
      <c r="P202" s="88"/>
      <c r="Q202" s="89"/>
      <c r="R202" s="224"/>
    </row>
    <row r="203" spans="1:18" ht="37.5" customHeight="1" hidden="1">
      <c r="A203" s="124">
        <v>4240</v>
      </c>
      <c r="B203" s="128" t="s">
        <v>563</v>
      </c>
      <c r="C203" s="88"/>
      <c r="D203" s="74">
        <f t="shared" si="18"/>
        <v>0</v>
      </c>
      <c r="E203" s="89">
        <f t="shared" si="20"/>
        <v>0</v>
      </c>
      <c r="F203" s="442" t="e">
        <f t="shared" si="19"/>
        <v>#DIV/0!</v>
      </c>
      <c r="G203" s="88"/>
      <c r="H203" s="89"/>
      <c r="I203" s="224"/>
      <c r="J203" s="126"/>
      <c r="K203" s="89"/>
      <c r="L203" s="391"/>
      <c r="M203" s="89"/>
      <c r="N203" s="89"/>
      <c r="O203" s="368"/>
      <c r="P203" s="88"/>
      <c r="Q203" s="89"/>
      <c r="R203" s="224"/>
    </row>
    <row r="204" spans="1:18" ht="48">
      <c r="A204" s="124">
        <v>4300</v>
      </c>
      <c r="B204" s="128" t="s">
        <v>564</v>
      </c>
      <c r="C204" s="88">
        <v>858000</v>
      </c>
      <c r="D204" s="74">
        <f t="shared" si="18"/>
        <v>855600</v>
      </c>
      <c r="E204" s="89">
        <f t="shared" si="20"/>
        <v>178564</v>
      </c>
      <c r="F204" s="468">
        <f t="shared" si="19"/>
        <v>20.8700327255727</v>
      </c>
      <c r="G204" s="88">
        <f>850000-20200-131200+149000+1000</f>
        <v>848600</v>
      </c>
      <c r="H204" s="89">
        <v>176135</v>
      </c>
      <c r="I204" s="224">
        <f t="shared" si="16"/>
        <v>20.755950978081547</v>
      </c>
      <c r="J204" s="126">
        <f>2730-2730</f>
        <v>0</v>
      </c>
      <c r="K204" s="89"/>
      <c r="L204" s="391"/>
      <c r="M204" s="89"/>
      <c r="N204" s="89"/>
      <c r="O204" s="368"/>
      <c r="P204" s="88">
        <f>8000-1000</f>
        <v>7000</v>
      </c>
      <c r="Q204" s="89">
        <v>2429</v>
      </c>
      <c r="R204" s="224">
        <f>Q204/P204*100</f>
        <v>34.699999999999996</v>
      </c>
    </row>
    <row r="205" spans="1:18" ht="36">
      <c r="A205" s="124">
        <v>4390</v>
      </c>
      <c r="B205" s="206" t="s">
        <v>284</v>
      </c>
      <c r="C205" s="88">
        <v>337300</v>
      </c>
      <c r="D205" s="74">
        <f t="shared" si="18"/>
        <v>470158</v>
      </c>
      <c r="E205" s="89">
        <f t="shared" si="20"/>
        <v>94359</v>
      </c>
      <c r="F205" s="468">
        <f t="shared" si="19"/>
        <v>20.069636164863727</v>
      </c>
      <c r="G205" s="88">
        <f>320000+130000+6858-6858</f>
        <v>450000</v>
      </c>
      <c r="H205" s="74">
        <v>93259</v>
      </c>
      <c r="I205" s="224">
        <f t="shared" si="16"/>
        <v>20.72422222222222</v>
      </c>
      <c r="J205" s="126"/>
      <c r="K205" s="89"/>
      <c r="L205" s="391"/>
      <c r="M205" s="89"/>
      <c r="N205" s="89"/>
      <c r="O205" s="368"/>
      <c r="P205" s="88">
        <f>17300-4000+6858</f>
        <v>20158</v>
      </c>
      <c r="Q205" s="89">
        <v>1100</v>
      </c>
      <c r="R205" s="224">
        <f>Q205/P205*100</f>
        <v>5.456890564540133</v>
      </c>
    </row>
    <row r="206" spans="1:18" ht="14.25" customHeight="1">
      <c r="A206" s="124">
        <v>4430</v>
      </c>
      <c r="B206" s="128" t="s">
        <v>512</v>
      </c>
      <c r="C206" s="88">
        <v>50000</v>
      </c>
      <c r="D206" s="74">
        <f t="shared" si="18"/>
        <v>93142</v>
      </c>
      <c r="E206" s="89">
        <f t="shared" si="20"/>
        <v>76366</v>
      </c>
      <c r="F206" s="468">
        <f t="shared" si="19"/>
        <v>81.98879130789547</v>
      </c>
      <c r="G206" s="88">
        <f>50000-858+858+40000</f>
        <v>90000</v>
      </c>
      <c r="H206" s="89">
        <f>73225-1</f>
        <v>73224</v>
      </c>
      <c r="I206" s="224">
        <f t="shared" si="16"/>
        <v>81.36</v>
      </c>
      <c r="J206" s="126">
        <f>-3000+3000</f>
        <v>0</v>
      </c>
      <c r="K206" s="89"/>
      <c r="L206" s="391"/>
      <c r="M206" s="89"/>
      <c r="N206" s="89"/>
      <c r="O206" s="368"/>
      <c r="P206" s="88">
        <f>4000-858</f>
        <v>3142</v>
      </c>
      <c r="Q206" s="89">
        <v>3142</v>
      </c>
      <c r="R206" s="442">
        <f>Q206/P206*100</f>
        <v>100</v>
      </c>
    </row>
    <row r="207" spans="1:18" ht="14.25" customHeight="1">
      <c r="A207" s="124">
        <v>4480</v>
      </c>
      <c r="B207" s="128" t="s">
        <v>516</v>
      </c>
      <c r="C207" s="88">
        <v>17500</v>
      </c>
      <c r="D207" s="74">
        <f t="shared" si="18"/>
        <v>15500</v>
      </c>
      <c r="E207" s="89">
        <f>SUM(H207+K207+N207+Q207)</f>
        <v>5632</v>
      </c>
      <c r="F207" s="468">
        <f t="shared" si="19"/>
        <v>36.33548387096774</v>
      </c>
      <c r="G207" s="88">
        <f>13000-1000-1000+1000</f>
        <v>12000</v>
      </c>
      <c r="H207" s="89">
        <v>3482</v>
      </c>
      <c r="I207" s="224">
        <f t="shared" si="16"/>
        <v>29.01666666666667</v>
      </c>
      <c r="J207" s="126">
        <f>270-270</f>
        <v>0</v>
      </c>
      <c r="K207" s="89"/>
      <c r="L207" s="391"/>
      <c r="M207" s="89"/>
      <c r="N207" s="89"/>
      <c r="O207" s="368"/>
      <c r="P207" s="88">
        <f>4500-1000</f>
        <v>3500</v>
      </c>
      <c r="Q207" s="89">
        <v>2150</v>
      </c>
      <c r="R207" s="224">
        <f>Q207/P207*100</f>
        <v>61.42857142857143</v>
      </c>
    </row>
    <row r="208" spans="1:18" ht="48">
      <c r="A208" s="124">
        <v>4500</v>
      </c>
      <c r="B208" s="128" t="s">
        <v>15</v>
      </c>
      <c r="C208" s="88">
        <v>200</v>
      </c>
      <c r="D208" s="74">
        <f t="shared" si="18"/>
        <v>200</v>
      </c>
      <c r="E208" s="89">
        <f>SUM(H208+K208+N208+Q208)</f>
        <v>96</v>
      </c>
      <c r="F208" s="468">
        <f t="shared" si="19"/>
        <v>48</v>
      </c>
      <c r="G208" s="88"/>
      <c r="H208" s="89"/>
      <c r="I208" s="224"/>
      <c r="J208" s="126"/>
      <c r="K208" s="89"/>
      <c r="L208" s="391"/>
      <c r="M208" s="89"/>
      <c r="N208" s="89"/>
      <c r="O208" s="368"/>
      <c r="P208" s="88">
        <v>200</v>
      </c>
      <c r="Q208" s="89">
        <v>96</v>
      </c>
      <c r="R208" s="224">
        <f>Q208/P208*100</f>
        <v>48</v>
      </c>
    </row>
    <row r="209" spans="1:18" ht="24" hidden="1">
      <c r="A209" s="124">
        <v>4520</v>
      </c>
      <c r="B209" s="128" t="s">
        <v>332</v>
      </c>
      <c r="C209" s="88"/>
      <c r="D209" s="74">
        <f t="shared" si="18"/>
        <v>0</v>
      </c>
      <c r="E209" s="89">
        <f>SUM(H209+K209+N209+Q209)</f>
        <v>0</v>
      </c>
      <c r="F209" s="468" t="e">
        <f t="shared" si="19"/>
        <v>#DIV/0!</v>
      </c>
      <c r="G209" s="88"/>
      <c r="H209" s="89"/>
      <c r="I209" s="224"/>
      <c r="J209" s="126"/>
      <c r="K209" s="89"/>
      <c r="L209" s="391"/>
      <c r="M209" s="89"/>
      <c r="N209" s="89"/>
      <c r="O209" s="368"/>
      <c r="P209" s="88"/>
      <c r="Q209" s="89"/>
      <c r="R209" s="224"/>
    </row>
    <row r="210" spans="1:18" ht="24" hidden="1">
      <c r="A210" s="124">
        <v>4530</v>
      </c>
      <c r="B210" s="128" t="s">
        <v>111</v>
      </c>
      <c r="C210" s="88"/>
      <c r="D210" s="74">
        <f>G210+J210+P210+M210</f>
        <v>0</v>
      </c>
      <c r="E210" s="89">
        <f>SUM(H210+K210+N210+Q210)</f>
        <v>0</v>
      </c>
      <c r="F210" s="468" t="e">
        <f t="shared" si="19"/>
        <v>#DIV/0!</v>
      </c>
      <c r="G210" s="88"/>
      <c r="H210" s="89"/>
      <c r="I210" s="224" t="e">
        <f t="shared" si="16"/>
        <v>#DIV/0!</v>
      </c>
      <c r="J210" s="126"/>
      <c r="K210" s="89"/>
      <c r="L210" s="391"/>
      <c r="M210" s="89"/>
      <c r="N210" s="89"/>
      <c r="O210" s="368"/>
      <c r="P210" s="88"/>
      <c r="Q210" s="89"/>
      <c r="R210" s="224"/>
    </row>
    <row r="211" spans="1:18" ht="36">
      <c r="A211" s="124">
        <v>4590</v>
      </c>
      <c r="B211" s="128" t="s">
        <v>550</v>
      </c>
      <c r="C211" s="88">
        <v>170000</v>
      </c>
      <c r="D211" s="74">
        <f t="shared" si="18"/>
        <v>110000</v>
      </c>
      <c r="E211" s="89">
        <f>SUM(H211+K211+N211+Q211)</f>
        <v>0</v>
      </c>
      <c r="F211" s="468">
        <f t="shared" si="19"/>
        <v>0</v>
      </c>
      <c r="G211" s="88">
        <f>170000-20000-40000</f>
        <v>110000</v>
      </c>
      <c r="H211" s="89"/>
      <c r="I211" s="224">
        <f t="shared" si="16"/>
        <v>0</v>
      </c>
      <c r="J211" s="126"/>
      <c r="K211" s="89"/>
      <c r="L211" s="391"/>
      <c r="M211" s="89"/>
      <c r="N211" s="89"/>
      <c r="O211" s="368"/>
      <c r="P211" s="88"/>
      <c r="Q211" s="89"/>
      <c r="R211" s="224"/>
    </row>
    <row r="212" spans="1:18" ht="35.25" customHeight="1">
      <c r="A212" s="124">
        <v>4600</v>
      </c>
      <c r="B212" s="128" t="s">
        <v>565</v>
      </c>
      <c r="C212" s="88">
        <v>600000</v>
      </c>
      <c r="D212" s="74">
        <f t="shared" si="18"/>
        <v>450000</v>
      </c>
      <c r="E212" s="89">
        <f t="shared" si="20"/>
        <v>0</v>
      </c>
      <c r="F212" s="468">
        <f t="shared" si="19"/>
        <v>0</v>
      </c>
      <c r="G212" s="88">
        <f>600000-150000</f>
        <v>450000</v>
      </c>
      <c r="H212" s="89"/>
      <c r="I212" s="224">
        <f t="shared" si="16"/>
        <v>0</v>
      </c>
      <c r="J212" s="126"/>
      <c r="K212" s="89"/>
      <c r="L212" s="391"/>
      <c r="M212" s="89"/>
      <c r="N212" s="89"/>
      <c r="O212" s="368"/>
      <c r="P212" s="88"/>
      <c r="Q212" s="89"/>
      <c r="R212" s="224"/>
    </row>
    <row r="213" spans="1:18" ht="36">
      <c r="A213" s="124">
        <v>4610</v>
      </c>
      <c r="B213" s="128" t="s">
        <v>551</v>
      </c>
      <c r="C213" s="88">
        <v>8000</v>
      </c>
      <c r="D213" s="74">
        <f t="shared" si="18"/>
        <v>5000</v>
      </c>
      <c r="E213" s="89">
        <f>SUM(H213+K213+N213+Q213)</f>
        <v>110</v>
      </c>
      <c r="F213" s="468">
        <f t="shared" si="19"/>
        <v>2.1999999999999997</v>
      </c>
      <c r="G213" s="88">
        <f>1000-4000+4000</f>
        <v>1000</v>
      </c>
      <c r="H213" s="89">
        <v>30</v>
      </c>
      <c r="I213" s="224">
        <f t="shared" si="16"/>
        <v>3</v>
      </c>
      <c r="J213" s="126"/>
      <c r="K213" s="89"/>
      <c r="L213" s="391"/>
      <c r="M213" s="89"/>
      <c r="N213" s="89"/>
      <c r="O213" s="368"/>
      <c r="P213" s="88">
        <f>8000-4000</f>
        <v>4000</v>
      </c>
      <c r="Q213" s="89">
        <v>80</v>
      </c>
      <c r="R213" s="224">
        <f>Q213/P213*100</f>
        <v>2</v>
      </c>
    </row>
    <row r="214" spans="1:18" ht="48">
      <c r="A214" s="158">
        <v>4680</v>
      </c>
      <c r="B214" s="159" t="s">
        <v>453</v>
      </c>
      <c r="C214" s="160"/>
      <c r="D214" s="161">
        <f>G214+J214+P214+M214</f>
        <v>20000</v>
      </c>
      <c r="E214" s="155">
        <f>SUM(H214+K214+N214+Q214)</f>
        <v>15827</v>
      </c>
      <c r="F214" s="469">
        <f t="shared" si="19"/>
        <v>79.135</v>
      </c>
      <c r="G214" s="160">
        <v>20000</v>
      </c>
      <c r="H214" s="155">
        <v>15827</v>
      </c>
      <c r="I214" s="274">
        <f t="shared" si="16"/>
        <v>79.135</v>
      </c>
      <c r="J214" s="162"/>
      <c r="K214" s="155"/>
      <c r="L214" s="415"/>
      <c r="M214" s="155"/>
      <c r="N214" s="155"/>
      <c r="O214" s="387"/>
      <c r="P214" s="160"/>
      <c r="Q214" s="155"/>
      <c r="R214" s="274"/>
    </row>
    <row r="215" spans="1:18" ht="84">
      <c r="A215" s="158">
        <v>6060</v>
      </c>
      <c r="B215" s="350" t="s">
        <v>566</v>
      </c>
      <c r="C215" s="160">
        <v>800000</v>
      </c>
      <c r="D215" s="161">
        <f t="shared" si="18"/>
        <v>800000</v>
      </c>
      <c r="E215" s="161">
        <f>H215+K215+Q215+N215</f>
        <v>262130</v>
      </c>
      <c r="F215" s="462">
        <f aca="true" t="shared" si="21" ref="F215:F279">E215/D215*100</f>
        <v>32.76625</v>
      </c>
      <c r="G215" s="160">
        <v>800000</v>
      </c>
      <c r="H215" s="155">
        <v>262130</v>
      </c>
      <c r="I215" s="274">
        <f t="shared" si="16"/>
        <v>32.76625</v>
      </c>
      <c r="J215" s="162"/>
      <c r="K215" s="155"/>
      <c r="L215" s="415"/>
      <c r="M215" s="155"/>
      <c r="N215" s="155"/>
      <c r="O215" s="387"/>
      <c r="P215" s="160"/>
      <c r="Q215" s="155"/>
      <c r="R215" s="274"/>
    </row>
    <row r="216" spans="1:18" s="143" customFormat="1" ht="30" customHeight="1">
      <c r="A216" s="201">
        <v>70021</v>
      </c>
      <c r="B216" s="202" t="s">
        <v>567</v>
      </c>
      <c r="C216" s="203">
        <f>C217</f>
        <v>3200000</v>
      </c>
      <c r="D216" s="122">
        <f t="shared" si="18"/>
        <v>3284000</v>
      </c>
      <c r="E216" s="122">
        <f t="shared" si="20"/>
        <v>184000</v>
      </c>
      <c r="F216" s="469">
        <f t="shared" si="21"/>
        <v>5.602923264311815</v>
      </c>
      <c r="G216" s="203">
        <f>G217</f>
        <v>3284000</v>
      </c>
      <c r="H216" s="122">
        <f>H217</f>
        <v>184000</v>
      </c>
      <c r="I216" s="274">
        <f t="shared" si="16"/>
        <v>5.602923264311815</v>
      </c>
      <c r="J216" s="204"/>
      <c r="K216" s="122"/>
      <c r="L216" s="424"/>
      <c r="M216" s="122"/>
      <c r="N216" s="122"/>
      <c r="O216" s="389"/>
      <c r="P216" s="203"/>
      <c r="Q216" s="122"/>
      <c r="R216" s="371"/>
    </row>
    <row r="217" spans="1:18" ht="60">
      <c r="A217" s="158">
        <v>6010</v>
      </c>
      <c r="B217" s="128" t="s">
        <v>568</v>
      </c>
      <c r="C217" s="160">
        <v>3200000</v>
      </c>
      <c r="D217" s="161">
        <f t="shared" si="18"/>
        <v>3284000</v>
      </c>
      <c r="E217" s="155">
        <f t="shared" si="20"/>
        <v>184000</v>
      </c>
      <c r="F217" s="469">
        <f t="shared" si="21"/>
        <v>5.602923264311815</v>
      </c>
      <c r="G217" s="160">
        <f>3200000+30000+54000</f>
        <v>3284000</v>
      </c>
      <c r="H217" s="155">
        <v>184000</v>
      </c>
      <c r="I217" s="274">
        <f t="shared" si="16"/>
        <v>5.602923264311815</v>
      </c>
      <c r="J217" s="162"/>
      <c r="K217" s="155"/>
      <c r="L217" s="415"/>
      <c r="M217" s="155"/>
      <c r="N217" s="155"/>
      <c r="O217" s="387"/>
      <c r="P217" s="160"/>
      <c r="Q217" s="155"/>
      <c r="R217" s="366"/>
    </row>
    <row r="218" spans="1:18" s="118" customFormat="1" ht="15" customHeight="1">
      <c r="A218" s="119">
        <v>70095</v>
      </c>
      <c r="B218" s="185" t="s">
        <v>529</v>
      </c>
      <c r="C218" s="121">
        <f>SUM(C219:C229)</f>
        <v>5690040</v>
      </c>
      <c r="D218" s="95">
        <f t="shared" si="18"/>
        <v>6911440</v>
      </c>
      <c r="E218" s="84">
        <f>H218+K218+Q218+N218</f>
        <v>3290806</v>
      </c>
      <c r="F218" s="467">
        <f t="shared" si="21"/>
        <v>47.61389811674557</v>
      </c>
      <c r="G218" s="121">
        <f>SUM(G219:G229)</f>
        <v>6911440</v>
      </c>
      <c r="H218" s="95">
        <f>SUM(H219:H229)</f>
        <v>3290806</v>
      </c>
      <c r="I218" s="316">
        <f t="shared" si="16"/>
        <v>47.61389811674557</v>
      </c>
      <c r="J218" s="121"/>
      <c r="K218" s="84"/>
      <c r="L218" s="417"/>
      <c r="M218" s="84"/>
      <c r="N218" s="84"/>
      <c r="O218" s="381"/>
      <c r="P218" s="121"/>
      <c r="Q218" s="84"/>
      <c r="R218" s="372"/>
    </row>
    <row r="219" spans="1:18" ht="23.25" customHeight="1">
      <c r="A219" s="108">
        <v>4210</v>
      </c>
      <c r="B219" s="199" t="s">
        <v>569</v>
      </c>
      <c r="C219" s="90">
        <v>14100</v>
      </c>
      <c r="D219" s="103">
        <f t="shared" si="18"/>
        <v>14100</v>
      </c>
      <c r="E219" s="104">
        <f t="shared" si="20"/>
        <v>1300</v>
      </c>
      <c r="F219" s="464">
        <f t="shared" si="21"/>
        <v>9.219858156028367</v>
      </c>
      <c r="G219" s="90">
        <v>14100</v>
      </c>
      <c r="H219" s="104">
        <v>1300</v>
      </c>
      <c r="I219" s="304">
        <f t="shared" si="16"/>
        <v>9.219858156028367</v>
      </c>
      <c r="J219" s="200"/>
      <c r="K219" s="104"/>
      <c r="L219" s="414"/>
      <c r="M219" s="104"/>
      <c r="N219" s="104"/>
      <c r="O219" s="388"/>
      <c r="P219" s="90"/>
      <c r="Q219" s="104"/>
      <c r="R219" s="365"/>
    </row>
    <row r="220" spans="1:18" ht="24">
      <c r="A220" s="124">
        <v>4300</v>
      </c>
      <c r="B220" s="128" t="s">
        <v>570</v>
      </c>
      <c r="C220" s="88">
        <v>1340</v>
      </c>
      <c r="D220" s="74">
        <f t="shared" si="18"/>
        <v>1340</v>
      </c>
      <c r="E220" s="89">
        <f t="shared" si="20"/>
        <v>0</v>
      </c>
      <c r="F220" s="442">
        <f t="shared" si="21"/>
        <v>0</v>
      </c>
      <c r="G220" s="88">
        <v>1340</v>
      </c>
      <c r="H220" s="89"/>
      <c r="I220" s="224">
        <f t="shared" si="16"/>
        <v>0</v>
      </c>
      <c r="J220" s="126"/>
      <c r="K220" s="89"/>
      <c r="L220" s="391"/>
      <c r="M220" s="89"/>
      <c r="N220" s="89"/>
      <c r="O220" s="368"/>
      <c r="P220" s="88"/>
      <c r="Q220" s="89"/>
      <c r="R220" s="362"/>
    </row>
    <row r="221" spans="1:18" ht="23.25" customHeight="1">
      <c r="A221" s="124">
        <v>4110</v>
      </c>
      <c r="B221" s="205" t="s">
        <v>498</v>
      </c>
      <c r="C221" s="88">
        <v>450</v>
      </c>
      <c r="D221" s="74">
        <f t="shared" si="18"/>
        <v>500</v>
      </c>
      <c r="E221" s="89">
        <f t="shared" si="20"/>
        <v>291</v>
      </c>
      <c r="F221" s="442">
        <f t="shared" si="21"/>
        <v>58.199999999999996</v>
      </c>
      <c r="G221" s="88">
        <f>450+50</f>
        <v>500</v>
      </c>
      <c r="H221" s="89">
        <v>291</v>
      </c>
      <c r="I221" s="224">
        <f t="shared" si="16"/>
        <v>58.199999999999996</v>
      </c>
      <c r="J221" s="126"/>
      <c r="K221" s="89"/>
      <c r="L221" s="391"/>
      <c r="M221" s="89"/>
      <c r="N221" s="89"/>
      <c r="O221" s="368"/>
      <c r="P221" s="88"/>
      <c r="Q221" s="89"/>
      <c r="R221" s="362"/>
    </row>
    <row r="222" spans="1:18" ht="12.75">
      <c r="A222" s="124">
        <v>4120</v>
      </c>
      <c r="B222" s="205" t="s">
        <v>571</v>
      </c>
      <c r="C222" s="88">
        <v>50</v>
      </c>
      <c r="D222" s="74">
        <f t="shared" si="18"/>
        <v>100</v>
      </c>
      <c r="E222" s="89">
        <f t="shared" si="20"/>
        <v>39</v>
      </c>
      <c r="F222" s="442">
        <f t="shared" si="21"/>
        <v>39</v>
      </c>
      <c r="G222" s="88">
        <f>50+50</f>
        <v>100</v>
      </c>
      <c r="H222" s="89">
        <v>39</v>
      </c>
      <c r="I222" s="224">
        <f t="shared" si="16"/>
        <v>39</v>
      </c>
      <c r="J222" s="126"/>
      <c r="K222" s="89"/>
      <c r="L222" s="391"/>
      <c r="M222" s="89"/>
      <c r="N222" s="89"/>
      <c r="O222" s="368"/>
      <c r="P222" s="88"/>
      <c r="Q222" s="89"/>
      <c r="R222" s="362"/>
    </row>
    <row r="223" spans="1:18" ht="24">
      <c r="A223" s="172">
        <v>4170</v>
      </c>
      <c r="B223" s="206" t="s">
        <v>536</v>
      </c>
      <c r="C223" s="88">
        <v>5000</v>
      </c>
      <c r="D223" s="74">
        <f t="shared" si="18"/>
        <v>6100</v>
      </c>
      <c r="E223" s="89">
        <f t="shared" si="20"/>
        <v>5461</v>
      </c>
      <c r="F223" s="442">
        <f t="shared" si="21"/>
        <v>89.52459016393442</v>
      </c>
      <c r="G223" s="88">
        <f>5000+1100</f>
        <v>6100</v>
      </c>
      <c r="H223" s="89">
        <v>5461</v>
      </c>
      <c r="I223" s="224">
        <f t="shared" si="16"/>
        <v>89.52459016393442</v>
      </c>
      <c r="J223" s="126"/>
      <c r="K223" s="89"/>
      <c r="L223" s="391"/>
      <c r="M223" s="89"/>
      <c r="N223" s="89"/>
      <c r="O223" s="368"/>
      <c r="P223" s="88"/>
      <c r="Q223" s="89"/>
      <c r="R223" s="362"/>
    </row>
    <row r="224" spans="1:18" ht="24">
      <c r="A224" s="172">
        <v>4270</v>
      </c>
      <c r="B224" s="206" t="s">
        <v>508</v>
      </c>
      <c r="C224" s="88"/>
      <c r="D224" s="74">
        <f>G224+J224+P224+M224</f>
        <v>20200</v>
      </c>
      <c r="E224" s="89">
        <f>SUM(H224+K224+N224+Q224)</f>
        <v>20143</v>
      </c>
      <c r="F224" s="442">
        <f>E224/D224*100</f>
        <v>99.71782178217822</v>
      </c>
      <c r="G224" s="88">
        <v>20200</v>
      </c>
      <c r="H224" s="89">
        <v>20143</v>
      </c>
      <c r="I224" s="224">
        <f aca="true" t="shared" si="22" ref="I224:I236">H224/G224*100</f>
        <v>99.71782178217822</v>
      </c>
      <c r="J224" s="126"/>
      <c r="K224" s="89"/>
      <c r="L224" s="391"/>
      <c r="M224" s="89"/>
      <c r="N224" s="89"/>
      <c r="O224" s="368"/>
      <c r="P224" s="88"/>
      <c r="Q224" s="89"/>
      <c r="R224" s="362"/>
    </row>
    <row r="225" spans="1:18" ht="14.25" customHeight="1">
      <c r="A225" s="124">
        <v>4300</v>
      </c>
      <c r="B225" s="128" t="s">
        <v>546</v>
      </c>
      <c r="C225" s="88">
        <v>69100</v>
      </c>
      <c r="D225" s="74">
        <f t="shared" si="18"/>
        <v>69100</v>
      </c>
      <c r="E225" s="89">
        <f t="shared" si="20"/>
        <v>0</v>
      </c>
      <c r="F225" s="442">
        <f t="shared" si="21"/>
        <v>0</v>
      </c>
      <c r="G225" s="88">
        <v>69100</v>
      </c>
      <c r="H225" s="89"/>
      <c r="I225" s="224">
        <f t="shared" si="22"/>
        <v>0</v>
      </c>
      <c r="J225" s="126"/>
      <c r="K225" s="89"/>
      <c r="L225" s="391"/>
      <c r="M225" s="89"/>
      <c r="N225" s="89"/>
      <c r="O225" s="368"/>
      <c r="P225" s="88"/>
      <c r="Q225" s="89"/>
      <c r="R225" s="362"/>
    </row>
    <row r="226" spans="1:18" ht="60" hidden="1">
      <c r="A226" s="124">
        <v>4600</v>
      </c>
      <c r="B226" s="128" t="s">
        <v>572</v>
      </c>
      <c r="C226" s="88"/>
      <c r="D226" s="74">
        <f t="shared" si="18"/>
        <v>0</v>
      </c>
      <c r="E226" s="89">
        <f t="shared" si="20"/>
        <v>0</v>
      </c>
      <c r="F226" s="442" t="e">
        <f t="shared" si="21"/>
        <v>#DIV/0!</v>
      </c>
      <c r="G226" s="88"/>
      <c r="H226" s="89"/>
      <c r="I226" s="224" t="e">
        <f t="shared" si="22"/>
        <v>#DIV/0!</v>
      </c>
      <c r="J226" s="126"/>
      <c r="K226" s="89"/>
      <c r="L226" s="391"/>
      <c r="M226" s="89"/>
      <c r="N226" s="89"/>
      <c r="O226" s="368"/>
      <c r="P226" s="88"/>
      <c r="Q226" s="89"/>
      <c r="R226" s="362"/>
    </row>
    <row r="227" spans="1:18" ht="36" hidden="1">
      <c r="A227" s="124">
        <v>4610</v>
      </c>
      <c r="B227" s="128" t="s">
        <v>573</v>
      </c>
      <c r="C227" s="88"/>
      <c r="D227" s="74">
        <f t="shared" si="18"/>
        <v>0</v>
      </c>
      <c r="E227" s="89">
        <f t="shared" si="20"/>
        <v>0</v>
      </c>
      <c r="F227" s="442" t="e">
        <f t="shared" si="21"/>
        <v>#DIV/0!</v>
      </c>
      <c r="G227" s="88"/>
      <c r="H227" s="89"/>
      <c r="I227" s="224" t="e">
        <f t="shared" si="22"/>
        <v>#DIV/0!</v>
      </c>
      <c r="J227" s="126"/>
      <c r="K227" s="89"/>
      <c r="L227" s="391"/>
      <c r="M227" s="89"/>
      <c r="N227" s="89"/>
      <c r="O227" s="368"/>
      <c r="P227" s="88"/>
      <c r="Q227" s="89"/>
      <c r="R227" s="362"/>
    </row>
    <row r="228" spans="1:18" ht="60" hidden="1">
      <c r="A228" s="124">
        <v>6010</v>
      </c>
      <c r="B228" s="128" t="s">
        <v>568</v>
      </c>
      <c r="C228" s="88"/>
      <c r="D228" s="74">
        <f t="shared" si="18"/>
        <v>0</v>
      </c>
      <c r="E228" s="89">
        <f t="shared" si="20"/>
        <v>0</v>
      </c>
      <c r="F228" s="468" t="e">
        <f t="shared" si="21"/>
        <v>#DIV/0!</v>
      </c>
      <c r="G228" s="88"/>
      <c r="H228" s="89"/>
      <c r="I228" s="224" t="e">
        <f t="shared" si="22"/>
        <v>#DIV/0!</v>
      </c>
      <c r="J228" s="126"/>
      <c r="K228" s="89"/>
      <c r="L228" s="391"/>
      <c r="M228" s="89"/>
      <c r="N228" s="89"/>
      <c r="O228" s="368"/>
      <c r="P228" s="88"/>
      <c r="Q228" s="89"/>
      <c r="R228" s="362"/>
    </row>
    <row r="229" spans="1:18" ht="24.75" thickBot="1">
      <c r="A229" s="124">
        <v>6050</v>
      </c>
      <c r="B229" s="128" t="s">
        <v>574</v>
      </c>
      <c r="C229" s="88">
        <v>5600000</v>
      </c>
      <c r="D229" s="74">
        <f t="shared" si="18"/>
        <v>6800000</v>
      </c>
      <c r="E229" s="89">
        <f t="shared" si="20"/>
        <v>3263572</v>
      </c>
      <c r="F229" s="468">
        <f t="shared" si="21"/>
        <v>47.99370588235294</v>
      </c>
      <c r="G229" s="88">
        <f>5600000+700000+140000+360000</f>
        <v>6800000</v>
      </c>
      <c r="H229" s="89">
        <v>3263572</v>
      </c>
      <c r="I229" s="224">
        <f t="shared" si="22"/>
        <v>47.99370588235294</v>
      </c>
      <c r="J229" s="126"/>
      <c r="K229" s="89"/>
      <c r="L229" s="391"/>
      <c r="M229" s="89"/>
      <c r="N229" s="89"/>
      <c r="O229" s="368"/>
      <c r="P229" s="88"/>
      <c r="Q229" s="89"/>
      <c r="R229" s="362"/>
    </row>
    <row r="230" spans="1:18" s="212" customFormat="1" ht="24" customHeight="1" hidden="1">
      <c r="A230" s="207"/>
      <c r="B230" s="208" t="s">
        <v>575</v>
      </c>
      <c r="C230" s="209"/>
      <c r="D230" s="167">
        <f t="shared" si="18"/>
        <v>0</v>
      </c>
      <c r="E230" s="210">
        <f>SUM(H230+K230+N230+Q230)</f>
        <v>0</v>
      </c>
      <c r="F230" s="468" t="e">
        <f t="shared" si="21"/>
        <v>#DIV/0!</v>
      </c>
      <c r="G230" s="209"/>
      <c r="H230" s="167"/>
      <c r="I230" s="224" t="e">
        <f t="shared" si="22"/>
        <v>#DIV/0!</v>
      </c>
      <c r="J230" s="211"/>
      <c r="K230" s="210"/>
      <c r="L230" s="391"/>
      <c r="M230" s="210"/>
      <c r="N230" s="210"/>
      <c r="O230" s="391"/>
      <c r="P230" s="209"/>
      <c r="Q230" s="210"/>
      <c r="R230" s="369"/>
    </row>
    <row r="231" spans="1:18" s="143" customFormat="1" ht="25.5" thickBot="1" thickTop="1">
      <c r="A231" s="131">
        <v>710</v>
      </c>
      <c r="B231" s="132" t="s">
        <v>576</v>
      </c>
      <c r="C231" s="133">
        <f>C237+C239+C241+C259+C232</f>
        <v>3339300</v>
      </c>
      <c r="D231" s="59">
        <f t="shared" si="18"/>
        <v>3674917</v>
      </c>
      <c r="E231" s="59">
        <f t="shared" si="18"/>
        <v>1096139</v>
      </c>
      <c r="F231" s="496">
        <f t="shared" si="21"/>
        <v>29.827585221652626</v>
      </c>
      <c r="G231" s="133">
        <f>G259+G232+G264</f>
        <v>2987700</v>
      </c>
      <c r="H231" s="59">
        <f>H259+H232+H264</f>
        <v>792344</v>
      </c>
      <c r="I231" s="354">
        <f t="shared" si="22"/>
        <v>26.520199484553338</v>
      </c>
      <c r="J231" s="59">
        <f>J259</f>
        <v>16600</v>
      </c>
      <c r="K231" s="59">
        <f>K259</f>
        <v>3060</v>
      </c>
      <c r="L231" s="419">
        <f>K231/J231*100</f>
        <v>18.433734939759034</v>
      </c>
      <c r="M231" s="134">
        <f>M237+M239+M241</f>
        <v>200000</v>
      </c>
      <c r="N231" s="59">
        <f>N237+N239+N241</f>
        <v>80956</v>
      </c>
      <c r="O231" s="354">
        <f>N231/M231*100</f>
        <v>40.477999999999994</v>
      </c>
      <c r="P231" s="133">
        <f>P232+P237+P239+P241</f>
        <v>470617</v>
      </c>
      <c r="Q231" s="59">
        <f>Q237+Q239+Q241+Q232</f>
        <v>219779</v>
      </c>
      <c r="R231" s="354">
        <f aca="true" t="shared" si="23" ref="R231:R258">Q231/P231*100</f>
        <v>46.700182951317096</v>
      </c>
    </row>
    <row r="232" spans="1:18" s="143" customFormat="1" ht="36.75" thickTop="1">
      <c r="A232" s="213">
        <v>71004</v>
      </c>
      <c r="B232" s="214" t="s">
        <v>577</v>
      </c>
      <c r="C232" s="215">
        <f>SUM(C233:C236)</f>
        <v>1354700</v>
      </c>
      <c r="D232" s="67">
        <f t="shared" si="18"/>
        <v>1354700</v>
      </c>
      <c r="E232" s="67">
        <f t="shared" si="18"/>
        <v>277115</v>
      </c>
      <c r="F232" s="518">
        <f t="shared" si="21"/>
        <v>20.455820476858342</v>
      </c>
      <c r="G232" s="216">
        <f>SUM(G233:G236)</f>
        <v>1354700</v>
      </c>
      <c r="H232" s="67">
        <f>SUM(H233:H236)</f>
        <v>277115</v>
      </c>
      <c r="I232" s="355">
        <f t="shared" si="22"/>
        <v>20.455820476858342</v>
      </c>
      <c r="J232" s="217"/>
      <c r="K232" s="67"/>
      <c r="L232" s="420"/>
      <c r="M232" s="67"/>
      <c r="N232" s="67"/>
      <c r="O232" s="404"/>
      <c r="P232" s="215"/>
      <c r="Q232" s="67"/>
      <c r="R232" s="355"/>
    </row>
    <row r="233" spans="1:18" s="12" customFormat="1" ht="24">
      <c r="A233" s="124">
        <v>4110</v>
      </c>
      <c r="B233" s="205" t="s">
        <v>498</v>
      </c>
      <c r="C233" s="218">
        <v>600</v>
      </c>
      <c r="D233" s="74">
        <f t="shared" si="18"/>
        <v>600</v>
      </c>
      <c r="E233" s="74">
        <f t="shared" si="18"/>
        <v>32</v>
      </c>
      <c r="F233" s="468">
        <f t="shared" si="21"/>
        <v>5.333333333333334</v>
      </c>
      <c r="G233" s="218">
        <v>600</v>
      </c>
      <c r="H233" s="74">
        <v>32</v>
      </c>
      <c r="I233" s="224">
        <f t="shared" si="22"/>
        <v>5.333333333333334</v>
      </c>
      <c r="J233" s="175"/>
      <c r="K233" s="74"/>
      <c r="L233" s="391"/>
      <c r="M233" s="74"/>
      <c r="N233" s="74"/>
      <c r="O233" s="224"/>
      <c r="P233" s="174"/>
      <c r="Q233" s="74"/>
      <c r="R233" s="224"/>
    </row>
    <row r="234" spans="1:18" s="12" customFormat="1" ht="24">
      <c r="A234" s="172">
        <v>4120</v>
      </c>
      <c r="B234" s="206" t="s">
        <v>578</v>
      </c>
      <c r="C234" s="218">
        <v>100</v>
      </c>
      <c r="D234" s="74">
        <f t="shared" si="18"/>
        <v>100</v>
      </c>
      <c r="E234" s="74">
        <f t="shared" si="18"/>
        <v>0</v>
      </c>
      <c r="F234" s="468">
        <f>E234/D234*100</f>
        <v>0</v>
      </c>
      <c r="G234" s="218">
        <v>100</v>
      </c>
      <c r="H234" s="74"/>
      <c r="I234" s="224">
        <f t="shared" si="22"/>
        <v>0</v>
      </c>
      <c r="J234" s="175"/>
      <c r="K234" s="74"/>
      <c r="L234" s="391"/>
      <c r="M234" s="74"/>
      <c r="N234" s="74"/>
      <c r="O234" s="224"/>
      <c r="P234" s="174"/>
      <c r="Q234" s="74"/>
      <c r="R234" s="224"/>
    </row>
    <row r="235" spans="1:18" s="12" customFormat="1" ht="24">
      <c r="A235" s="197">
        <v>4170</v>
      </c>
      <c r="B235" s="258" t="s">
        <v>536</v>
      </c>
      <c r="C235" s="569">
        <v>24000</v>
      </c>
      <c r="D235" s="161">
        <f t="shared" si="18"/>
        <v>24000</v>
      </c>
      <c r="E235" s="161">
        <f t="shared" si="18"/>
        <v>420</v>
      </c>
      <c r="F235" s="469">
        <f t="shared" si="21"/>
        <v>1.7500000000000002</v>
      </c>
      <c r="G235" s="569">
        <v>24000</v>
      </c>
      <c r="H235" s="161">
        <v>420</v>
      </c>
      <c r="I235" s="274">
        <f t="shared" si="22"/>
        <v>1.7500000000000002</v>
      </c>
      <c r="J235" s="177"/>
      <c r="K235" s="161"/>
      <c r="L235" s="415"/>
      <c r="M235" s="161"/>
      <c r="N235" s="161"/>
      <c r="O235" s="274"/>
      <c r="P235" s="176"/>
      <c r="Q235" s="161"/>
      <c r="R235" s="274"/>
    </row>
    <row r="236" spans="1:18" s="12" customFormat="1" ht="60">
      <c r="A236" s="172">
        <v>4300</v>
      </c>
      <c r="B236" s="206" t="s">
        <v>286</v>
      </c>
      <c r="C236" s="174">
        <v>1330000</v>
      </c>
      <c r="D236" s="74">
        <f t="shared" si="18"/>
        <v>1330000</v>
      </c>
      <c r="E236" s="74">
        <f t="shared" si="18"/>
        <v>276663</v>
      </c>
      <c r="F236" s="468">
        <f t="shared" si="21"/>
        <v>20.801729323308273</v>
      </c>
      <c r="G236" s="174">
        <v>1330000</v>
      </c>
      <c r="H236" s="74">
        <v>276663</v>
      </c>
      <c r="I236" s="224">
        <f t="shared" si="22"/>
        <v>20.801729323308273</v>
      </c>
      <c r="J236" s="175"/>
      <c r="K236" s="74"/>
      <c r="L236" s="391"/>
      <c r="M236" s="74"/>
      <c r="N236" s="74"/>
      <c r="O236" s="224"/>
      <c r="P236" s="174"/>
      <c r="Q236" s="74"/>
      <c r="R236" s="224"/>
    </row>
    <row r="237" spans="1:18" s="118" customFormat="1" ht="34.5" customHeight="1">
      <c r="A237" s="119">
        <v>71013</v>
      </c>
      <c r="B237" s="185" t="s">
        <v>579</v>
      </c>
      <c r="C237" s="121">
        <f>C238</f>
        <v>75000</v>
      </c>
      <c r="D237" s="95">
        <f t="shared" si="18"/>
        <v>75000</v>
      </c>
      <c r="E237" s="84">
        <f>E238</f>
        <v>12500</v>
      </c>
      <c r="F237" s="467">
        <f t="shared" si="21"/>
        <v>16.666666666666664</v>
      </c>
      <c r="G237" s="121"/>
      <c r="H237" s="84"/>
      <c r="I237" s="381"/>
      <c r="J237" s="123"/>
      <c r="K237" s="84"/>
      <c r="L237" s="417"/>
      <c r="M237" s="84"/>
      <c r="N237" s="84"/>
      <c r="O237" s="381"/>
      <c r="P237" s="121">
        <f>P238</f>
        <v>75000</v>
      </c>
      <c r="Q237" s="84">
        <f>Q238</f>
        <v>12500</v>
      </c>
      <c r="R237" s="448">
        <f t="shared" si="23"/>
        <v>16.666666666666664</v>
      </c>
    </row>
    <row r="238" spans="1:18" ht="24">
      <c r="A238" s="144">
        <v>4300</v>
      </c>
      <c r="B238" s="145" t="s">
        <v>510</v>
      </c>
      <c r="C238" s="146">
        <v>75000</v>
      </c>
      <c r="D238" s="147">
        <f t="shared" si="18"/>
        <v>75000</v>
      </c>
      <c r="E238" s="149">
        <f>SUM(H238+K238+N238+Q238)</f>
        <v>12500</v>
      </c>
      <c r="F238" s="467">
        <f t="shared" si="21"/>
        <v>16.666666666666664</v>
      </c>
      <c r="G238" s="146"/>
      <c r="H238" s="149"/>
      <c r="I238" s="381"/>
      <c r="J238" s="148"/>
      <c r="K238" s="149"/>
      <c r="L238" s="406"/>
      <c r="M238" s="149"/>
      <c r="N238" s="149"/>
      <c r="O238" s="381"/>
      <c r="P238" s="146">
        <v>75000</v>
      </c>
      <c r="Q238" s="149">
        <v>12500</v>
      </c>
      <c r="R238" s="448">
        <f t="shared" si="23"/>
        <v>16.666666666666664</v>
      </c>
    </row>
    <row r="239" spans="1:18" s="118" customFormat="1" ht="22.5" customHeight="1">
      <c r="A239" s="188">
        <v>71014</v>
      </c>
      <c r="B239" s="189" t="s">
        <v>580</v>
      </c>
      <c r="C239" s="190">
        <f>C240</f>
        <v>20000</v>
      </c>
      <c r="D239" s="122">
        <f t="shared" si="18"/>
        <v>20000</v>
      </c>
      <c r="E239" s="192">
        <f>E240</f>
        <v>3332</v>
      </c>
      <c r="F239" s="469">
        <f t="shared" si="21"/>
        <v>16.66</v>
      </c>
      <c r="G239" s="190"/>
      <c r="H239" s="192"/>
      <c r="I239" s="387"/>
      <c r="J239" s="193"/>
      <c r="K239" s="192"/>
      <c r="L239" s="424"/>
      <c r="M239" s="192"/>
      <c r="N239" s="192"/>
      <c r="O239" s="387"/>
      <c r="P239" s="190">
        <f>P240</f>
        <v>20000</v>
      </c>
      <c r="Q239" s="192">
        <f>Q240</f>
        <v>3332</v>
      </c>
      <c r="R239" s="462">
        <f t="shared" si="23"/>
        <v>16.66</v>
      </c>
    </row>
    <row r="240" spans="1:18" ht="24">
      <c r="A240" s="158">
        <v>4300</v>
      </c>
      <c r="B240" s="159" t="s">
        <v>510</v>
      </c>
      <c r="C240" s="88">
        <v>20000</v>
      </c>
      <c r="D240" s="161">
        <f t="shared" si="18"/>
        <v>20000</v>
      </c>
      <c r="E240" s="89">
        <f>SUM(H240+K240+N240+Q240)</f>
        <v>3332</v>
      </c>
      <c r="F240" s="467">
        <f t="shared" si="21"/>
        <v>16.66</v>
      </c>
      <c r="G240" s="160"/>
      <c r="H240" s="155"/>
      <c r="I240" s="387"/>
      <c r="J240" s="162"/>
      <c r="K240" s="155"/>
      <c r="L240" s="415"/>
      <c r="M240" s="155"/>
      <c r="N240" s="155"/>
      <c r="O240" s="387"/>
      <c r="P240" s="160">
        <v>20000</v>
      </c>
      <c r="Q240" s="155">
        <v>3332</v>
      </c>
      <c r="R240" s="462">
        <f t="shared" si="23"/>
        <v>16.66</v>
      </c>
    </row>
    <row r="241" spans="1:18" ht="12.75">
      <c r="A241" s="119">
        <v>71015</v>
      </c>
      <c r="B241" s="185" t="s">
        <v>581</v>
      </c>
      <c r="C241" s="121">
        <f>SUM(C242:C258)</f>
        <v>540000</v>
      </c>
      <c r="D241" s="122">
        <f t="shared" si="18"/>
        <v>575617</v>
      </c>
      <c r="E241" s="95">
        <f>H241+K241+Q241+N241</f>
        <v>284903</v>
      </c>
      <c r="F241" s="467">
        <f t="shared" si="21"/>
        <v>49.495237284513834</v>
      </c>
      <c r="G241" s="121"/>
      <c r="H241" s="84"/>
      <c r="I241" s="381"/>
      <c r="J241" s="123"/>
      <c r="K241" s="84"/>
      <c r="L241" s="417"/>
      <c r="M241" s="84">
        <f>SUM(M242:M258)</f>
        <v>200000</v>
      </c>
      <c r="N241" s="84">
        <f>SUM(N242:N258)</f>
        <v>80956</v>
      </c>
      <c r="O241" s="274">
        <f>N241/M241*100</f>
        <v>40.477999999999994</v>
      </c>
      <c r="P241" s="121">
        <f>SUM(P242:P258)</f>
        <v>375617</v>
      </c>
      <c r="Q241" s="84">
        <f>SUM(Q242:Q258)</f>
        <v>203947</v>
      </c>
      <c r="R241" s="462">
        <f t="shared" si="23"/>
        <v>54.296530774698695</v>
      </c>
    </row>
    <row r="242" spans="1:18" ht="22.5" customHeight="1">
      <c r="A242" s="124">
        <v>4010</v>
      </c>
      <c r="B242" s="128" t="s">
        <v>492</v>
      </c>
      <c r="C242" s="88">
        <v>316440</v>
      </c>
      <c r="D242" s="74">
        <f t="shared" si="18"/>
        <v>352057</v>
      </c>
      <c r="E242" s="89">
        <f aca="true" t="shared" si="24" ref="E242:E259">SUM(H242+K242+N242+Q242)</f>
        <v>173130</v>
      </c>
      <c r="F242" s="468">
        <f t="shared" si="21"/>
        <v>49.17669581914292</v>
      </c>
      <c r="G242" s="88"/>
      <c r="H242" s="89"/>
      <c r="I242" s="368"/>
      <c r="J242" s="126"/>
      <c r="K242" s="89"/>
      <c r="L242" s="391"/>
      <c r="M242" s="89">
        <v>121000</v>
      </c>
      <c r="N242" s="89">
        <v>55603</v>
      </c>
      <c r="O242" s="224">
        <f>N242/M242*100</f>
        <v>45.952892561983475</v>
      </c>
      <c r="P242" s="88">
        <f>195440+11000+8339+16278</f>
        <v>231057</v>
      </c>
      <c r="Q242" s="89">
        <v>117527</v>
      </c>
      <c r="R242" s="442">
        <f t="shared" si="23"/>
        <v>50.86493808886985</v>
      </c>
    </row>
    <row r="243" spans="1:18" ht="22.5" customHeight="1">
      <c r="A243" s="124">
        <v>3020</v>
      </c>
      <c r="B243" s="128" t="s">
        <v>398</v>
      </c>
      <c r="C243" s="88"/>
      <c r="D243" s="74">
        <f>G243+J243+P243+M243</f>
        <v>2250</v>
      </c>
      <c r="E243" s="89">
        <f>SUM(H243+K243+N243+Q243)</f>
        <v>0</v>
      </c>
      <c r="F243" s="468">
        <f>E243/D243*100</f>
        <v>0</v>
      </c>
      <c r="G243" s="88"/>
      <c r="H243" s="89"/>
      <c r="I243" s="368"/>
      <c r="J243" s="126"/>
      <c r="K243" s="89"/>
      <c r="L243" s="391"/>
      <c r="M243" s="89">
        <v>2250</v>
      </c>
      <c r="N243" s="89"/>
      <c r="O243" s="442">
        <f>N243/M243*100</f>
        <v>0</v>
      </c>
      <c r="P243" s="88"/>
      <c r="Q243" s="89"/>
      <c r="R243" s="442"/>
    </row>
    <row r="244" spans="1:18" ht="24">
      <c r="A244" s="124">
        <v>4040</v>
      </c>
      <c r="B244" s="128" t="s">
        <v>541</v>
      </c>
      <c r="C244" s="88">
        <v>18300</v>
      </c>
      <c r="D244" s="74">
        <f t="shared" si="18"/>
        <v>18165</v>
      </c>
      <c r="E244" s="89">
        <f t="shared" si="24"/>
        <v>18165</v>
      </c>
      <c r="F244" s="468">
        <f t="shared" si="21"/>
        <v>100</v>
      </c>
      <c r="G244" s="88"/>
      <c r="H244" s="89"/>
      <c r="I244" s="368"/>
      <c r="J244" s="126"/>
      <c r="K244" s="89"/>
      <c r="L244" s="391"/>
      <c r="M244" s="89">
        <f>6700-135</f>
        <v>6565</v>
      </c>
      <c r="N244" s="89">
        <v>6565</v>
      </c>
      <c r="O244" s="442">
        <f>N244/M244*100</f>
        <v>100</v>
      </c>
      <c r="P244" s="88">
        <v>11600</v>
      </c>
      <c r="Q244" s="89">
        <v>11600</v>
      </c>
      <c r="R244" s="442">
        <f t="shared" si="23"/>
        <v>100</v>
      </c>
    </row>
    <row r="245" spans="1:18" ht="24">
      <c r="A245" s="124">
        <v>4110</v>
      </c>
      <c r="B245" s="205" t="s">
        <v>498</v>
      </c>
      <c r="C245" s="88">
        <v>53750</v>
      </c>
      <c r="D245" s="74">
        <f t="shared" si="18"/>
        <v>53750</v>
      </c>
      <c r="E245" s="89">
        <f t="shared" si="24"/>
        <v>22808</v>
      </c>
      <c r="F245" s="468">
        <f t="shared" si="21"/>
        <v>42.433488372093024</v>
      </c>
      <c r="G245" s="88"/>
      <c r="H245" s="89"/>
      <c r="I245" s="368"/>
      <c r="J245" s="126"/>
      <c r="K245" s="89"/>
      <c r="L245" s="391"/>
      <c r="M245" s="89">
        <v>20500</v>
      </c>
      <c r="N245" s="89">
        <v>8752</v>
      </c>
      <c r="O245" s="224">
        <f aca="true" t="shared" si="25" ref="O245:O258">N245/M245*100</f>
        <v>42.69268292682927</v>
      </c>
      <c r="P245" s="88">
        <v>33250</v>
      </c>
      <c r="Q245" s="89">
        <v>14056</v>
      </c>
      <c r="R245" s="442">
        <f t="shared" si="23"/>
        <v>42.27368421052631</v>
      </c>
    </row>
    <row r="246" spans="1:18" ht="13.5" customHeight="1">
      <c r="A246" s="124">
        <v>4120</v>
      </c>
      <c r="B246" s="128" t="s">
        <v>578</v>
      </c>
      <c r="C246" s="88">
        <v>8200</v>
      </c>
      <c r="D246" s="74">
        <f t="shared" si="18"/>
        <v>8200</v>
      </c>
      <c r="E246" s="89">
        <f t="shared" si="24"/>
        <v>3479</v>
      </c>
      <c r="F246" s="468">
        <f t="shared" si="21"/>
        <v>42.42682926829268</v>
      </c>
      <c r="G246" s="88"/>
      <c r="H246" s="89"/>
      <c r="I246" s="368"/>
      <c r="J246" s="126"/>
      <c r="K246" s="89"/>
      <c r="L246" s="391"/>
      <c r="M246" s="89">
        <v>3100</v>
      </c>
      <c r="N246" s="89">
        <v>1335</v>
      </c>
      <c r="O246" s="224">
        <f t="shared" si="25"/>
        <v>43.064516129032256</v>
      </c>
      <c r="P246" s="88">
        <v>5100</v>
      </c>
      <c r="Q246" s="89">
        <v>2144</v>
      </c>
      <c r="R246" s="442">
        <f t="shared" si="23"/>
        <v>42.03921568627451</v>
      </c>
    </row>
    <row r="247" spans="1:18" ht="22.5" customHeight="1">
      <c r="A247" s="124">
        <v>4210</v>
      </c>
      <c r="B247" s="128" t="s">
        <v>502</v>
      </c>
      <c r="C247" s="88">
        <v>38100</v>
      </c>
      <c r="D247" s="74">
        <f t="shared" si="18"/>
        <v>35985</v>
      </c>
      <c r="E247" s="89">
        <f t="shared" si="24"/>
        <v>3922</v>
      </c>
      <c r="F247" s="468">
        <f t="shared" si="21"/>
        <v>10.898985688481313</v>
      </c>
      <c r="G247" s="88"/>
      <c r="H247" s="89"/>
      <c r="I247" s="368"/>
      <c r="J247" s="126"/>
      <c r="K247" s="89"/>
      <c r="L247" s="391"/>
      <c r="M247" s="126">
        <f>18100-2115</f>
        <v>15985</v>
      </c>
      <c r="N247" s="126">
        <v>87</v>
      </c>
      <c r="O247" s="442">
        <f t="shared" si="25"/>
        <v>0.5442602439787301</v>
      </c>
      <c r="P247" s="88">
        <v>20000</v>
      </c>
      <c r="Q247" s="89">
        <v>3835</v>
      </c>
      <c r="R247" s="442">
        <f t="shared" si="23"/>
        <v>19.175</v>
      </c>
    </row>
    <row r="248" spans="1:18" ht="24">
      <c r="A248" s="124">
        <v>4300</v>
      </c>
      <c r="B248" s="291" t="s">
        <v>510</v>
      </c>
      <c r="C248" s="88">
        <v>37100</v>
      </c>
      <c r="D248" s="74">
        <f t="shared" si="18"/>
        <v>37100</v>
      </c>
      <c r="E248" s="89">
        <f t="shared" si="24"/>
        <v>9297</v>
      </c>
      <c r="F248" s="468">
        <f t="shared" si="21"/>
        <v>25.059299191374663</v>
      </c>
      <c r="G248" s="88"/>
      <c r="H248" s="89"/>
      <c r="I248" s="368"/>
      <c r="J248" s="126"/>
      <c r="K248" s="89"/>
      <c r="L248" s="391"/>
      <c r="M248" s="126">
        <v>17100</v>
      </c>
      <c r="N248" s="126">
        <v>4062</v>
      </c>
      <c r="O248" s="224">
        <f t="shared" si="25"/>
        <v>23.75438596491228</v>
      </c>
      <c r="P248" s="88">
        <v>20000</v>
      </c>
      <c r="Q248" s="89">
        <v>5235</v>
      </c>
      <c r="R248" s="442">
        <f t="shared" si="23"/>
        <v>26.174999999999997</v>
      </c>
    </row>
    <row r="249" spans="1:18" ht="24">
      <c r="A249" s="172">
        <v>4350</v>
      </c>
      <c r="B249" s="337" t="s">
        <v>48</v>
      </c>
      <c r="C249" s="88">
        <v>800</v>
      </c>
      <c r="D249" s="74">
        <f t="shared" si="18"/>
        <v>800</v>
      </c>
      <c r="E249" s="89">
        <f t="shared" si="24"/>
        <v>336</v>
      </c>
      <c r="F249" s="468">
        <f t="shared" si="21"/>
        <v>42</v>
      </c>
      <c r="G249" s="88"/>
      <c r="H249" s="89"/>
      <c r="I249" s="368"/>
      <c r="J249" s="126"/>
      <c r="K249" s="89"/>
      <c r="L249" s="391"/>
      <c r="M249" s="126">
        <v>400</v>
      </c>
      <c r="N249" s="126"/>
      <c r="O249" s="224">
        <f t="shared" si="25"/>
        <v>0</v>
      </c>
      <c r="P249" s="88">
        <v>400</v>
      </c>
      <c r="Q249" s="89">
        <v>336</v>
      </c>
      <c r="R249" s="442">
        <f t="shared" si="23"/>
        <v>84</v>
      </c>
    </row>
    <row r="250" spans="1:18" ht="48">
      <c r="A250" s="172">
        <v>4360</v>
      </c>
      <c r="B250" s="337" t="s">
        <v>287</v>
      </c>
      <c r="C250" s="88">
        <v>1200</v>
      </c>
      <c r="D250" s="74">
        <f t="shared" si="18"/>
        <v>1200</v>
      </c>
      <c r="E250" s="89">
        <f t="shared" si="24"/>
        <v>435</v>
      </c>
      <c r="F250" s="468">
        <f t="shared" si="21"/>
        <v>36.25</v>
      </c>
      <c r="G250" s="88"/>
      <c r="H250" s="89"/>
      <c r="I250" s="368"/>
      <c r="J250" s="126"/>
      <c r="K250" s="89"/>
      <c r="L250" s="391"/>
      <c r="M250" s="126">
        <v>1200</v>
      </c>
      <c r="N250" s="126">
        <v>435</v>
      </c>
      <c r="O250" s="224">
        <f t="shared" si="25"/>
        <v>36.25</v>
      </c>
      <c r="P250" s="88"/>
      <c r="Q250" s="89"/>
      <c r="R250" s="442"/>
    </row>
    <row r="251" spans="1:18" ht="48">
      <c r="A251" s="172">
        <v>4370</v>
      </c>
      <c r="B251" s="337" t="s">
        <v>288</v>
      </c>
      <c r="C251" s="88">
        <v>3000</v>
      </c>
      <c r="D251" s="74">
        <f t="shared" si="18"/>
        <v>3000</v>
      </c>
      <c r="E251" s="89">
        <f t="shared" si="24"/>
        <v>1049</v>
      </c>
      <c r="F251" s="468">
        <f t="shared" si="21"/>
        <v>34.96666666666667</v>
      </c>
      <c r="G251" s="88"/>
      <c r="H251" s="89"/>
      <c r="I251" s="368"/>
      <c r="J251" s="126"/>
      <c r="K251" s="89"/>
      <c r="L251" s="391"/>
      <c r="M251" s="126">
        <v>1500</v>
      </c>
      <c r="N251" s="126"/>
      <c r="O251" s="224">
        <f t="shared" si="25"/>
        <v>0</v>
      </c>
      <c r="P251" s="88">
        <v>1500</v>
      </c>
      <c r="Q251" s="89">
        <v>1049</v>
      </c>
      <c r="R251" s="442">
        <f t="shared" si="23"/>
        <v>69.93333333333334</v>
      </c>
    </row>
    <row r="252" spans="1:18" ht="24">
      <c r="A252" s="172">
        <v>4400</v>
      </c>
      <c r="B252" s="337" t="s">
        <v>289</v>
      </c>
      <c r="C252" s="88">
        <v>1200</v>
      </c>
      <c r="D252" s="74">
        <f t="shared" si="18"/>
        <v>1200</v>
      </c>
      <c r="E252" s="89">
        <f t="shared" si="24"/>
        <v>600</v>
      </c>
      <c r="F252" s="468">
        <f t="shared" si="21"/>
        <v>50</v>
      </c>
      <c r="G252" s="88"/>
      <c r="H252" s="89"/>
      <c r="I252" s="368"/>
      <c r="J252" s="126"/>
      <c r="K252" s="89"/>
      <c r="L252" s="391"/>
      <c r="M252" s="126">
        <v>600</v>
      </c>
      <c r="N252" s="126"/>
      <c r="O252" s="224">
        <f t="shared" si="25"/>
        <v>0</v>
      </c>
      <c r="P252" s="88">
        <v>600</v>
      </c>
      <c r="Q252" s="89">
        <v>600</v>
      </c>
      <c r="R252" s="442">
        <f t="shared" si="23"/>
        <v>100</v>
      </c>
    </row>
    <row r="253" spans="1:18" ht="14.25" customHeight="1">
      <c r="A253" s="124">
        <v>4410</v>
      </c>
      <c r="B253" s="291" t="s">
        <v>582</v>
      </c>
      <c r="C253" s="88">
        <v>5910</v>
      </c>
      <c r="D253" s="74">
        <f aca="true" t="shared" si="26" ref="D253:E286">G253+J253+P253+M253</f>
        <v>5910</v>
      </c>
      <c r="E253" s="89">
        <f t="shared" si="24"/>
        <v>3383</v>
      </c>
      <c r="F253" s="468">
        <f t="shared" si="21"/>
        <v>57.2419627749577</v>
      </c>
      <c r="G253" s="88"/>
      <c r="H253" s="89"/>
      <c r="I253" s="368"/>
      <c r="J253" s="126"/>
      <c r="K253" s="89"/>
      <c r="L253" s="391"/>
      <c r="M253" s="126">
        <v>2500</v>
      </c>
      <c r="N253" s="126">
        <v>717</v>
      </c>
      <c r="O253" s="224">
        <f t="shared" si="25"/>
        <v>28.68</v>
      </c>
      <c r="P253" s="88">
        <v>3410</v>
      </c>
      <c r="Q253" s="89">
        <f>2665+1</f>
        <v>2666</v>
      </c>
      <c r="R253" s="442">
        <f t="shared" si="23"/>
        <v>78.18181818181819</v>
      </c>
    </row>
    <row r="254" spans="1:18" ht="10.5" customHeight="1">
      <c r="A254" s="124">
        <v>4440</v>
      </c>
      <c r="B254" s="291" t="s">
        <v>514</v>
      </c>
      <c r="C254" s="88">
        <v>8100</v>
      </c>
      <c r="D254" s="74">
        <f t="shared" si="26"/>
        <v>8100</v>
      </c>
      <c r="E254" s="89">
        <f t="shared" si="24"/>
        <v>8100</v>
      </c>
      <c r="F254" s="468">
        <f t="shared" si="21"/>
        <v>100</v>
      </c>
      <c r="G254" s="88"/>
      <c r="H254" s="89"/>
      <c r="I254" s="368"/>
      <c r="J254" s="126"/>
      <c r="K254" s="89"/>
      <c r="L254" s="391"/>
      <c r="M254" s="126">
        <v>3400</v>
      </c>
      <c r="N254" s="126">
        <v>3400</v>
      </c>
      <c r="O254" s="442">
        <f t="shared" si="25"/>
        <v>100</v>
      </c>
      <c r="P254" s="88">
        <v>4700</v>
      </c>
      <c r="Q254" s="89">
        <v>4700</v>
      </c>
      <c r="R254" s="442">
        <f t="shared" si="23"/>
        <v>100</v>
      </c>
    </row>
    <row r="255" spans="1:18" ht="36">
      <c r="A255" s="197">
        <v>4700</v>
      </c>
      <c r="B255" s="198" t="s">
        <v>285</v>
      </c>
      <c r="C255" s="160">
        <v>1500</v>
      </c>
      <c r="D255" s="161">
        <f t="shared" si="26"/>
        <v>1500</v>
      </c>
      <c r="E255" s="155">
        <f t="shared" si="24"/>
        <v>0</v>
      </c>
      <c r="F255" s="469">
        <f t="shared" si="21"/>
        <v>0</v>
      </c>
      <c r="G255" s="160"/>
      <c r="H255" s="155"/>
      <c r="I255" s="387"/>
      <c r="J255" s="162"/>
      <c r="K255" s="155"/>
      <c r="L255" s="415"/>
      <c r="M255" s="162"/>
      <c r="N255" s="162"/>
      <c r="O255" s="274"/>
      <c r="P255" s="160">
        <v>1500</v>
      </c>
      <c r="Q255" s="155"/>
      <c r="R255" s="462">
        <f t="shared" si="23"/>
        <v>0</v>
      </c>
    </row>
    <row r="256" spans="1:18" ht="60">
      <c r="A256" s="172">
        <v>4740</v>
      </c>
      <c r="B256" s="337" t="s">
        <v>290</v>
      </c>
      <c r="C256" s="88">
        <v>1000</v>
      </c>
      <c r="D256" s="74">
        <f>G256+J256+P256+M256</f>
        <v>1000</v>
      </c>
      <c r="E256" s="89">
        <f>SUM(H256+K256+N256+Q256)</f>
        <v>0</v>
      </c>
      <c r="F256" s="468">
        <f>E256/D256*100</f>
        <v>0</v>
      </c>
      <c r="G256" s="88"/>
      <c r="H256" s="89"/>
      <c r="I256" s="368"/>
      <c r="J256" s="126"/>
      <c r="K256" s="89"/>
      <c r="L256" s="391"/>
      <c r="M256" s="126">
        <v>500</v>
      </c>
      <c r="N256" s="126"/>
      <c r="O256" s="224">
        <f t="shared" si="25"/>
        <v>0</v>
      </c>
      <c r="P256" s="88">
        <v>500</v>
      </c>
      <c r="Q256" s="89"/>
      <c r="R256" s="442">
        <f t="shared" si="23"/>
        <v>0</v>
      </c>
    </row>
    <row r="257" spans="1:18" ht="36">
      <c r="A257" s="172">
        <v>6060</v>
      </c>
      <c r="B257" s="128" t="s">
        <v>49</v>
      </c>
      <c r="C257" s="88">
        <v>40000</v>
      </c>
      <c r="D257" s="74">
        <f>G257+J257+P257+M257</f>
        <v>40000</v>
      </c>
      <c r="E257" s="89">
        <f>SUM(H257+K257+N257+Q257)</f>
        <v>40000</v>
      </c>
      <c r="F257" s="468">
        <f>E257/D257*100</f>
        <v>100</v>
      </c>
      <c r="G257" s="88"/>
      <c r="H257" s="89"/>
      <c r="I257" s="368"/>
      <c r="J257" s="126"/>
      <c r="K257" s="89"/>
      <c r="L257" s="391"/>
      <c r="M257" s="126"/>
      <c r="N257" s="126"/>
      <c r="O257" s="442"/>
      <c r="P257" s="88">
        <v>40000</v>
      </c>
      <c r="Q257" s="89">
        <v>40000</v>
      </c>
      <c r="R257" s="442">
        <f t="shared" si="23"/>
        <v>100</v>
      </c>
    </row>
    <row r="258" spans="1:18" ht="36">
      <c r="A258" s="197">
        <v>4750</v>
      </c>
      <c r="B258" s="198" t="s">
        <v>291</v>
      </c>
      <c r="C258" s="160">
        <v>5400</v>
      </c>
      <c r="D258" s="161">
        <f t="shared" si="26"/>
        <v>5400</v>
      </c>
      <c r="E258" s="155">
        <f t="shared" si="24"/>
        <v>199</v>
      </c>
      <c r="F258" s="469">
        <f t="shared" si="21"/>
        <v>3.685185185185185</v>
      </c>
      <c r="G258" s="160"/>
      <c r="H258" s="155"/>
      <c r="I258" s="387"/>
      <c r="J258" s="162"/>
      <c r="K258" s="155"/>
      <c r="L258" s="415"/>
      <c r="M258" s="162">
        <v>3400</v>
      </c>
      <c r="N258" s="162"/>
      <c r="O258" s="224">
        <f t="shared" si="25"/>
        <v>0</v>
      </c>
      <c r="P258" s="160">
        <v>2000</v>
      </c>
      <c r="Q258" s="155">
        <v>199</v>
      </c>
      <c r="R258" s="462">
        <f t="shared" si="23"/>
        <v>9.950000000000001</v>
      </c>
    </row>
    <row r="259" spans="1:18" s="143" customFormat="1" ht="13.5" customHeight="1">
      <c r="A259" s="150">
        <v>71035</v>
      </c>
      <c r="B259" s="187" t="s">
        <v>583</v>
      </c>
      <c r="C259" s="94">
        <f>SUM(C260:C263)</f>
        <v>1349600</v>
      </c>
      <c r="D259" s="95">
        <f t="shared" si="26"/>
        <v>1649600</v>
      </c>
      <c r="E259" s="95">
        <f t="shared" si="24"/>
        <v>518289</v>
      </c>
      <c r="F259" s="476">
        <f t="shared" si="21"/>
        <v>31.419071290009697</v>
      </c>
      <c r="G259" s="94">
        <f>SUM(G260:G263)</f>
        <v>1633000</v>
      </c>
      <c r="H259" s="95">
        <f>SUM(H260:H263)</f>
        <v>515229</v>
      </c>
      <c r="I259" s="316">
        <f aca="true" t="shared" si="27" ref="I259:I271">H259/G259*100</f>
        <v>31.551071647274952</v>
      </c>
      <c r="J259" s="171">
        <f>SUM(J261:J263)</f>
        <v>16600</v>
      </c>
      <c r="K259" s="95">
        <f>SUM(K261:K263)</f>
        <v>3060</v>
      </c>
      <c r="L259" s="417">
        <f>K259/J259*100</f>
        <v>18.433734939759034</v>
      </c>
      <c r="M259" s="171"/>
      <c r="N259" s="171"/>
      <c r="O259" s="402"/>
      <c r="P259" s="94"/>
      <c r="Q259" s="95"/>
      <c r="R259" s="271"/>
    </row>
    <row r="260" spans="1:18" s="12" customFormat="1" ht="16.5" customHeight="1" hidden="1">
      <c r="A260" s="172">
        <v>4270</v>
      </c>
      <c r="B260" s="206" t="s">
        <v>508</v>
      </c>
      <c r="C260" s="174"/>
      <c r="D260" s="74">
        <f t="shared" si="26"/>
        <v>0</v>
      </c>
      <c r="E260" s="74">
        <f t="shared" si="26"/>
        <v>0</v>
      </c>
      <c r="F260" s="468"/>
      <c r="G260" s="174"/>
      <c r="H260" s="74"/>
      <c r="I260" s="224"/>
      <c r="J260" s="175"/>
      <c r="K260" s="74"/>
      <c r="L260" s="391"/>
      <c r="M260" s="175"/>
      <c r="N260" s="175"/>
      <c r="O260" s="368"/>
      <c r="P260" s="174"/>
      <c r="Q260" s="74"/>
      <c r="R260" s="224"/>
    </row>
    <row r="261" spans="1:18" ht="24.75" customHeight="1">
      <c r="A261" s="124">
        <v>4300</v>
      </c>
      <c r="B261" s="128" t="s">
        <v>584</v>
      </c>
      <c r="C261" s="88">
        <v>16600</v>
      </c>
      <c r="D261" s="74">
        <f t="shared" si="26"/>
        <v>16600</v>
      </c>
      <c r="E261" s="74">
        <f t="shared" si="26"/>
        <v>3060</v>
      </c>
      <c r="F261" s="468">
        <f t="shared" si="21"/>
        <v>18.433734939759034</v>
      </c>
      <c r="G261" s="88"/>
      <c r="H261" s="89"/>
      <c r="I261" s="224"/>
      <c r="J261" s="126">
        <v>16600</v>
      </c>
      <c r="K261" s="89">
        <v>3060</v>
      </c>
      <c r="L261" s="391">
        <f>K261/J261*100</f>
        <v>18.433734939759034</v>
      </c>
      <c r="M261" s="126"/>
      <c r="N261" s="126"/>
      <c r="O261" s="368"/>
      <c r="P261" s="88"/>
      <c r="Q261" s="89"/>
      <c r="R261" s="224"/>
    </row>
    <row r="262" spans="1:18" ht="29.25" customHeight="1">
      <c r="A262" s="124">
        <v>4300</v>
      </c>
      <c r="B262" s="128" t="s">
        <v>585</v>
      </c>
      <c r="C262" s="88">
        <v>1233000</v>
      </c>
      <c r="D262" s="74">
        <f t="shared" si="26"/>
        <v>1233000</v>
      </c>
      <c r="E262" s="74">
        <f t="shared" si="26"/>
        <v>439579</v>
      </c>
      <c r="F262" s="468">
        <f t="shared" si="21"/>
        <v>35.65117599351176</v>
      </c>
      <c r="G262" s="174">
        <v>1233000</v>
      </c>
      <c r="H262" s="74">
        <v>439579</v>
      </c>
      <c r="I262" s="224">
        <f t="shared" si="27"/>
        <v>35.65117599351176</v>
      </c>
      <c r="J262" s="126"/>
      <c r="K262" s="89"/>
      <c r="L262" s="391"/>
      <c r="M262" s="126"/>
      <c r="N262" s="126"/>
      <c r="O262" s="368"/>
      <c r="P262" s="88"/>
      <c r="Q262" s="89"/>
      <c r="R262" s="224"/>
    </row>
    <row r="263" spans="1:18" ht="24.75" thickBot="1">
      <c r="A263" s="124">
        <v>6050</v>
      </c>
      <c r="B263" s="128" t="s">
        <v>574</v>
      </c>
      <c r="C263" s="88">
        <v>100000</v>
      </c>
      <c r="D263" s="74">
        <f>G263+J263+P263+M263</f>
        <v>400000</v>
      </c>
      <c r="E263" s="74">
        <f>H263+K263+Q263+N263</f>
        <v>75650</v>
      </c>
      <c r="F263" s="468">
        <f>E263/D263*100</f>
        <v>18.912499999999998</v>
      </c>
      <c r="G263" s="174">
        <f>100000+300000</f>
        <v>400000</v>
      </c>
      <c r="H263" s="74">
        <v>75650</v>
      </c>
      <c r="I263" s="224">
        <f t="shared" si="27"/>
        <v>18.912499999999998</v>
      </c>
      <c r="J263" s="126"/>
      <c r="K263" s="89"/>
      <c r="L263" s="391"/>
      <c r="M263" s="220"/>
      <c r="N263" s="155"/>
      <c r="O263" s="368"/>
      <c r="P263" s="88"/>
      <c r="Q263" s="89"/>
      <c r="R263" s="224"/>
    </row>
    <row r="264" spans="1:18" ht="15.75" customHeight="1" hidden="1">
      <c r="A264" s="150">
        <v>71095</v>
      </c>
      <c r="B264" s="187" t="s">
        <v>529</v>
      </c>
      <c r="C264" s="94"/>
      <c r="D264" s="95">
        <f t="shared" si="26"/>
        <v>0</v>
      </c>
      <c r="E264" s="95">
        <f t="shared" si="26"/>
        <v>0</v>
      </c>
      <c r="F264" s="467" t="e">
        <f t="shared" si="21"/>
        <v>#DIV/0!</v>
      </c>
      <c r="G264" s="94">
        <f>G265</f>
        <v>0</v>
      </c>
      <c r="H264" s="95">
        <f>H265</f>
        <v>0</v>
      </c>
      <c r="I264" s="274" t="e">
        <f t="shared" si="27"/>
        <v>#DIV/0!</v>
      </c>
      <c r="J264" s="171"/>
      <c r="K264" s="95"/>
      <c r="L264" s="417"/>
      <c r="M264" s="219"/>
      <c r="N264" s="95"/>
      <c r="O264" s="402"/>
      <c r="P264" s="94"/>
      <c r="Q264" s="95"/>
      <c r="R264" s="271"/>
    </row>
    <row r="265" spans="1:18" ht="17.25" customHeight="1" hidden="1">
      <c r="A265" s="124">
        <v>4300</v>
      </c>
      <c r="B265" s="128" t="s">
        <v>510</v>
      </c>
      <c r="C265" s="88"/>
      <c r="D265" s="74">
        <f t="shared" si="26"/>
        <v>0</v>
      </c>
      <c r="E265" s="74">
        <f t="shared" si="26"/>
        <v>0</v>
      </c>
      <c r="F265" s="468" t="e">
        <f t="shared" si="21"/>
        <v>#DIV/0!</v>
      </c>
      <c r="G265" s="174"/>
      <c r="H265" s="74"/>
      <c r="I265" s="224" t="e">
        <f t="shared" si="27"/>
        <v>#DIV/0!</v>
      </c>
      <c r="J265" s="126"/>
      <c r="K265" s="89"/>
      <c r="L265" s="391"/>
      <c r="M265" s="220"/>
      <c r="N265" s="221"/>
      <c r="O265" s="368"/>
      <c r="P265" s="88"/>
      <c r="Q265" s="89"/>
      <c r="R265" s="224"/>
    </row>
    <row r="266" spans="1:18" s="118" customFormat="1" ht="29.25" customHeight="1" thickBot="1" thickTop="1">
      <c r="A266" s="114">
        <v>750</v>
      </c>
      <c r="B266" s="115" t="s">
        <v>586</v>
      </c>
      <c r="C266" s="116">
        <f>C267+C277+C290+C304+C421+C434+C369+C384</f>
        <v>31967597</v>
      </c>
      <c r="D266" s="59">
        <f t="shared" si="26"/>
        <v>33074937</v>
      </c>
      <c r="E266" s="107">
        <f t="shared" si="26"/>
        <v>15205641</v>
      </c>
      <c r="F266" s="496">
        <f t="shared" si="21"/>
        <v>45.9733029876973</v>
      </c>
      <c r="G266" s="116">
        <f>G267+G290+G304+G369+G421+G434+G277+G384</f>
        <v>27482400</v>
      </c>
      <c r="H266" s="107">
        <f>H267+H290+H304+H369+H421+H434+H277+H384</f>
        <v>12456390</v>
      </c>
      <c r="I266" s="354">
        <f t="shared" si="27"/>
        <v>45.324971618199285</v>
      </c>
      <c r="J266" s="107">
        <f>J267+J290+J304+J369+J421+J434+J277+J384</f>
        <v>770400</v>
      </c>
      <c r="K266" s="107">
        <f>K267+K290+K304+K369+K421+K434+K277+K384</f>
        <v>430381</v>
      </c>
      <c r="L266" s="487">
        <f aca="true" t="shared" si="28" ref="L266:L271">K266/J266*100</f>
        <v>55.86461578400831</v>
      </c>
      <c r="M266" s="222">
        <f>M267+M290+M304+M369+M421+M434+M277</f>
        <v>4545137</v>
      </c>
      <c r="N266" s="107">
        <f>N267+N290+N304+N369+N421+N434+N277</f>
        <v>2154020</v>
      </c>
      <c r="O266" s="354">
        <f>N266/M266*100</f>
        <v>47.39175078771003</v>
      </c>
      <c r="P266" s="116">
        <f>P267+P290+P304+P369+P421+P434+P277</f>
        <v>277000</v>
      </c>
      <c r="Q266" s="107">
        <f>Q267+Q290+Q304+Q369+Q421+Q434+Q277</f>
        <v>164850</v>
      </c>
      <c r="R266" s="463">
        <f aca="true" t="shared" si="29" ref="R266:R271">Q266/P266*100</f>
        <v>59.51263537906137</v>
      </c>
    </row>
    <row r="267" spans="1:18" ht="15" customHeight="1" thickTop="1">
      <c r="A267" s="119">
        <v>75011</v>
      </c>
      <c r="B267" s="185" t="s">
        <v>587</v>
      </c>
      <c r="C267" s="121">
        <f>SUM(C268:C276)</f>
        <v>1510700</v>
      </c>
      <c r="D267" s="122">
        <f t="shared" si="26"/>
        <v>1531975</v>
      </c>
      <c r="E267" s="192">
        <f t="shared" si="26"/>
        <v>817560</v>
      </c>
      <c r="F267" s="469">
        <f t="shared" si="21"/>
        <v>53.36640610976028</v>
      </c>
      <c r="G267" s="121">
        <f>SUM(G268:G276)</f>
        <v>526575</v>
      </c>
      <c r="H267" s="84">
        <f>SUM(H268:H276)</f>
        <v>260576</v>
      </c>
      <c r="I267" s="274">
        <f t="shared" si="27"/>
        <v>49.485068603712676</v>
      </c>
      <c r="J267" s="123">
        <f>SUM(J268:J276)</f>
        <v>770400</v>
      </c>
      <c r="K267" s="84">
        <f>SUM(K268:K276)</f>
        <v>430381</v>
      </c>
      <c r="L267" s="488">
        <f t="shared" si="28"/>
        <v>55.86461578400831</v>
      </c>
      <c r="M267" s="84"/>
      <c r="N267" s="84"/>
      <c r="O267" s="381"/>
      <c r="P267" s="121">
        <f>SUM(P268:P276)</f>
        <v>235000</v>
      </c>
      <c r="Q267" s="84">
        <f>SUM(Q268:Q276)</f>
        <v>126603</v>
      </c>
      <c r="R267" s="462">
        <f t="shared" si="29"/>
        <v>53.8736170212766</v>
      </c>
    </row>
    <row r="268" spans="1:18" ht="24" customHeight="1">
      <c r="A268" s="108">
        <v>4010</v>
      </c>
      <c r="B268" s="199" t="s">
        <v>492</v>
      </c>
      <c r="C268" s="90">
        <v>909100</v>
      </c>
      <c r="D268" s="103">
        <f t="shared" si="26"/>
        <v>941500</v>
      </c>
      <c r="E268" s="104">
        <f aca="true" t="shared" si="30" ref="E268:E276">SUM(H268+K268+N268+Q268)</f>
        <v>492814</v>
      </c>
      <c r="F268" s="470">
        <f t="shared" si="21"/>
        <v>52.343494423791824</v>
      </c>
      <c r="G268" s="90">
        <v>158700</v>
      </c>
      <c r="H268" s="104">
        <v>79350</v>
      </c>
      <c r="I268" s="442">
        <f t="shared" si="27"/>
        <v>50</v>
      </c>
      <c r="J268" s="200">
        <f>569200+32400</f>
        <v>601600</v>
      </c>
      <c r="K268" s="104">
        <v>321623</v>
      </c>
      <c r="L268" s="464">
        <f t="shared" si="28"/>
        <v>53.46126994680851</v>
      </c>
      <c r="M268" s="104"/>
      <c r="N268" s="104"/>
      <c r="O268" s="388"/>
      <c r="P268" s="90">
        <v>181200</v>
      </c>
      <c r="Q268" s="104">
        <v>91841</v>
      </c>
      <c r="R268" s="464">
        <f t="shared" si="29"/>
        <v>50.68487858719647</v>
      </c>
    </row>
    <row r="269" spans="1:18" ht="24">
      <c r="A269" s="124">
        <v>4040</v>
      </c>
      <c r="B269" s="128" t="s">
        <v>541</v>
      </c>
      <c r="C269" s="88">
        <v>76100</v>
      </c>
      <c r="D269" s="74">
        <f t="shared" si="26"/>
        <v>76100</v>
      </c>
      <c r="E269" s="89">
        <f t="shared" si="30"/>
        <v>76100</v>
      </c>
      <c r="F269" s="468">
        <f t="shared" si="21"/>
        <v>100</v>
      </c>
      <c r="G269" s="88">
        <v>13200</v>
      </c>
      <c r="H269" s="89">
        <v>13200</v>
      </c>
      <c r="I269" s="442">
        <f t="shared" si="27"/>
        <v>100</v>
      </c>
      <c r="J269" s="126">
        <v>47700</v>
      </c>
      <c r="K269" s="89">
        <v>47700</v>
      </c>
      <c r="L269" s="442">
        <f t="shared" si="28"/>
        <v>100</v>
      </c>
      <c r="M269" s="89"/>
      <c r="N269" s="89"/>
      <c r="O269" s="368"/>
      <c r="P269" s="88">
        <v>15200</v>
      </c>
      <c r="Q269" s="89">
        <v>15200</v>
      </c>
      <c r="R269" s="442">
        <f t="shared" si="29"/>
        <v>100</v>
      </c>
    </row>
    <row r="270" spans="1:18" ht="24.75" customHeight="1">
      <c r="A270" s="124">
        <v>4110</v>
      </c>
      <c r="B270" s="205" t="s">
        <v>498</v>
      </c>
      <c r="C270" s="88">
        <v>169300</v>
      </c>
      <c r="D270" s="74">
        <f t="shared" si="26"/>
        <v>169300</v>
      </c>
      <c r="E270" s="89">
        <f t="shared" si="30"/>
        <v>85490</v>
      </c>
      <c r="F270" s="468">
        <f t="shared" si="21"/>
        <v>50.49616066154755</v>
      </c>
      <c r="G270" s="88">
        <v>29500</v>
      </c>
      <c r="H270" s="89">
        <v>14746</v>
      </c>
      <c r="I270" s="442">
        <f t="shared" si="27"/>
        <v>49.9864406779661</v>
      </c>
      <c r="J270" s="126">
        <v>106000</v>
      </c>
      <c r="K270" s="89">
        <v>53614</v>
      </c>
      <c r="L270" s="442">
        <f t="shared" si="28"/>
        <v>50.57924528301887</v>
      </c>
      <c r="M270" s="89"/>
      <c r="N270" s="89"/>
      <c r="O270" s="368"/>
      <c r="P270" s="88">
        <v>33800</v>
      </c>
      <c r="Q270" s="89">
        <v>17130</v>
      </c>
      <c r="R270" s="442">
        <f t="shared" si="29"/>
        <v>50.680473372781066</v>
      </c>
    </row>
    <row r="271" spans="1:18" ht="11.25" customHeight="1">
      <c r="A271" s="124">
        <v>4120</v>
      </c>
      <c r="B271" s="128" t="s">
        <v>578</v>
      </c>
      <c r="C271" s="88">
        <v>24100</v>
      </c>
      <c r="D271" s="74">
        <f t="shared" si="26"/>
        <v>24100</v>
      </c>
      <c r="E271" s="89">
        <f t="shared" si="30"/>
        <v>11976</v>
      </c>
      <c r="F271" s="468">
        <f t="shared" si="21"/>
        <v>49.69294605809129</v>
      </c>
      <c r="G271" s="88">
        <v>4200</v>
      </c>
      <c r="H271" s="89">
        <v>2100</v>
      </c>
      <c r="I271" s="442">
        <f t="shared" si="27"/>
        <v>50</v>
      </c>
      <c r="J271" s="126">
        <v>15100</v>
      </c>
      <c r="K271" s="89">
        <v>7444</v>
      </c>
      <c r="L271" s="442">
        <f t="shared" si="28"/>
        <v>49.29801324503311</v>
      </c>
      <c r="M271" s="89"/>
      <c r="N271" s="89"/>
      <c r="O271" s="368"/>
      <c r="P271" s="88">
        <v>4800</v>
      </c>
      <c r="Q271" s="89">
        <v>2432</v>
      </c>
      <c r="R271" s="442">
        <f t="shared" si="29"/>
        <v>50.66666666666667</v>
      </c>
    </row>
    <row r="272" spans="1:18" ht="24">
      <c r="A272" s="124">
        <v>4210</v>
      </c>
      <c r="B272" s="128" t="s">
        <v>502</v>
      </c>
      <c r="C272" s="88">
        <v>136200</v>
      </c>
      <c r="D272" s="74">
        <f t="shared" si="26"/>
        <v>125075</v>
      </c>
      <c r="E272" s="89">
        <f t="shared" si="30"/>
        <v>59053</v>
      </c>
      <c r="F272" s="468">
        <f t="shared" si="21"/>
        <v>47.214071557065765</v>
      </c>
      <c r="G272" s="88">
        <f>136200-11125</f>
        <v>125075</v>
      </c>
      <c r="H272" s="89">
        <v>59053</v>
      </c>
      <c r="I272" s="442">
        <f>H272/G272*100</f>
        <v>47.214071557065765</v>
      </c>
      <c r="J272" s="126"/>
      <c r="K272" s="89"/>
      <c r="L272" s="482"/>
      <c r="M272" s="89"/>
      <c r="N272" s="89"/>
      <c r="O272" s="368"/>
      <c r="P272" s="88"/>
      <c r="Q272" s="89"/>
      <c r="R272" s="224"/>
    </row>
    <row r="273" spans="1:18" ht="12.75">
      <c r="A273" s="124">
        <v>4260</v>
      </c>
      <c r="B273" s="128" t="s">
        <v>506</v>
      </c>
      <c r="C273" s="88">
        <v>34900</v>
      </c>
      <c r="D273" s="74">
        <f t="shared" si="26"/>
        <v>34900</v>
      </c>
      <c r="E273" s="89">
        <f t="shared" si="30"/>
        <v>19569</v>
      </c>
      <c r="F273" s="468">
        <f t="shared" si="21"/>
        <v>56.07163323782235</v>
      </c>
      <c r="G273" s="88">
        <v>34900</v>
      </c>
      <c r="H273" s="89">
        <v>19569</v>
      </c>
      <c r="I273" s="442">
        <f>H273/G273*100</f>
        <v>56.07163323782235</v>
      </c>
      <c r="J273" s="126"/>
      <c r="K273" s="89"/>
      <c r="L273" s="391"/>
      <c r="M273" s="89"/>
      <c r="N273" s="89"/>
      <c r="O273" s="368"/>
      <c r="P273" s="88"/>
      <c r="Q273" s="89"/>
      <c r="R273" s="280"/>
    </row>
    <row r="274" spans="1:18" ht="24">
      <c r="A274" s="124">
        <v>4300</v>
      </c>
      <c r="B274" s="128" t="s">
        <v>510</v>
      </c>
      <c r="C274" s="88">
        <v>106000</v>
      </c>
      <c r="D274" s="74">
        <f t="shared" si="26"/>
        <v>106000</v>
      </c>
      <c r="E274" s="89">
        <f>SUM(H274+K274+N274+Q274)</f>
        <v>51742</v>
      </c>
      <c r="F274" s="468">
        <f>E274/D274*100</f>
        <v>48.81320754716981</v>
      </c>
      <c r="G274" s="88">
        <v>106000</v>
      </c>
      <c r="H274" s="89">
        <v>51742</v>
      </c>
      <c r="I274" s="224">
        <f>H274/G274*100</f>
        <v>48.81320754716981</v>
      </c>
      <c r="J274" s="126"/>
      <c r="K274" s="89"/>
      <c r="L274" s="391"/>
      <c r="M274" s="89"/>
      <c r="N274" s="89"/>
      <c r="O274" s="368"/>
      <c r="P274" s="88"/>
      <c r="Q274" s="89"/>
      <c r="R274" s="280"/>
    </row>
    <row r="275" spans="1:18" ht="48">
      <c r="A275" s="172">
        <v>4360</v>
      </c>
      <c r="B275" s="337" t="s">
        <v>287</v>
      </c>
      <c r="C275" s="88">
        <v>21400</v>
      </c>
      <c r="D275" s="74">
        <f t="shared" si="26"/>
        <v>21400</v>
      </c>
      <c r="E275" s="89">
        <f>SUM(H275+K275+N275+Q275)</f>
        <v>6305</v>
      </c>
      <c r="F275" s="468">
        <f>E275/D275*100</f>
        <v>29.462616822429904</v>
      </c>
      <c r="G275" s="88">
        <v>21400</v>
      </c>
      <c r="H275" s="89">
        <v>6305</v>
      </c>
      <c r="I275" s="224">
        <f>H275/G275*100</f>
        <v>29.462616822429904</v>
      </c>
      <c r="J275" s="126"/>
      <c r="K275" s="89"/>
      <c r="L275" s="391"/>
      <c r="M275" s="89"/>
      <c r="N275" s="89"/>
      <c r="O275" s="368"/>
      <c r="P275" s="88"/>
      <c r="Q275" s="89"/>
      <c r="R275" s="280"/>
    </row>
    <row r="276" spans="1:18" ht="60">
      <c r="A276" s="172">
        <v>4740</v>
      </c>
      <c r="B276" s="337" t="s">
        <v>290</v>
      </c>
      <c r="C276" s="88">
        <v>33600</v>
      </c>
      <c r="D276" s="74">
        <f t="shared" si="26"/>
        <v>33600</v>
      </c>
      <c r="E276" s="89">
        <f t="shared" si="30"/>
        <v>14511</v>
      </c>
      <c r="F276" s="468">
        <f t="shared" si="21"/>
        <v>43.1875</v>
      </c>
      <c r="G276" s="88">
        <v>33600</v>
      </c>
      <c r="H276" s="89">
        <v>14511</v>
      </c>
      <c r="I276" s="224">
        <f>H276/G276*100</f>
        <v>43.1875</v>
      </c>
      <c r="J276" s="126"/>
      <c r="K276" s="89"/>
      <c r="L276" s="224" t="s">
        <v>588</v>
      </c>
      <c r="M276" s="89"/>
      <c r="N276" s="89"/>
      <c r="O276" s="368"/>
      <c r="P276" s="88"/>
      <c r="Q276" s="89"/>
      <c r="R276" s="362"/>
    </row>
    <row r="277" spans="1:18" ht="12.75" customHeight="1">
      <c r="A277" s="119">
        <v>75020</v>
      </c>
      <c r="B277" s="185" t="s">
        <v>589</v>
      </c>
      <c r="C277" s="121">
        <f>SUM(C278:C289)</f>
        <v>4542137</v>
      </c>
      <c r="D277" s="95">
        <f t="shared" si="26"/>
        <v>4542137</v>
      </c>
      <c r="E277" s="84">
        <f>H277+K277+Q277+N277</f>
        <v>2154020</v>
      </c>
      <c r="F277" s="467">
        <f t="shared" si="21"/>
        <v>47.42305218887057</v>
      </c>
      <c r="G277" s="146"/>
      <c r="H277" s="149"/>
      <c r="I277" s="381"/>
      <c r="J277" s="148"/>
      <c r="K277" s="149"/>
      <c r="L277" s="406"/>
      <c r="M277" s="84">
        <f>SUM(M278:M289)</f>
        <v>4542137</v>
      </c>
      <c r="N277" s="84">
        <f>SUM(N278:N289)</f>
        <v>2154020</v>
      </c>
      <c r="O277" s="448">
        <f aca="true" t="shared" si="31" ref="O277:O289">N277/M277*100</f>
        <v>47.42305218887057</v>
      </c>
      <c r="P277" s="121"/>
      <c r="Q277" s="84"/>
      <c r="R277" s="372"/>
    </row>
    <row r="278" spans="1:18" s="12" customFormat="1" ht="72">
      <c r="A278" s="194">
        <v>2320</v>
      </c>
      <c r="B278" s="195" t="s">
        <v>590</v>
      </c>
      <c r="C278" s="102">
        <f>15000+1598164</f>
        <v>1613164</v>
      </c>
      <c r="D278" s="103">
        <f t="shared" si="26"/>
        <v>1613164</v>
      </c>
      <c r="E278" s="104">
        <f aca="true" t="shared" si="32" ref="E278:E289">SUM(H278+K278+N278+Q278)</f>
        <v>806580</v>
      </c>
      <c r="F278" s="470">
        <f t="shared" si="21"/>
        <v>49.99987602004508</v>
      </c>
      <c r="G278" s="102"/>
      <c r="H278" s="103"/>
      <c r="I278" s="388"/>
      <c r="J278" s="196"/>
      <c r="K278" s="103"/>
      <c r="L278" s="414"/>
      <c r="M278" s="548">
        <f>15000+1598164</f>
        <v>1613164</v>
      </c>
      <c r="N278" s="103">
        <v>806580</v>
      </c>
      <c r="O278" s="464">
        <f t="shared" si="31"/>
        <v>49.99987602004508</v>
      </c>
      <c r="P278" s="102"/>
      <c r="Q278" s="103"/>
      <c r="R278" s="365"/>
    </row>
    <row r="279" spans="1:18" ht="12.75">
      <c r="A279" s="124">
        <v>4010</v>
      </c>
      <c r="B279" s="128" t="s">
        <v>591</v>
      </c>
      <c r="C279" s="88">
        <v>991700</v>
      </c>
      <c r="D279" s="74">
        <f t="shared" si="26"/>
        <v>991700</v>
      </c>
      <c r="E279" s="89">
        <f t="shared" si="32"/>
        <v>495852</v>
      </c>
      <c r="F279" s="468">
        <f t="shared" si="21"/>
        <v>50.000201673893315</v>
      </c>
      <c r="G279" s="88"/>
      <c r="H279" s="89"/>
      <c r="I279" s="368"/>
      <c r="J279" s="126"/>
      <c r="K279" s="89"/>
      <c r="L279" s="391"/>
      <c r="M279" s="154">
        <v>991700</v>
      </c>
      <c r="N279" s="89">
        <v>495852</v>
      </c>
      <c r="O279" s="442">
        <f t="shared" si="31"/>
        <v>50.000201673893315</v>
      </c>
      <c r="P279" s="88"/>
      <c r="Q279" s="89"/>
      <c r="R279" s="362"/>
    </row>
    <row r="280" spans="1:18" ht="24">
      <c r="A280" s="124">
        <v>4040</v>
      </c>
      <c r="B280" s="128" t="s">
        <v>541</v>
      </c>
      <c r="C280" s="88">
        <v>82400</v>
      </c>
      <c r="D280" s="74">
        <f t="shared" si="26"/>
        <v>82400</v>
      </c>
      <c r="E280" s="89">
        <f t="shared" si="32"/>
        <v>82400</v>
      </c>
      <c r="F280" s="468">
        <f aca="true" t="shared" si="33" ref="F280:F315">E280/D280*100</f>
        <v>100</v>
      </c>
      <c r="G280" s="88"/>
      <c r="H280" s="89"/>
      <c r="I280" s="368"/>
      <c r="J280" s="126"/>
      <c r="K280" s="89"/>
      <c r="L280" s="391"/>
      <c r="M280" s="154">
        <v>82400</v>
      </c>
      <c r="N280" s="89">
        <v>82400</v>
      </c>
      <c r="O280" s="442">
        <f t="shared" si="31"/>
        <v>100</v>
      </c>
      <c r="P280" s="88"/>
      <c r="Q280" s="89"/>
      <c r="R280" s="362"/>
    </row>
    <row r="281" spans="1:18" ht="24">
      <c r="A281" s="124">
        <v>4110</v>
      </c>
      <c r="B281" s="128" t="s">
        <v>498</v>
      </c>
      <c r="C281" s="88">
        <v>184600</v>
      </c>
      <c r="D281" s="74">
        <f t="shared" si="26"/>
        <v>184600</v>
      </c>
      <c r="E281" s="89">
        <f t="shared" si="32"/>
        <v>86040</v>
      </c>
      <c r="F281" s="468">
        <f t="shared" si="33"/>
        <v>46.608884073672805</v>
      </c>
      <c r="G281" s="88"/>
      <c r="H281" s="89"/>
      <c r="I281" s="368"/>
      <c r="J281" s="126"/>
      <c r="K281" s="89"/>
      <c r="L281" s="391"/>
      <c r="M281" s="154">
        <v>184600</v>
      </c>
      <c r="N281" s="89">
        <v>86040</v>
      </c>
      <c r="O281" s="442">
        <f t="shared" si="31"/>
        <v>46.608884073672805</v>
      </c>
      <c r="P281" s="88"/>
      <c r="Q281" s="89"/>
      <c r="R281" s="362"/>
    </row>
    <row r="282" spans="1:18" ht="16.5" customHeight="1">
      <c r="A282" s="124">
        <v>4120</v>
      </c>
      <c r="B282" s="128" t="s">
        <v>571</v>
      </c>
      <c r="C282" s="88">
        <v>26300</v>
      </c>
      <c r="D282" s="74">
        <f t="shared" si="26"/>
        <v>26300</v>
      </c>
      <c r="E282" s="89">
        <f t="shared" si="32"/>
        <v>12138</v>
      </c>
      <c r="F282" s="468">
        <f t="shared" si="33"/>
        <v>46.152091254752854</v>
      </c>
      <c r="G282" s="88"/>
      <c r="H282" s="89"/>
      <c r="I282" s="368"/>
      <c r="J282" s="126"/>
      <c r="K282" s="89"/>
      <c r="L282" s="391"/>
      <c r="M282" s="154">
        <v>26300</v>
      </c>
      <c r="N282" s="89">
        <v>12138</v>
      </c>
      <c r="O282" s="442">
        <f t="shared" si="31"/>
        <v>46.152091254752854</v>
      </c>
      <c r="P282" s="88"/>
      <c r="Q282" s="89"/>
      <c r="R282" s="362"/>
    </row>
    <row r="283" spans="1:18" ht="24">
      <c r="A283" s="124">
        <v>4210</v>
      </c>
      <c r="B283" s="128" t="s">
        <v>502</v>
      </c>
      <c r="C283" s="88">
        <v>93800</v>
      </c>
      <c r="D283" s="74">
        <f t="shared" si="26"/>
        <v>93800</v>
      </c>
      <c r="E283" s="89">
        <f t="shared" si="32"/>
        <v>36706</v>
      </c>
      <c r="F283" s="468">
        <f t="shared" si="33"/>
        <v>39.13219616204691</v>
      </c>
      <c r="G283" s="88"/>
      <c r="H283" s="89"/>
      <c r="I283" s="368"/>
      <c r="J283" s="126"/>
      <c r="K283" s="89"/>
      <c r="L283" s="391"/>
      <c r="M283" s="154">
        <v>93800</v>
      </c>
      <c r="N283" s="89">
        <v>36706</v>
      </c>
      <c r="O283" s="442">
        <f t="shared" si="31"/>
        <v>39.13219616204691</v>
      </c>
      <c r="P283" s="88"/>
      <c r="Q283" s="89"/>
      <c r="R283" s="362"/>
    </row>
    <row r="284" spans="1:18" ht="24" customHeight="1">
      <c r="A284" s="124">
        <v>4210</v>
      </c>
      <c r="B284" s="128" t="s">
        <v>223</v>
      </c>
      <c r="C284" s="88">
        <v>100000</v>
      </c>
      <c r="D284" s="74">
        <f t="shared" si="26"/>
        <v>100000</v>
      </c>
      <c r="E284" s="89">
        <f t="shared" si="32"/>
        <v>35191</v>
      </c>
      <c r="F284" s="468">
        <f t="shared" si="33"/>
        <v>35.191</v>
      </c>
      <c r="G284" s="88"/>
      <c r="H284" s="89"/>
      <c r="I284" s="368"/>
      <c r="J284" s="126"/>
      <c r="K284" s="89"/>
      <c r="L284" s="391"/>
      <c r="M284" s="154">
        <v>100000</v>
      </c>
      <c r="N284" s="89">
        <v>35191</v>
      </c>
      <c r="O284" s="224">
        <f t="shared" si="31"/>
        <v>35.191</v>
      </c>
      <c r="P284" s="88"/>
      <c r="Q284" s="89"/>
      <c r="R284" s="362"/>
    </row>
    <row r="285" spans="1:18" ht="12.75">
      <c r="A285" s="124">
        <v>4260</v>
      </c>
      <c r="B285" s="128" t="s">
        <v>506</v>
      </c>
      <c r="C285" s="88">
        <v>12173</v>
      </c>
      <c r="D285" s="74">
        <f t="shared" si="26"/>
        <v>12173</v>
      </c>
      <c r="E285" s="89">
        <f t="shared" si="32"/>
        <v>7564</v>
      </c>
      <c r="F285" s="468">
        <f t="shared" si="33"/>
        <v>62.137517456666394</v>
      </c>
      <c r="G285" s="88"/>
      <c r="H285" s="89"/>
      <c r="I285" s="368"/>
      <c r="J285" s="126"/>
      <c r="K285" s="89"/>
      <c r="L285" s="391"/>
      <c r="M285" s="154">
        <v>12173</v>
      </c>
      <c r="N285" s="89">
        <v>7564</v>
      </c>
      <c r="O285" s="224">
        <f t="shared" si="31"/>
        <v>62.137517456666394</v>
      </c>
      <c r="P285" s="88"/>
      <c r="Q285" s="89"/>
      <c r="R285" s="362"/>
    </row>
    <row r="286" spans="1:18" ht="24">
      <c r="A286" s="124">
        <v>4300</v>
      </c>
      <c r="B286" s="128" t="s">
        <v>510</v>
      </c>
      <c r="C286" s="88">
        <v>220000</v>
      </c>
      <c r="D286" s="74">
        <f t="shared" si="26"/>
        <v>220000</v>
      </c>
      <c r="E286" s="89">
        <f>SUM(H286+K286+N286+Q286)</f>
        <v>102112</v>
      </c>
      <c r="F286" s="468">
        <f>E286/D286*100</f>
        <v>46.414545454545454</v>
      </c>
      <c r="G286" s="88"/>
      <c r="H286" s="89"/>
      <c r="I286" s="368"/>
      <c r="J286" s="126"/>
      <c r="K286" s="89"/>
      <c r="L286" s="391"/>
      <c r="M286" s="154">
        <v>220000</v>
      </c>
      <c r="N286" s="89">
        <v>102112</v>
      </c>
      <c r="O286" s="224">
        <f t="shared" si="31"/>
        <v>46.414545454545454</v>
      </c>
      <c r="P286" s="88"/>
      <c r="Q286" s="89"/>
      <c r="R286" s="362"/>
    </row>
    <row r="287" spans="1:18" ht="24">
      <c r="A287" s="124">
        <v>4300</v>
      </c>
      <c r="B287" s="128" t="s">
        <v>224</v>
      </c>
      <c r="C287" s="88">
        <v>1100000</v>
      </c>
      <c r="D287" s="74">
        <f aca="true" t="shared" si="34" ref="D287:D351">G287+J287+P287+M287</f>
        <v>1100000</v>
      </c>
      <c r="E287" s="89">
        <f t="shared" si="32"/>
        <v>434755</v>
      </c>
      <c r="F287" s="468">
        <f t="shared" si="33"/>
        <v>39.52318181818182</v>
      </c>
      <c r="G287" s="88"/>
      <c r="H287" s="89"/>
      <c r="I287" s="368"/>
      <c r="J287" s="126"/>
      <c r="K287" s="89"/>
      <c r="L287" s="391"/>
      <c r="M287" s="154">
        <v>1100000</v>
      </c>
      <c r="N287" s="89">
        <v>434755</v>
      </c>
      <c r="O287" s="224">
        <f t="shared" si="31"/>
        <v>39.52318181818182</v>
      </c>
      <c r="P287" s="88"/>
      <c r="Q287" s="89"/>
      <c r="R287" s="362"/>
    </row>
    <row r="288" spans="1:18" ht="48">
      <c r="A288" s="172">
        <v>4370</v>
      </c>
      <c r="B288" s="337" t="s">
        <v>288</v>
      </c>
      <c r="C288" s="88">
        <v>52000</v>
      </c>
      <c r="D288" s="74">
        <f t="shared" si="34"/>
        <v>52000</v>
      </c>
      <c r="E288" s="89">
        <f>SUM(H288+K288+N288+Q288)</f>
        <v>21518</v>
      </c>
      <c r="F288" s="468">
        <f>E288/D288*100</f>
        <v>41.38076923076923</v>
      </c>
      <c r="G288" s="88"/>
      <c r="H288" s="89"/>
      <c r="I288" s="368"/>
      <c r="J288" s="126"/>
      <c r="K288" s="89"/>
      <c r="L288" s="391"/>
      <c r="M288" s="220">
        <v>52000</v>
      </c>
      <c r="N288" s="89">
        <v>21518</v>
      </c>
      <c r="O288" s="224">
        <f t="shared" si="31"/>
        <v>41.38076923076923</v>
      </c>
      <c r="P288" s="88"/>
      <c r="Q288" s="89"/>
      <c r="R288" s="362"/>
    </row>
    <row r="289" spans="1:18" ht="36">
      <c r="A289" s="197">
        <v>4750</v>
      </c>
      <c r="B289" s="198" t="s">
        <v>291</v>
      </c>
      <c r="C289" s="160">
        <v>66000</v>
      </c>
      <c r="D289" s="161">
        <f t="shared" si="34"/>
        <v>66000</v>
      </c>
      <c r="E289" s="155">
        <f t="shared" si="32"/>
        <v>33164</v>
      </c>
      <c r="F289" s="469">
        <f t="shared" si="33"/>
        <v>50.24848484848485</v>
      </c>
      <c r="G289" s="160"/>
      <c r="H289" s="155"/>
      <c r="I289" s="387"/>
      <c r="J289" s="162"/>
      <c r="K289" s="155"/>
      <c r="L289" s="415"/>
      <c r="M289" s="155">
        <v>66000</v>
      </c>
      <c r="N289" s="155">
        <v>33164</v>
      </c>
      <c r="O289" s="274">
        <f t="shared" si="31"/>
        <v>50.24848484848485</v>
      </c>
      <c r="P289" s="160"/>
      <c r="Q289" s="155"/>
      <c r="R289" s="366"/>
    </row>
    <row r="290" spans="1:18" ht="12.75">
      <c r="A290" s="119">
        <v>75022</v>
      </c>
      <c r="B290" s="185" t="s">
        <v>592</v>
      </c>
      <c r="C290" s="121">
        <f>SUM(C292:C298)</f>
        <v>501000</v>
      </c>
      <c r="D290" s="95">
        <f t="shared" si="34"/>
        <v>501000</v>
      </c>
      <c r="E290" s="84">
        <f>H290+K290+Q290+N290</f>
        <v>228125</v>
      </c>
      <c r="F290" s="467">
        <f t="shared" si="33"/>
        <v>45.53393213572854</v>
      </c>
      <c r="G290" s="121">
        <f>SUM(G292:G298)</f>
        <v>501000</v>
      </c>
      <c r="H290" s="84">
        <f>SUM(H292:H298)</f>
        <v>228125</v>
      </c>
      <c r="I290" s="316">
        <f>H290/G290*100</f>
        <v>45.53393213572854</v>
      </c>
      <c r="J290" s="123"/>
      <c r="K290" s="84"/>
      <c r="L290" s="417"/>
      <c r="M290" s="84"/>
      <c r="N290" s="84"/>
      <c r="O290" s="316"/>
      <c r="P290" s="121"/>
      <c r="Q290" s="84"/>
      <c r="R290" s="372"/>
    </row>
    <row r="291" spans="1:18" s="11" customFormat="1" ht="10.5" customHeight="1">
      <c r="A291" s="225"/>
      <c r="B291" s="226" t="s">
        <v>593</v>
      </c>
      <c r="C291" s="227">
        <f>SUM(C292:C297)</f>
        <v>485000</v>
      </c>
      <c r="D291" s="228">
        <f t="shared" si="34"/>
        <v>485000</v>
      </c>
      <c r="E291" s="228">
        <f>H291+K291+Q291+N291</f>
        <v>225040</v>
      </c>
      <c r="F291" s="470">
        <f t="shared" si="33"/>
        <v>46.400000000000006</v>
      </c>
      <c r="G291" s="227">
        <f>SUM(G292:G297)</f>
        <v>485000</v>
      </c>
      <c r="H291" s="228">
        <f>SUM(H292:H297)</f>
        <v>225040</v>
      </c>
      <c r="I291" s="304">
        <f>H291/G291*100</f>
        <v>46.400000000000006</v>
      </c>
      <c r="J291" s="229"/>
      <c r="K291" s="228"/>
      <c r="L291" s="403"/>
      <c r="M291" s="228"/>
      <c r="N291" s="228"/>
      <c r="O291" s="391"/>
      <c r="P291" s="227"/>
      <c r="Q291" s="228"/>
      <c r="R291" s="369"/>
    </row>
    <row r="292" spans="1:18" ht="21.75" customHeight="1">
      <c r="A292" s="124">
        <v>3030</v>
      </c>
      <c r="B292" s="128" t="s">
        <v>490</v>
      </c>
      <c r="C292" s="88">
        <v>453000</v>
      </c>
      <c r="D292" s="74">
        <f t="shared" si="34"/>
        <v>453000</v>
      </c>
      <c r="E292" s="89">
        <f aca="true" t="shared" si="35" ref="E292:E297">SUM(H292+K292+N292+Q292)</f>
        <v>219671</v>
      </c>
      <c r="F292" s="468">
        <f t="shared" si="33"/>
        <v>48.49249448123621</v>
      </c>
      <c r="G292" s="88">
        <v>453000</v>
      </c>
      <c r="H292" s="89">
        <f>219670+1</f>
        <v>219671</v>
      </c>
      <c r="I292" s="224">
        <f aca="true" t="shared" si="36" ref="I292:I355">H292/G292*100</f>
        <v>48.49249448123621</v>
      </c>
      <c r="J292" s="126"/>
      <c r="K292" s="89"/>
      <c r="L292" s="391"/>
      <c r="M292" s="89"/>
      <c r="N292" s="89"/>
      <c r="O292" s="368"/>
      <c r="P292" s="88"/>
      <c r="Q292" s="89"/>
      <c r="R292" s="362"/>
    </row>
    <row r="293" spans="1:18" ht="48" hidden="1">
      <c r="A293" s="124">
        <v>3040</v>
      </c>
      <c r="B293" s="128" t="s">
        <v>594</v>
      </c>
      <c r="C293" s="88"/>
      <c r="D293" s="74">
        <f t="shared" si="34"/>
        <v>0</v>
      </c>
      <c r="E293" s="89">
        <f t="shared" si="35"/>
        <v>0</v>
      </c>
      <c r="F293" s="468" t="e">
        <f t="shared" si="33"/>
        <v>#DIV/0!</v>
      </c>
      <c r="G293" s="88"/>
      <c r="H293" s="89"/>
      <c r="I293" s="224" t="e">
        <f t="shared" si="36"/>
        <v>#DIV/0!</v>
      </c>
      <c r="J293" s="126"/>
      <c r="K293" s="89"/>
      <c r="L293" s="391"/>
      <c r="M293" s="89"/>
      <c r="N293" s="89"/>
      <c r="O293" s="368"/>
      <c r="P293" s="88"/>
      <c r="Q293" s="89"/>
      <c r="R293" s="362"/>
    </row>
    <row r="294" spans="1:18" ht="24.75" customHeight="1">
      <c r="A294" s="124">
        <v>4210</v>
      </c>
      <c r="B294" s="128" t="s">
        <v>502</v>
      </c>
      <c r="C294" s="88">
        <v>11000</v>
      </c>
      <c r="D294" s="74">
        <f t="shared" si="34"/>
        <v>11000</v>
      </c>
      <c r="E294" s="89">
        <f t="shared" si="35"/>
        <v>3038</v>
      </c>
      <c r="F294" s="468">
        <f t="shared" si="33"/>
        <v>27.61818181818182</v>
      </c>
      <c r="G294" s="88">
        <v>11000</v>
      </c>
      <c r="H294" s="89">
        <v>3038</v>
      </c>
      <c r="I294" s="224">
        <f t="shared" si="36"/>
        <v>27.61818181818182</v>
      </c>
      <c r="J294" s="126"/>
      <c r="K294" s="89"/>
      <c r="L294" s="391"/>
      <c r="M294" s="89"/>
      <c r="N294" s="89"/>
      <c r="O294" s="368"/>
      <c r="P294" s="88"/>
      <c r="Q294" s="89"/>
      <c r="R294" s="362"/>
    </row>
    <row r="295" spans="1:18" ht="15.75" customHeight="1">
      <c r="A295" s="124">
        <v>4300</v>
      </c>
      <c r="B295" s="128" t="s">
        <v>510</v>
      </c>
      <c r="C295" s="88">
        <v>10000</v>
      </c>
      <c r="D295" s="74">
        <f t="shared" si="34"/>
        <v>10000</v>
      </c>
      <c r="E295" s="89">
        <f t="shared" si="35"/>
        <v>1675</v>
      </c>
      <c r="F295" s="468">
        <f t="shared" si="33"/>
        <v>16.75</v>
      </c>
      <c r="G295" s="88">
        <v>10000</v>
      </c>
      <c r="H295" s="89">
        <v>1675</v>
      </c>
      <c r="I295" s="224">
        <f t="shared" si="36"/>
        <v>16.75</v>
      </c>
      <c r="J295" s="126"/>
      <c r="K295" s="89"/>
      <c r="L295" s="391"/>
      <c r="M295" s="89"/>
      <c r="N295" s="89"/>
      <c r="O295" s="368"/>
      <c r="P295" s="88"/>
      <c r="Q295" s="89"/>
      <c r="R295" s="362"/>
    </row>
    <row r="296" spans="1:18" ht="24">
      <c r="A296" s="124">
        <v>4410</v>
      </c>
      <c r="B296" s="128" t="s">
        <v>484</v>
      </c>
      <c r="C296" s="88">
        <v>7000</v>
      </c>
      <c r="D296" s="74">
        <f t="shared" si="34"/>
        <v>7000</v>
      </c>
      <c r="E296" s="89">
        <f t="shared" si="35"/>
        <v>208</v>
      </c>
      <c r="F296" s="468">
        <f t="shared" si="33"/>
        <v>2.9714285714285715</v>
      </c>
      <c r="G296" s="88">
        <v>7000</v>
      </c>
      <c r="H296" s="89">
        <v>208</v>
      </c>
      <c r="I296" s="224">
        <f t="shared" si="36"/>
        <v>2.9714285714285715</v>
      </c>
      <c r="J296" s="126"/>
      <c r="K296" s="89"/>
      <c r="L296" s="391"/>
      <c r="M296" s="89"/>
      <c r="N296" s="89"/>
      <c r="O296" s="368"/>
      <c r="P296" s="88"/>
      <c r="Q296" s="89"/>
      <c r="R296" s="362"/>
    </row>
    <row r="297" spans="1:18" ht="21.75" customHeight="1">
      <c r="A297" s="124">
        <v>4420</v>
      </c>
      <c r="B297" s="128" t="s">
        <v>556</v>
      </c>
      <c r="C297" s="88">
        <v>4000</v>
      </c>
      <c r="D297" s="74">
        <f t="shared" si="34"/>
        <v>4000</v>
      </c>
      <c r="E297" s="89">
        <f t="shared" si="35"/>
        <v>448</v>
      </c>
      <c r="F297" s="468">
        <f t="shared" si="33"/>
        <v>11.200000000000001</v>
      </c>
      <c r="G297" s="88">
        <v>4000</v>
      </c>
      <c r="H297" s="89">
        <v>448</v>
      </c>
      <c r="I297" s="224">
        <f t="shared" si="36"/>
        <v>11.200000000000001</v>
      </c>
      <c r="J297" s="126"/>
      <c r="K297" s="89"/>
      <c r="L297" s="391"/>
      <c r="M297" s="89"/>
      <c r="N297" s="89"/>
      <c r="O297" s="368"/>
      <c r="P297" s="88"/>
      <c r="Q297" s="89"/>
      <c r="R297" s="362"/>
    </row>
    <row r="298" spans="1:18" s="11" customFormat="1" ht="21" customHeight="1">
      <c r="A298" s="225"/>
      <c r="B298" s="226" t="s">
        <v>595</v>
      </c>
      <c r="C298" s="227">
        <f>SUM(C300:C303)</f>
        <v>16000</v>
      </c>
      <c r="D298" s="228">
        <f t="shared" si="34"/>
        <v>16000</v>
      </c>
      <c r="E298" s="228">
        <f>H298+K298+Q298+N298</f>
        <v>3085</v>
      </c>
      <c r="F298" s="468">
        <f t="shared" si="33"/>
        <v>19.28125</v>
      </c>
      <c r="G298" s="227">
        <f>SUM(G299:G303)</f>
        <v>16000</v>
      </c>
      <c r="H298" s="228">
        <f>SUM(H299:H303)</f>
        <v>3085</v>
      </c>
      <c r="I298" s="224">
        <f t="shared" si="36"/>
        <v>19.28125</v>
      </c>
      <c r="J298" s="229"/>
      <c r="K298" s="229"/>
      <c r="L298" s="403"/>
      <c r="M298" s="228"/>
      <c r="N298" s="228"/>
      <c r="O298" s="391"/>
      <c r="P298" s="227"/>
      <c r="Q298" s="228"/>
      <c r="R298" s="369"/>
    </row>
    <row r="299" spans="1:18" s="12" customFormat="1" ht="48" hidden="1">
      <c r="A299" s="172">
        <v>3040</v>
      </c>
      <c r="B299" s="206" t="s">
        <v>594</v>
      </c>
      <c r="C299" s="174"/>
      <c r="D299" s="74">
        <f t="shared" si="34"/>
        <v>0</v>
      </c>
      <c r="E299" s="89">
        <f>SUM(H299+K299+N299+Q299)</f>
        <v>0</v>
      </c>
      <c r="F299" s="468" t="e">
        <f t="shared" si="33"/>
        <v>#DIV/0!</v>
      </c>
      <c r="G299" s="174"/>
      <c r="H299" s="74"/>
      <c r="I299" s="224" t="e">
        <f t="shared" si="36"/>
        <v>#DIV/0!</v>
      </c>
      <c r="J299" s="175"/>
      <c r="K299" s="175"/>
      <c r="L299" s="391"/>
      <c r="M299" s="74"/>
      <c r="N299" s="74"/>
      <c r="O299" s="368"/>
      <c r="P299" s="174"/>
      <c r="Q299" s="74"/>
      <c r="R299" s="362"/>
    </row>
    <row r="300" spans="1:18" ht="23.25" customHeight="1">
      <c r="A300" s="124">
        <v>4210</v>
      </c>
      <c r="B300" s="128" t="s">
        <v>502</v>
      </c>
      <c r="C300" s="88">
        <v>10000</v>
      </c>
      <c r="D300" s="74">
        <f t="shared" si="34"/>
        <v>9878</v>
      </c>
      <c r="E300" s="89">
        <f>SUM(H300+K300+N300+Q300)</f>
        <v>1103</v>
      </c>
      <c r="F300" s="468">
        <f t="shared" si="33"/>
        <v>11.166227981372748</v>
      </c>
      <c r="G300" s="88">
        <f>10000-122</f>
        <v>9878</v>
      </c>
      <c r="H300" s="89">
        <v>1103</v>
      </c>
      <c r="I300" s="224">
        <f t="shared" si="36"/>
        <v>11.166227981372748</v>
      </c>
      <c r="J300" s="126"/>
      <c r="K300" s="89"/>
      <c r="L300" s="391"/>
      <c r="M300" s="89"/>
      <c r="N300" s="89"/>
      <c r="O300" s="368"/>
      <c r="P300" s="88"/>
      <c r="Q300" s="89"/>
      <c r="R300" s="362"/>
    </row>
    <row r="301" spans="1:18" ht="12.75" customHeight="1">
      <c r="A301" s="158">
        <v>4300</v>
      </c>
      <c r="B301" s="159" t="s">
        <v>510</v>
      </c>
      <c r="C301" s="160">
        <v>4900</v>
      </c>
      <c r="D301" s="161">
        <f t="shared" si="34"/>
        <v>4900</v>
      </c>
      <c r="E301" s="155">
        <f>SUM(H301+K301+N301+Q301)</f>
        <v>882</v>
      </c>
      <c r="F301" s="469">
        <f t="shared" si="33"/>
        <v>18</v>
      </c>
      <c r="G301" s="160">
        <v>4900</v>
      </c>
      <c r="H301" s="155">
        <v>882</v>
      </c>
      <c r="I301" s="274">
        <f t="shared" si="36"/>
        <v>18</v>
      </c>
      <c r="J301" s="162"/>
      <c r="K301" s="155"/>
      <c r="L301" s="415"/>
      <c r="M301" s="155"/>
      <c r="N301" s="155"/>
      <c r="O301" s="387"/>
      <c r="P301" s="160"/>
      <c r="Q301" s="155"/>
      <c r="R301" s="366"/>
    </row>
    <row r="302" spans="1:18" ht="15" customHeight="1" hidden="1">
      <c r="A302" s="124">
        <v>4410</v>
      </c>
      <c r="B302" s="128" t="s">
        <v>582</v>
      </c>
      <c r="C302" s="88"/>
      <c r="D302" s="74">
        <f t="shared" si="34"/>
        <v>0</v>
      </c>
      <c r="E302" s="89">
        <f>SUM(H302+K302+N302+Q302)</f>
        <v>0</v>
      </c>
      <c r="F302" s="468" t="e">
        <f t="shared" si="33"/>
        <v>#DIV/0!</v>
      </c>
      <c r="G302" s="88"/>
      <c r="H302" s="89"/>
      <c r="I302" s="224" t="e">
        <f t="shared" si="36"/>
        <v>#DIV/0!</v>
      </c>
      <c r="J302" s="126"/>
      <c r="K302" s="89"/>
      <c r="L302" s="391"/>
      <c r="M302" s="89"/>
      <c r="N302" s="89"/>
      <c r="O302" s="368"/>
      <c r="P302" s="88"/>
      <c r="Q302" s="89"/>
      <c r="R302" s="362"/>
    </row>
    <row r="303" spans="1:18" ht="12" customHeight="1">
      <c r="A303" s="158">
        <v>4430</v>
      </c>
      <c r="B303" s="159" t="s">
        <v>512</v>
      </c>
      <c r="C303" s="160">
        <v>1100</v>
      </c>
      <c r="D303" s="161">
        <f t="shared" si="34"/>
        <v>1222</v>
      </c>
      <c r="E303" s="155">
        <f>SUM(H303+K303+N303+Q303)</f>
        <v>1100</v>
      </c>
      <c r="F303" s="469">
        <f t="shared" si="33"/>
        <v>90.0163666121113</v>
      </c>
      <c r="G303" s="160">
        <f>1100+122</f>
        <v>1222</v>
      </c>
      <c r="H303" s="230">
        <v>1100</v>
      </c>
      <c r="I303" s="462">
        <f t="shared" si="36"/>
        <v>90.0163666121113</v>
      </c>
      <c r="J303" s="231"/>
      <c r="K303" s="155"/>
      <c r="L303" s="415"/>
      <c r="M303" s="230"/>
      <c r="N303" s="230"/>
      <c r="O303" s="405"/>
      <c r="P303" s="506"/>
      <c r="Q303" s="230"/>
      <c r="R303" s="375"/>
    </row>
    <row r="304" spans="1:18" ht="12.75">
      <c r="A304" s="119">
        <v>75023</v>
      </c>
      <c r="B304" s="232" t="s">
        <v>596</v>
      </c>
      <c r="C304" s="121">
        <f>SUM(C311:C365)-SUM(C337:C343)+C305-SUM(C325:C329)-SUM(C333:C334)</f>
        <v>21188650</v>
      </c>
      <c r="D304" s="95">
        <f t="shared" si="34"/>
        <v>21913275</v>
      </c>
      <c r="E304" s="84">
        <f>H304+K304+Q304+N304</f>
        <v>9623413</v>
      </c>
      <c r="F304" s="467">
        <f t="shared" si="33"/>
        <v>43.915904856759205</v>
      </c>
      <c r="G304" s="121">
        <f>SUM(G311:G365)-SUM(G337:G343)+G305-SUM(G325:G329)-SUM(G333:G334)</f>
        <v>21913275</v>
      </c>
      <c r="H304" s="84">
        <f>SUM(H311:H365)-SUM(H337:H343)+H305-SUM(H325:H329)-SUM(H333:H334)</f>
        <v>9623413</v>
      </c>
      <c r="I304" s="316">
        <f t="shared" si="36"/>
        <v>43.915904856759205</v>
      </c>
      <c r="J304" s="123"/>
      <c r="K304" s="84"/>
      <c r="L304" s="417"/>
      <c r="M304" s="84"/>
      <c r="N304" s="84"/>
      <c r="O304" s="381"/>
      <c r="P304" s="121"/>
      <c r="Q304" s="84"/>
      <c r="R304" s="372"/>
    </row>
    <row r="305" spans="1:18" s="12" customFormat="1" ht="36" customHeight="1">
      <c r="A305" s="172">
        <v>3020</v>
      </c>
      <c r="B305" s="206" t="s">
        <v>562</v>
      </c>
      <c r="C305" s="102">
        <f>SUM(C306:C310)</f>
        <v>151700</v>
      </c>
      <c r="D305" s="74">
        <f t="shared" si="34"/>
        <v>159100</v>
      </c>
      <c r="E305" s="74">
        <f aca="true" t="shared" si="37" ref="E305:E335">SUM(H305+K305+N305+Q305)</f>
        <v>93140</v>
      </c>
      <c r="F305" s="468">
        <f t="shared" si="33"/>
        <v>58.54179761156505</v>
      </c>
      <c r="G305" s="102">
        <f>SUM(G306:G310)</f>
        <v>159100</v>
      </c>
      <c r="H305" s="103">
        <f>SUM(H306:H310)</f>
        <v>93140</v>
      </c>
      <c r="I305" s="224">
        <f t="shared" si="36"/>
        <v>58.54179761156505</v>
      </c>
      <c r="J305" s="196"/>
      <c r="K305" s="103"/>
      <c r="L305" s="414"/>
      <c r="M305" s="103"/>
      <c r="N305" s="103"/>
      <c r="O305" s="388"/>
      <c r="P305" s="102"/>
      <c r="Q305" s="103"/>
      <c r="R305" s="365"/>
    </row>
    <row r="306" spans="1:18" s="11" customFormat="1" ht="24">
      <c r="A306" s="164"/>
      <c r="B306" s="233" t="s">
        <v>597</v>
      </c>
      <c r="C306" s="166">
        <v>10200</v>
      </c>
      <c r="D306" s="167">
        <f t="shared" si="34"/>
        <v>17600</v>
      </c>
      <c r="E306" s="167">
        <f t="shared" si="37"/>
        <v>16204</v>
      </c>
      <c r="F306" s="468">
        <f t="shared" si="33"/>
        <v>92.06818181818181</v>
      </c>
      <c r="G306" s="166">
        <f>10200+6300+1100</f>
        <v>17600</v>
      </c>
      <c r="H306" s="167">
        <v>16204</v>
      </c>
      <c r="I306" s="224">
        <f t="shared" si="36"/>
        <v>92.06818181818181</v>
      </c>
      <c r="J306" s="168"/>
      <c r="K306" s="167"/>
      <c r="L306" s="391"/>
      <c r="M306" s="167"/>
      <c r="N306" s="167"/>
      <c r="O306" s="391"/>
      <c r="P306" s="166"/>
      <c r="Q306" s="167"/>
      <c r="R306" s="369"/>
    </row>
    <row r="307" spans="1:18" s="11" customFormat="1" ht="12.75">
      <c r="A307" s="164"/>
      <c r="B307" s="233" t="s">
        <v>598</v>
      </c>
      <c r="C307" s="166">
        <v>68500</v>
      </c>
      <c r="D307" s="167">
        <f t="shared" si="34"/>
        <v>68500</v>
      </c>
      <c r="E307" s="167">
        <f t="shared" si="37"/>
        <v>53325</v>
      </c>
      <c r="F307" s="468">
        <f t="shared" si="33"/>
        <v>77.84671532846716</v>
      </c>
      <c r="G307" s="166">
        <v>68500</v>
      </c>
      <c r="H307" s="167">
        <v>53325</v>
      </c>
      <c r="I307" s="224">
        <f t="shared" si="36"/>
        <v>77.84671532846716</v>
      </c>
      <c r="J307" s="168"/>
      <c r="K307" s="167"/>
      <c r="L307" s="391"/>
      <c r="M307" s="167"/>
      <c r="N307" s="167"/>
      <c r="O307" s="391"/>
      <c r="P307" s="166"/>
      <c r="Q307" s="167"/>
      <c r="R307" s="369"/>
    </row>
    <row r="308" spans="1:18" s="11" customFormat="1" ht="12.75">
      <c r="A308" s="164"/>
      <c r="B308" s="233" t="s">
        <v>599</v>
      </c>
      <c r="C308" s="166">
        <v>60000</v>
      </c>
      <c r="D308" s="167">
        <f t="shared" si="34"/>
        <v>60000</v>
      </c>
      <c r="E308" s="167">
        <f t="shared" si="37"/>
        <v>16162</v>
      </c>
      <c r="F308" s="468">
        <f t="shared" si="33"/>
        <v>26.936666666666664</v>
      </c>
      <c r="G308" s="166">
        <v>60000</v>
      </c>
      <c r="H308" s="167">
        <v>16162</v>
      </c>
      <c r="I308" s="224">
        <f t="shared" si="36"/>
        <v>26.936666666666664</v>
      </c>
      <c r="J308" s="168"/>
      <c r="K308" s="167"/>
      <c r="L308" s="391"/>
      <c r="M308" s="167"/>
      <c r="N308" s="167"/>
      <c r="O308" s="391"/>
      <c r="P308" s="166"/>
      <c r="Q308" s="167"/>
      <c r="R308" s="369"/>
    </row>
    <row r="309" spans="1:18" s="11" customFormat="1" ht="12.75" hidden="1">
      <c r="A309" s="164"/>
      <c r="B309" s="233" t="s">
        <v>321</v>
      </c>
      <c r="C309" s="166"/>
      <c r="D309" s="167">
        <f t="shared" si="34"/>
        <v>0</v>
      </c>
      <c r="E309" s="167">
        <f>SUM(H309+K309+N309+Q309)</f>
        <v>0</v>
      </c>
      <c r="F309" s="468" t="e">
        <f>E309/D309*100</f>
        <v>#DIV/0!</v>
      </c>
      <c r="G309" s="166"/>
      <c r="H309" s="167"/>
      <c r="I309" s="224" t="e">
        <f t="shared" si="36"/>
        <v>#DIV/0!</v>
      </c>
      <c r="J309" s="168"/>
      <c r="K309" s="167"/>
      <c r="L309" s="391"/>
      <c r="M309" s="167"/>
      <c r="N309" s="167"/>
      <c r="O309" s="391"/>
      <c r="P309" s="166"/>
      <c r="Q309" s="167"/>
      <c r="R309" s="369"/>
    </row>
    <row r="310" spans="1:18" s="11" customFormat="1" ht="10.5" customHeight="1">
      <c r="A310" s="164"/>
      <c r="B310" s="233" t="s">
        <v>600</v>
      </c>
      <c r="C310" s="166">
        <v>13000</v>
      </c>
      <c r="D310" s="167">
        <f t="shared" si="34"/>
        <v>13000</v>
      </c>
      <c r="E310" s="167">
        <f t="shared" si="37"/>
        <v>7449</v>
      </c>
      <c r="F310" s="468">
        <f t="shared" si="33"/>
        <v>57.3</v>
      </c>
      <c r="G310" s="166">
        <v>13000</v>
      </c>
      <c r="H310" s="167">
        <v>7449</v>
      </c>
      <c r="I310" s="224">
        <f t="shared" si="36"/>
        <v>57.3</v>
      </c>
      <c r="J310" s="168"/>
      <c r="K310" s="167"/>
      <c r="L310" s="391"/>
      <c r="M310" s="167"/>
      <c r="N310" s="167"/>
      <c r="O310" s="391"/>
      <c r="P310" s="166"/>
      <c r="Q310" s="167"/>
      <c r="R310" s="369"/>
    </row>
    <row r="311" spans="1:18" ht="24">
      <c r="A311" s="124">
        <v>3030</v>
      </c>
      <c r="B311" s="128" t="s">
        <v>601</v>
      </c>
      <c r="C311" s="88">
        <v>2000</v>
      </c>
      <c r="D311" s="74">
        <f t="shared" si="34"/>
        <v>2000</v>
      </c>
      <c r="E311" s="89">
        <f t="shared" si="37"/>
        <v>0</v>
      </c>
      <c r="F311" s="468">
        <f t="shared" si="33"/>
        <v>0</v>
      </c>
      <c r="G311" s="88">
        <v>2000</v>
      </c>
      <c r="H311" s="89"/>
      <c r="I311" s="224">
        <f t="shared" si="36"/>
        <v>0</v>
      </c>
      <c r="J311" s="126"/>
      <c r="K311" s="89"/>
      <c r="L311" s="391"/>
      <c r="M311" s="89"/>
      <c r="N311" s="89"/>
      <c r="O311" s="368"/>
      <c r="P311" s="88"/>
      <c r="Q311" s="89"/>
      <c r="R311" s="362"/>
    </row>
    <row r="312" spans="1:18" ht="48">
      <c r="A312" s="124">
        <v>3040</v>
      </c>
      <c r="B312" s="128" t="s">
        <v>318</v>
      </c>
      <c r="C312" s="88">
        <v>7000</v>
      </c>
      <c r="D312" s="74">
        <f>G312+J312+P312+M312</f>
        <v>7000</v>
      </c>
      <c r="E312" s="89">
        <f>SUM(H312+K312+N312+Q312)</f>
        <v>1235</v>
      </c>
      <c r="F312" s="468">
        <f>E312/D312*100</f>
        <v>17.642857142857142</v>
      </c>
      <c r="G312" s="88">
        <v>7000</v>
      </c>
      <c r="H312" s="89">
        <v>1235</v>
      </c>
      <c r="I312" s="224">
        <f t="shared" si="36"/>
        <v>17.642857142857142</v>
      </c>
      <c r="J312" s="126"/>
      <c r="K312" s="89"/>
      <c r="L312" s="391"/>
      <c r="M312" s="89"/>
      <c r="N312" s="89"/>
      <c r="O312" s="368"/>
      <c r="P312" s="88"/>
      <c r="Q312" s="89"/>
      <c r="R312" s="362"/>
    </row>
    <row r="313" spans="1:18" ht="24">
      <c r="A313" s="124">
        <v>4010</v>
      </c>
      <c r="B313" s="128" t="s">
        <v>492</v>
      </c>
      <c r="C313" s="88">
        <v>11983800</v>
      </c>
      <c r="D313" s="74">
        <f t="shared" si="34"/>
        <v>12143800</v>
      </c>
      <c r="E313" s="89">
        <f t="shared" si="37"/>
        <v>5626606</v>
      </c>
      <c r="F313" s="468">
        <f t="shared" si="33"/>
        <v>46.333157660699285</v>
      </c>
      <c r="G313" s="88">
        <f>11983800+160000</f>
        <v>12143800</v>
      </c>
      <c r="H313" s="89">
        <v>5626606</v>
      </c>
      <c r="I313" s="224">
        <f t="shared" si="36"/>
        <v>46.333157660699285</v>
      </c>
      <c r="J313" s="126"/>
      <c r="K313" s="89"/>
      <c r="L313" s="391"/>
      <c r="M313" s="89"/>
      <c r="N313" s="89"/>
      <c r="O313" s="368"/>
      <c r="P313" s="88"/>
      <c r="Q313" s="89"/>
      <c r="R313" s="362"/>
    </row>
    <row r="314" spans="1:18" ht="24">
      <c r="A314" s="184">
        <v>4040</v>
      </c>
      <c r="B314" s="128" t="s">
        <v>541</v>
      </c>
      <c r="C314" s="88">
        <v>931100</v>
      </c>
      <c r="D314" s="74">
        <f t="shared" si="34"/>
        <v>860100</v>
      </c>
      <c r="E314" s="89">
        <f t="shared" si="37"/>
        <v>836471</v>
      </c>
      <c r="F314" s="468">
        <f t="shared" si="33"/>
        <v>97.25276130682478</v>
      </c>
      <c r="G314" s="88">
        <f>931100-71000</f>
        <v>860100</v>
      </c>
      <c r="H314" s="89">
        <v>836471</v>
      </c>
      <c r="I314" s="224">
        <f t="shared" si="36"/>
        <v>97.25276130682478</v>
      </c>
      <c r="J314" s="126"/>
      <c r="K314" s="89"/>
      <c r="L314" s="391"/>
      <c r="M314" s="89"/>
      <c r="N314" s="89"/>
      <c r="O314" s="368"/>
      <c r="P314" s="88"/>
      <c r="Q314" s="89"/>
      <c r="R314" s="362"/>
    </row>
    <row r="315" spans="1:18" ht="24" hidden="1">
      <c r="A315" s="184">
        <v>4100</v>
      </c>
      <c r="B315" s="128" t="s">
        <v>602</v>
      </c>
      <c r="C315" s="88"/>
      <c r="D315" s="74">
        <f t="shared" si="34"/>
        <v>0</v>
      </c>
      <c r="E315" s="89">
        <f t="shared" si="37"/>
        <v>0</v>
      </c>
      <c r="F315" s="468" t="e">
        <f t="shared" si="33"/>
        <v>#DIV/0!</v>
      </c>
      <c r="G315" s="88"/>
      <c r="H315" s="89"/>
      <c r="I315" s="224" t="e">
        <f t="shared" si="36"/>
        <v>#DIV/0!</v>
      </c>
      <c r="J315" s="126"/>
      <c r="K315" s="89"/>
      <c r="L315" s="391"/>
      <c r="M315" s="89"/>
      <c r="N315" s="89"/>
      <c r="O315" s="368"/>
      <c r="P315" s="88"/>
      <c r="Q315" s="89"/>
      <c r="R315" s="362"/>
    </row>
    <row r="316" spans="1:18" ht="36" hidden="1">
      <c r="A316" s="184">
        <v>4100</v>
      </c>
      <c r="B316" s="128" t="s">
        <v>603</v>
      </c>
      <c r="C316" s="88"/>
      <c r="D316" s="74">
        <f t="shared" si="34"/>
        <v>0</v>
      </c>
      <c r="E316" s="89">
        <f t="shared" si="37"/>
        <v>0</v>
      </c>
      <c r="F316" s="468"/>
      <c r="G316" s="88"/>
      <c r="H316" s="89"/>
      <c r="I316" s="224"/>
      <c r="J316" s="126"/>
      <c r="K316" s="89"/>
      <c r="L316" s="391"/>
      <c r="M316" s="89"/>
      <c r="N316" s="89"/>
      <c r="O316" s="368"/>
      <c r="P316" s="88"/>
      <c r="Q316" s="89"/>
      <c r="R316" s="362"/>
    </row>
    <row r="317" spans="1:18" ht="24">
      <c r="A317" s="124">
        <v>4110</v>
      </c>
      <c r="B317" s="128" t="s">
        <v>204</v>
      </c>
      <c r="C317" s="88">
        <v>2209250</v>
      </c>
      <c r="D317" s="74">
        <f t="shared" si="34"/>
        <v>2205250</v>
      </c>
      <c r="E317" s="89">
        <f t="shared" si="37"/>
        <v>823116</v>
      </c>
      <c r="F317" s="468">
        <f aca="true" t="shared" si="38" ref="F317:F336">E317/D317*100</f>
        <v>37.325291917016216</v>
      </c>
      <c r="G317" s="88">
        <f>2209250+25500-12200-5000-12300</f>
        <v>2205250</v>
      </c>
      <c r="H317" s="89">
        <v>823116</v>
      </c>
      <c r="I317" s="224">
        <f t="shared" si="36"/>
        <v>37.325291917016216</v>
      </c>
      <c r="J317" s="126"/>
      <c r="K317" s="89"/>
      <c r="L317" s="391"/>
      <c r="M317" s="89"/>
      <c r="N317" s="89"/>
      <c r="O317" s="368"/>
      <c r="P317" s="88"/>
      <c r="Q317" s="89"/>
      <c r="R317" s="362"/>
    </row>
    <row r="318" spans="1:18" ht="24" hidden="1">
      <c r="A318" s="124">
        <v>4110</v>
      </c>
      <c r="B318" s="128" t="s">
        <v>604</v>
      </c>
      <c r="C318" s="88"/>
      <c r="D318" s="74">
        <f t="shared" si="34"/>
        <v>0</v>
      </c>
      <c r="E318" s="89">
        <f t="shared" si="37"/>
        <v>0</v>
      </c>
      <c r="F318" s="468" t="e">
        <f t="shared" si="38"/>
        <v>#DIV/0!</v>
      </c>
      <c r="G318" s="88"/>
      <c r="H318" s="89"/>
      <c r="I318" s="224" t="e">
        <f t="shared" si="36"/>
        <v>#DIV/0!</v>
      </c>
      <c r="J318" s="126"/>
      <c r="K318" s="89"/>
      <c r="L318" s="391"/>
      <c r="M318" s="89"/>
      <c r="N318" s="89"/>
      <c r="O318" s="368"/>
      <c r="P318" s="88"/>
      <c r="Q318" s="89"/>
      <c r="R318" s="362"/>
    </row>
    <row r="319" spans="1:18" ht="12.75">
      <c r="A319" s="124">
        <v>4120</v>
      </c>
      <c r="B319" s="128" t="s">
        <v>605</v>
      </c>
      <c r="C319" s="88">
        <v>320100</v>
      </c>
      <c r="D319" s="74">
        <f t="shared" si="34"/>
        <v>324100</v>
      </c>
      <c r="E319" s="89">
        <f t="shared" si="37"/>
        <v>133592</v>
      </c>
      <c r="F319" s="468">
        <f t="shared" si="38"/>
        <v>41.219376735575445</v>
      </c>
      <c r="G319" s="88">
        <f>320100+4000</f>
        <v>324100</v>
      </c>
      <c r="H319" s="89">
        <v>133592</v>
      </c>
      <c r="I319" s="224">
        <f t="shared" si="36"/>
        <v>41.219376735575445</v>
      </c>
      <c r="J319" s="126"/>
      <c r="K319" s="89"/>
      <c r="L319" s="391"/>
      <c r="M319" s="89"/>
      <c r="N319" s="89"/>
      <c r="O319" s="368"/>
      <c r="P319" s="88"/>
      <c r="Q319" s="89"/>
      <c r="R319" s="362"/>
    </row>
    <row r="320" spans="1:18" ht="12.75" hidden="1">
      <c r="A320" s="124">
        <v>4120</v>
      </c>
      <c r="B320" s="128" t="s">
        <v>606</v>
      </c>
      <c r="C320" s="88"/>
      <c r="D320" s="74">
        <f t="shared" si="34"/>
        <v>0</v>
      </c>
      <c r="E320" s="89">
        <f t="shared" si="37"/>
        <v>0</v>
      </c>
      <c r="F320" s="468" t="e">
        <f t="shared" si="38"/>
        <v>#DIV/0!</v>
      </c>
      <c r="G320" s="88"/>
      <c r="H320" s="89"/>
      <c r="I320" s="224" t="e">
        <f t="shared" si="36"/>
        <v>#DIV/0!</v>
      </c>
      <c r="J320" s="126"/>
      <c r="K320" s="89"/>
      <c r="L320" s="391"/>
      <c r="M320" s="89"/>
      <c r="N320" s="89"/>
      <c r="O320" s="368"/>
      <c r="P320" s="88"/>
      <c r="Q320" s="89"/>
      <c r="R320" s="362"/>
    </row>
    <row r="321" spans="1:18" ht="12.75">
      <c r="A321" s="124">
        <v>4140</v>
      </c>
      <c r="B321" s="128" t="s">
        <v>544</v>
      </c>
      <c r="C321" s="88">
        <v>150000</v>
      </c>
      <c r="D321" s="74">
        <f t="shared" si="34"/>
        <v>150000</v>
      </c>
      <c r="E321" s="89">
        <f t="shared" si="37"/>
        <v>74478</v>
      </c>
      <c r="F321" s="468">
        <f t="shared" si="38"/>
        <v>49.652</v>
      </c>
      <c r="G321" s="88">
        <v>150000</v>
      </c>
      <c r="H321" s="89">
        <v>74478</v>
      </c>
      <c r="I321" s="224">
        <f t="shared" si="36"/>
        <v>49.652</v>
      </c>
      <c r="J321" s="126"/>
      <c r="K321" s="89"/>
      <c r="L321" s="391"/>
      <c r="M321" s="89"/>
      <c r="N321" s="89"/>
      <c r="O321" s="368"/>
      <c r="P321" s="88"/>
      <c r="Q321" s="89"/>
      <c r="R321" s="362"/>
    </row>
    <row r="322" spans="1:18" ht="24">
      <c r="A322" s="124">
        <v>4170</v>
      </c>
      <c r="B322" s="128" t="s">
        <v>536</v>
      </c>
      <c r="C322" s="88">
        <v>150000</v>
      </c>
      <c r="D322" s="74">
        <f t="shared" si="34"/>
        <v>148900</v>
      </c>
      <c r="E322" s="89">
        <f t="shared" si="37"/>
        <v>39844</v>
      </c>
      <c r="F322" s="468">
        <f t="shared" si="38"/>
        <v>26.758898589657488</v>
      </c>
      <c r="G322" s="88">
        <f>150000-1100</f>
        <v>148900</v>
      </c>
      <c r="H322" s="89">
        <v>39844</v>
      </c>
      <c r="I322" s="224">
        <f t="shared" si="36"/>
        <v>26.758898589657488</v>
      </c>
      <c r="J322" s="126"/>
      <c r="K322" s="89"/>
      <c r="L322" s="391"/>
      <c r="M322" s="89"/>
      <c r="N322" s="89"/>
      <c r="O322" s="368"/>
      <c r="P322" s="88"/>
      <c r="Q322" s="89"/>
      <c r="R322" s="362"/>
    </row>
    <row r="323" spans="1:18" ht="24" hidden="1">
      <c r="A323" s="124">
        <v>4170</v>
      </c>
      <c r="B323" s="128" t="s">
        <v>607</v>
      </c>
      <c r="C323" s="88"/>
      <c r="D323" s="74">
        <f t="shared" si="34"/>
        <v>0</v>
      </c>
      <c r="E323" s="89">
        <f t="shared" si="37"/>
        <v>0</v>
      </c>
      <c r="F323" s="468" t="e">
        <f t="shared" si="38"/>
        <v>#DIV/0!</v>
      </c>
      <c r="G323" s="88"/>
      <c r="H323" s="89"/>
      <c r="I323" s="224" t="e">
        <f t="shared" si="36"/>
        <v>#DIV/0!</v>
      </c>
      <c r="J323" s="126"/>
      <c r="K323" s="89"/>
      <c r="L323" s="391"/>
      <c r="M323" s="89"/>
      <c r="N323" s="89"/>
      <c r="O323" s="368"/>
      <c r="P323" s="88"/>
      <c r="Q323" s="89"/>
      <c r="R323" s="362"/>
    </row>
    <row r="324" spans="1:18" ht="24">
      <c r="A324" s="124">
        <v>4210</v>
      </c>
      <c r="B324" s="128" t="s">
        <v>608</v>
      </c>
      <c r="C324" s="88">
        <f>SUM(C325:C329)</f>
        <v>453000</v>
      </c>
      <c r="D324" s="74">
        <f t="shared" si="34"/>
        <v>448500</v>
      </c>
      <c r="E324" s="74">
        <f t="shared" si="37"/>
        <v>206508</v>
      </c>
      <c r="F324" s="468">
        <f t="shared" si="38"/>
        <v>46.044147157190636</v>
      </c>
      <c r="G324" s="154">
        <f>SUM(G325:G329)</f>
        <v>448500</v>
      </c>
      <c r="H324" s="89">
        <f>SUM(H325:H329)</f>
        <v>206508</v>
      </c>
      <c r="I324" s="224">
        <f t="shared" si="36"/>
        <v>46.044147157190636</v>
      </c>
      <c r="J324" s="126"/>
      <c r="K324" s="89"/>
      <c r="L324" s="391"/>
      <c r="M324" s="89"/>
      <c r="N324" s="89"/>
      <c r="O324" s="368"/>
      <c r="P324" s="88"/>
      <c r="Q324" s="89"/>
      <c r="R324" s="362"/>
    </row>
    <row r="325" spans="1:18" s="11" customFormat="1" ht="20.25" customHeight="1">
      <c r="A325" s="164"/>
      <c r="B325" s="233" t="s">
        <v>609</v>
      </c>
      <c r="C325" s="166">
        <v>413000</v>
      </c>
      <c r="D325" s="167">
        <f t="shared" si="34"/>
        <v>408500</v>
      </c>
      <c r="E325" s="167">
        <f t="shared" si="37"/>
        <v>185196</v>
      </c>
      <c r="F325" s="468">
        <f t="shared" si="38"/>
        <v>45.335618115055084</v>
      </c>
      <c r="G325" s="166">
        <f>413000+40000-44500</f>
        <v>408500</v>
      </c>
      <c r="H325" s="167">
        <v>185196</v>
      </c>
      <c r="I325" s="224">
        <f t="shared" si="36"/>
        <v>45.335618115055084</v>
      </c>
      <c r="J325" s="168"/>
      <c r="K325" s="167"/>
      <c r="L325" s="391"/>
      <c r="M325" s="167"/>
      <c r="N325" s="167"/>
      <c r="O325" s="391"/>
      <c r="P325" s="166"/>
      <c r="Q325" s="167"/>
      <c r="R325" s="369"/>
    </row>
    <row r="326" spans="1:18" s="11" customFormat="1" ht="12.75">
      <c r="A326" s="164"/>
      <c r="B326" s="233" t="s">
        <v>610</v>
      </c>
      <c r="C326" s="166">
        <v>6000</v>
      </c>
      <c r="D326" s="167">
        <f t="shared" si="34"/>
        <v>6000</v>
      </c>
      <c r="E326" s="167">
        <f t="shared" si="37"/>
        <v>2328</v>
      </c>
      <c r="F326" s="468">
        <f t="shared" si="38"/>
        <v>38.800000000000004</v>
      </c>
      <c r="G326" s="166">
        <v>6000</v>
      </c>
      <c r="H326" s="167">
        <v>2328</v>
      </c>
      <c r="I326" s="224">
        <f t="shared" si="36"/>
        <v>38.800000000000004</v>
      </c>
      <c r="J326" s="168"/>
      <c r="K326" s="167"/>
      <c r="L326" s="391"/>
      <c r="M326" s="167"/>
      <c r="N326" s="167"/>
      <c r="O326" s="391"/>
      <c r="P326" s="166"/>
      <c r="Q326" s="167"/>
      <c r="R326" s="369"/>
    </row>
    <row r="327" spans="1:18" s="11" customFormat="1" ht="12.75" hidden="1">
      <c r="A327" s="164"/>
      <c r="B327" s="233" t="s">
        <v>611</v>
      </c>
      <c r="C327" s="166"/>
      <c r="D327" s="167">
        <f t="shared" si="34"/>
        <v>0</v>
      </c>
      <c r="E327" s="167">
        <f t="shared" si="37"/>
        <v>0</v>
      </c>
      <c r="F327" s="468" t="e">
        <f t="shared" si="38"/>
        <v>#DIV/0!</v>
      </c>
      <c r="G327" s="166"/>
      <c r="H327" s="167"/>
      <c r="I327" s="224" t="e">
        <f t="shared" si="36"/>
        <v>#DIV/0!</v>
      </c>
      <c r="J327" s="168"/>
      <c r="K327" s="167"/>
      <c r="L327" s="391"/>
      <c r="M327" s="167"/>
      <c r="N327" s="167"/>
      <c r="O327" s="391"/>
      <c r="P327" s="166"/>
      <c r="Q327" s="167"/>
      <c r="R327" s="369"/>
    </row>
    <row r="328" spans="1:18" s="11" customFormat="1" ht="12.75">
      <c r="A328" s="164"/>
      <c r="B328" s="233" t="s">
        <v>612</v>
      </c>
      <c r="C328" s="166">
        <v>30000</v>
      </c>
      <c r="D328" s="167">
        <f t="shared" si="34"/>
        <v>30000</v>
      </c>
      <c r="E328" s="167">
        <f t="shared" si="37"/>
        <v>18984</v>
      </c>
      <c r="F328" s="468">
        <f t="shared" si="38"/>
        <v>63.28</v>
      </c>
      <c r="G328" s="166">
        <v>30000</v>
      </c>
      <c r="H328" s="167">
        <v>18984</v>
      </c>
      <c r="I328" s="224">
        <f t="shared" si="36"/>
        <v>63.28</v>
      </c>
      <c r="J328" s="168"/>
      <c r="K328" s="167"/>
      <c r="L328" s="391"/>
      <c r="M328" s="167"/>
      <c r="N328" s="167"/>
      <c r="O328" s="391"/>
      <c r="P328" s="166"/>
      <c r="Q328" s="167"/>
      <c r="R328" s="369"/>
    </row>
    <row r="329" spans="1:18" s="11" customFormat="1" ht="12.75">
      <c r="A329" s="164"/>
      <c r="B329" s="233" t="s">
        <v>613</v>
      </c>
      <c r="C329" s="166">
        <v>4000</v>
      </c>
      <c r="D329" s="167">
        <f t="shared" si="34"/>
        <v>4000</v>
      </c>
      <c r="E329" s="167">
        <f t="shared" si="37"/>
        <v>0</v>
      </c>
      <c r="F329" s="468">
        <f t="shared" si="38"/>
        <v>0</v>
      </c>
      <c r="G329" s="166">
        <v>4000</v>
      </c>
      <c r="H329" s="167"/>
      <c r="I329" s="224">
        <f t="shared" si="36"/>
        <v>0</v>
      </c>
      <c r="J329" s="168"/>
      <c r="K329" s="167"/>
      <c r="L329" s="391"/>
      <c r="M329" s="167"/>
      <c r="N329" s="167"/>
      <c r="O329" s="391"/>
      <c r="P329" s="166"/>
      <c r="Q329" s="167"/>
      <c r="R329" s="369"/>
    </row>
    <row r="330" spans="1:18" ht="36">
      <c r="A330" s="124">
        <v>4240</v>
      </c>
      <c r="B330" s="128" t="s">
        <v>563</v>
      </c>
      <c r="C330" s="88">
        <v>10000</v>
      </c>
      <c r="D330" s="74">
        <f t="shared" si="34"/>
        <v>10000</v>
      </c>
      <c r="E330" s="89">
        <f t="shared" si="37"/>
        <v>1494</v>
      </c>
      <c r="F330" s="468">
        <f t="shared" si="38"/>
        <v>14.940000000000001</v>
      </c>
      <c r="G330" s="88">
        <v>10000</v>
      </c>
      <c r="H330" s="89">
        <v>1494</v>
      </c>
      <c r="I330" s="224">
        <f t="shared" si="36"/>
        <v>14.940000000000001</v>
      </c>
      <c r="J330" s="126"/>
      <c r="K330" s="89"/>
      <c r="L330" s="391"/>
      <c r="M330" s="89"/>
      <c r="N330" s="89"/>
      <c r="O330" s="368"/>
      <c r="P330" s="88"/>
      <c r="Q330" s="89"/>
      <c r="R330" s="362"/>
    </row>
    <row r="331" spans="1:18" ht="12.75">
      <c r="A331" s="124">
        <v>4260</v>
      </c>
      <c r="B331" s="128" t="s">
        <v>506</v>
      </c>
      <c r="C331" s="88">
        <v>404000</v>
      </c>
      <c r="D331" s="74">
        <f t="shared" si="34"/>
        <v>357700</v>
      </c>
      <c r="E331" s="89">
        <f t="shared" si="37"/>
        <v>233843</v>
      </c>
      <c r="F331" s="468">
        <f t="shared" si="38"/>
        <v>65.37405647190383</v>
      </c>
      <c r="G331" s="88">
        <f>404000-40000-6300</f>
        <v>357700</v>
      </c>
      <c r="H331" s="89">
        <v>233843</v>
      </c>
      <c r="I331" s="224">
        <f t="shared" si="36"/>
        <v>65.37405647190383</v>
      </c>
      <c r="J331" s="126"/>
      <c r="K331" s="89"/>
      <c r="L331" s="391"/>
      <c r="M331" s="89"/>
      <c r="N331" s="89"/>
      <c r="O331" s="368"/>
      <c r="P331" s="88"/>
      <c r="Q331" s="89"/>
      <c r="R331" s="362"/>
    </row>
    <row r="332" spans="1:18" ht="24">
      <c r="A332" s="124">
        <v>4270</v>
      </c>
      <c r="B332" s="128" t="s">
        <v>155</v>
      </c>
      <c r="C332" s="88">
        <f>SUM(C333:C334)</f>
        <v>455000</v>
      </c>
      <c r="D332" s="74">
        <f t="shared" si="34"/>
        <v>432300</v>
      </c>
      <c r="E332" s="89">
        <f t="shared" si="37"/>
        <v>77010</v>
      </c>
      <c r="F332" s="468">
        <f t="shared" si="38"/>
        <v>17.814018043025676</v>
      </c>
      <c r="G332" s="88">
        <f>SUM(G333:G334)</f>
        <v>432300</v>
      </c>
      <c r="H332" s="89">
        <f>SUM(H333:H334)</f>
        <v>77010</v>
      </c>
      <c r="I332" s="224">
        <f t="shared" si="36"/>
        <v>17.814018043025676</v>
      </c>
      <c r="J332" s="126"/>
      <c r="K332" s="89"/>
      <c r="L332" s="391"/>
      <c r="M332" s="89"/>
      <c r="N332" s="89"/>
      <c r="O332" s="368"/>
      <c r="P332" s="88"/>
      <c r="Q332" s="89"/>
      <c r="R332" s="362"/>
    </row>
    <row r="333" spans="1:18" s="11" customFormat="1" ht="12">
      <c r="A333" s="164"/>
      <c r="B333" s="233" t="s">
        <v>614</v>
      </c>
      <c r="C333" s="234">
        <v>420000</v>
      </c>
      <c r="D333" s="236">
        <f t="shared" si="34"/>
        <v>395000</v>
      </c>
      <c r="E333" s="236">
        <f t="shared" si="37"/>
        <v>57641</v>
      </c>
      <c r="F333" s="468">
        <f t="shared" si="38"/>
        <v>14.592658227848101</v>
      </c>
      <c r="G333" s="234">
        <f>420000-47000+22000+375000-375000</f>
        <v>395000</v>
      </c>
      <c r="H333" s="236">
        <v>57641</v>
      </c>
      <c r="I333" s="224">
        <f t="shared" si="36"/>
        <v>14.592658227848101</v>
      </c>
      <c r="J333" s="237"/>
      <c r="K333" s="236"/>
      <c r="L333" s="391"/>
      <c r="M333" s="236"/>
      <c r="N333" s="236"/>
      <c r="O333" s="391"/>
      <c r="P333" s="234"/>
      <c r="Q333" s="236"/>
      <c r="R333" s="369"/>
    </row>
    <row r="334" spans="1:18" s="11" customFormat="1" ht="12">
      <c r="A334" s="164"/>
      <c r="B334" s="233" t="s">
        <v>612</v>
      </c>
      <c r="C334" s="234">
        <v>35000</v>
      </c>
      <c r="D334" s="236">
        <f t="shared" si="34"/>
        <v>37300</v>
      </c>
      <c r="E334" s="236">
        <f t="shared" si="37"/>
        <v>19369</v>
      </c>
      <c r="F334" s="468">
        <f t="shared" si="38"/>
        <v>51.92761394101877</v>
      </c>
      <c r="G334" s="234">
        <f>35000+2300</f>
        <v>37300</v>
      </c>
      <c r="H334" s="236">
        <v>19369</v>
      </c>
      <c r="I334" s="224">
        <f t="shared" si="36"/>
        <v>51.92761394101877</v>
      </c>
      <c r="J334" s="237"/>
      <c r="K334" s="236"/>
      <c r="L334" s="391"/>
      <c r="M334" s="236"/>
      <c r="N334" s="236"/>
      <c r="O334" s="391"/>
      <c r="P334" s="234"/>
      <c r="Q334" s="236"/>
      <c r="R334" s="369"/>
    </row>
    <row r="335" spans="1:18" s="12" customFormat="1" ht="24">
      <c r="A335" s="197">
        <v>4280</v>
      </c>
      <c r="B335" s="258" t="s">
        <v>545</v>
      </c>
      <c r="C335" s="176">
        <v>14000</v>
      </c>
      <c r="D335" s="161">
        <f t="shared" si="34"/>
        <v>14000</v>
      </c>
      <c r="E335" s="161">
        <f t="shared" si="37"/>
        <v>7101</v>
      </c>
      <c r="F335" s="469">
        <f t="shared" si="38"/>
        <v>50.721428571428575</v>
      </c>
      <c r="G335" s="176">
        <v>14000</v>
      </c>
      <c r="H335" s="161">
        <v>7101</v>
      </c>
      <c r="I335" s="274">
        <f t="shared" si="36"/>
        <v>50.721428571428575</v>
      </c>
      <c r="J335" s="177"/>
      <c r="K335" s="322"/>
      <c r="L335" s="415"/>
      <c r="M335" s="322"/>
      <c r="N335" s="322"/>
      <c r="O335" s="387"/>
      <c r="P335" s="321"/>
      <c r="Q335" s="322"/>
      <c r="R335" s="366"/>
    </row>
    <row r="336" spans="1:18" ht="24">
      <c r="A336" s="124">
        <v>4300</v>
      </c>
      <c r="B336" s="128" t="s">
        <v>615</v>
      </c>
      <c r="C336" s="88">
        <f>SUM(C337:C343)</f>
        <v>1141000</v>
      </c>
      <c r="D336" s="74">
        <f t="shared" si="34"/>
        <v>1067000</v>
      </c>
      <c r="E336" s="89">
        <f>H336+K336+Q336+N336</f>
        <v>434349</v>
      </c>
      <c r="F336" s="468">
        <f t="shared" si="38"/>
        <v>40.70749765698219</v>
      </c>
      <c r="G336" s="88">
        <f>SUM(G337:G343)</f>
        <v>1067000</v>
      </c>
      <c r="H336" s="89">
        <f>SUM(H337:H343)</f>
        <v>434349</v>
      </c>
      <c r="I336" s="224">
        <f t="shared" si="36"/>
        <v>40.70749765698219</v>
      </c>
      <c r="J336" s="126"/>
      <c r="K336" s="89"/>
      <c r="L336" s="391"/>
      <c r="M336" s="89"/>
      <c r="N336" s="89"/>
      <c r="O336" s="368"/>
      <c r="P336" s="88"/>
      <c r="Q336" s="89"/>
      <c r="R336" s="362"/>
    </row>
    <row r="337" spans="1:18" s="11" customFormat="1" ht="12.75" hidden="1">
      <c r="A337" s="164"/>
      <c r="B337" s="233" t="s">
        <v>616</v>
      </c>
      <c r="C337" s="234"/>
      <c r="D337" s="74">
        <f t="shared" si="34"/>
        <v>0</v>
      </c>
      <c r="E337" s="89">
        <f>H337+K337+Q337+N337</f>
        <v>0</v>
      </c>
      <c r="F337" s="468"/>
      <c r="G337" s="234"/>
      <c r="H337" s="236"/>
      <c r="I337" s="224"/>
      <c r="J337" s="237"/>
      <c r="K337" s="236"/>
      <c r="L337" s="391"/>
      <c r="M337" s="236"/>
      <c r="N337" s="236"/>
      <c r="O337" s="391"/>
      <c r="P337" s="234"/>
      <c r="Q337" s="236"/>
      <c r="R337" s="369"/>
    </row>
    <row r="338" spans="1:18" s="11" customFormat="1" ht="12">
      <c r="A338" s="164"/>
      <c r="B338" s="233" t="s">
        <v>614</v>
      </c>
      <c r="C338" s="234">
        <v>816000</v>
      </c>
      <c r="D338" s="236">
        <f t="shared" si="34"/>
        <v>742000</v>
      </c>
      <c r="E338" s="235">
        <f aca="true" t="shared" si="39" ref="E338:E379">SUM(H338+K338+N338+Q338)</f>
        <v>330776</v>
      </c>
      <c r="F338" s="468">
        <f>E338/D338*100</f>
        <v>44.57897574123989</v>
      </c>
      <c r="G338" s="234">
        <f>816000-40000-30800-12200-12000+21000</f>
        <v>742000</v>
      </c>
      <c r="H338" s="236">
        <v>330776</v>
      </c>
      <c r="I338" s="224">
        <f t="shared" si="36"/>
        <v>44.57897574123989</v>
      </c>
      <c r="J338" s="237"/>
      <c r="K338" s="236"/>
      <c r="L338" s="391"/>
      <c r="M338" s="236"/>
      <c r="N338" s="236"/>
      <c r="O338" s="391"/>
      <c r="P338" s="234"/>
      <c r="Q338" s="236"/>
      <c r="R338" s="369"/>
    </row>
    <row r="339" spans="1:18" s="11" customFormat="1" ht="12" hidden="1">
      <c r="A339" s="164"/>
      <c r="B339" s="233" t="s">
        <v>598</v>
      </c>
      <c r="C339" s="234"/>
      <c r="D339" s="236">
        <f t="shared" si="34"/>
        <v>0</v>
      </c>
      <c r="E339" s="235">
        <f t="shared" si="39"/>
        <v>0</v>
      </c>
      <c r="F339" s="468" t="e">
        <f>E339/D339*100</f>
        <v>#DIV/0!</v>
      </c>
      <c r="G339" s="234"/>
      <c r="H339" s="236"/>
      <c r="I339" s="224" t="e">
        <f t="shared" si="36"/>
        <v>#DIV/0!</v>
      </c>
      <c r="J339" s="237"/>
      <c r="K339" s="236"/>
      <c r="L339" s="391"/>
      <c r="M339" s="236"/>
      <c r="N339" s="236"/>
      <c r="O339" s="391"/>
      <c r="P339" s="234"/>
      <c r="Q339" s="236"/>
      <c r="R339" s="369"/>
    </row>
    <row r="340" spans="1:18" s="11" customFormat="1" ht="11.25" customHeight="1">
      <c r="A340" s="164"/>
      <c r="B340" s="233" t="s">
        <v>617</v>
      </c>
      <c r="C340" s="234">
        <v>30000</v>
      </c>
      <c r="D340" s="236">
        <f t="shared" si="34"/>
        <v>30000</v>
      </c>
      <c r="E340" s="235">
        <f t="shared" si="39"/>
        <v>1250</v>
      </c>
      <c r="F340" s="468">
        <f>E340/D340*100</f>
        <v>4.166666666666666</v>
      </c>
      <c r="G340" s="234">
        <v>30000</v>
      </c>
      <c r="H340" s="236">
        <v>1250</v>
      </c>
      <c r="I340" s="224">
        <f t="shared" si="36"/>
        <v>4.166666666666666</v>
      </c>
      <c r="J340" s="237"/>
      <c r="K340" s="236"/>
      <c r="L340" s="391"/>
      <c r="M340" s="236"/>
      <c r="N340" s="236"/>
      <c r="O340" s="391"/>
      <c r="P340" s="234"/>
      <c r="Q340" s="236"/>
      <c r="R340" s="369"/>
    </row>
    <row r="341" spans="1:18" s="11" customFormat="1" ht="24" hidden="1">
      <c r="A341" s="164"/>
      <c r="B341" s="233" t="s">
        <v>618</v>
      </c>
      <c r="C341" s="234"/>
      <c r="D341" s="236">
        <f t="shared" si="34"/>
        <v>0</v>
      </c>
      <c r="E341" s="235">
        <f t="shared" si="39"/>
        <v>0</v>
      </c>
      <c r="F341" s="468"/>
      <c r="G341" s="234"/>
      <c r="H341" s="236"/>
      <c r="I341" s="224"/>
      <c r="J341" s="237"/>
      <c r="K341" s="236"/>
      <c r="L341" s="391"/>
      <c r="M341" s="236"/>
      <c r="N341" s="236"/>
      <c r="O341" s="391"/>
      <c r="P341" s="234"/>
      <c r="Q341" s="236"/>
      <c r="R341" s="369"/>
    </row>
    <row r="342" spans="1:18" s="11" customFormat="1" ht="12" hidden="1">
      <c r="A342" s="164"/>
      <c r="B342" s="233" t="s">
        <v>600</v>
      </c>
      <c r="C342" s="234"/>
      <c r="D342" s="236">
        <f t="shared" si="34"/>
        <v>0</v>
      </c>
      <c r="E342" s="236">
        <f t="shared" si="39"/>
        <v>0</v>
      </c>
      <c r="F342" s="468" t="e">
        <f aca="true" t="shared" si="40" ref="F342:F369">E342/D342*100</f>
        <v>#DIV/0!</v>
      </c>
      <c r="G342" s="234"/>
      <c r="H342" s="236"/>
      <c r="I342" s="224" t="e">
        <f t="shared" si="36"/>
        <v>#DIV/0!</v>
      </c>
      <c r="J342" s="237"/>
      <c r="K342" s="236"/>
      <c r="L342" s="391"/>
      <c r="M342" s="236"/>
      <c r="N342" s="236"/>
      <c r="O342" s="391"/>
      <c r="P342" s="234"/>
      <c r="Q342" s="236"/>
      <c r="R342" s="369"/>
    </row>
    <row r="343" spans="1:18" s="11" customFormat="1" ht="12">
      <c r="A343" s="164"/>
      <c r="B343" s="233" t="s">
        <v>619</v>
      </c>
      <c r="C343" s="234">
        <v>295000</v>
      </c>
      <c r="D343" s="236">
        <f t="shared" si="34"/>
        <v>295000</v>
      </c>
      <c r="E343" s="236">
        <f t="shared" si="39"/>
        <v>102323</v>
      </c>
      <c r="F343" s="468">
        <f t="shared" si="40"/>
        <v>34.685762711864406</v>
      </c>
      <c r="G343" s="234">
        <v>295000</v>
      </c>
      <c r="H343" s="236">
        <v>102323</v>
      </c>
      <c r="I343" s="224">
        <f t="shared" si="36"/>
        <v>34.685762711864406</v>
      </c>
      <c r="J343" s="237"/>
      <c r="K343" s="236"/>
      <c r="L343" s="391"/>
      <c r="M343" s="236"/>
      <c r="N343" s="236"/>
      <c r="O343" s="391"/>
      <c r="P343" s="234"/>
      <c r="Q343" s="236"/>
      <c r="R343" s="369"/>
    </row>
    <row r="344" spans="1:18" s="12" customFormat="1" ht="33.75" customHeight="1" hidden="1">
      <c r="A344" s="172">
        <v>4390</v>
      </c>
      <c r="B344" s="206" t="s">
        <v>360</v>
      </c>
      <c r="C344" s="238"/>
      <c r="D344" s="74">
        <f t="shared" si="34"/>
        <v>0</v>
      </c>
      <c r="E344" s="89">
        <f t="shared" si="39"/>
        <v>0</v>
      </c>
      <c r="F344" s="468" t="e">
        <f t="shared" si="40"/>
        <v>#DIV/0!</v>
      </c>
      <c r="G344" s="238"/>
      <c r="H344" s="235"/>
      <c r="I344" s="224" t="e">
        <f t="shared" si="36"/>
        <v>#DIV/0!</v>
      </c>
      <c r="J344" s="239"/>
      <c r="K344" s="235"/>
      <c r="L344" s="391"/>
      <c r="M344" s="235"/>
      <c r="N344" s="235"/>
      <c r="O344" s="368"/>
      <c r="P344" s="239"/>
      <c r="Q344" s="235"/>
      <c r="R344" s="362"/>
    </row>
    <row r="345" spans="1:18" ht="24">
      <c r="A345" s="124">
        <v>4350</v>
      </c>
      <c r="B345" s="128" t="s">
        <v>248</v>
      </c>
      <c r="C345" s="88">
        <v>7200</v>
      </c>
      <c r="D345" s="74">
        <f t="shared" si="34"/>
        <v>22925</v>
      </c>
      <c r="E345" s="89">
        <f t="shared" si="39"/>
        <v>11959</v>
      </c>
      <c r="F345" s="468">
        <f t="shared" si="40"/>
        <v>52.16575790621592</v>
      </c>
      <c r="G345" s="88">
        <f>7200+5725+10000</f>
        <v>22925</v>
      </c>
      <c r="H345" s="89">
        <v>11959</v>
      </c>
      <c r="I345" s="224">
        <f t="shared" si="36"/>
        <v>52.16575790621592</v>
      </c>
      <c r="J345" s="126"/>
      <c r="K345" s="89"/>
      <c r="L345" s="391"/>
      <c r="M345" s="89"/>
      <c r="N345" s="89"/>
      <c r="O345" s="368"/>
      <c r="P345" s="89"/>
      <c r="Q345" s="89"/>
      <c r="R345" s="362"/>
    </row>
    <row r="346" spans="1:18" ht="22.5" customHeight="1">
      <c r="A346" s="124">
        <v>4350</v>
      </c>
      <c r="B346" s="128" t="s">
        <v>249</v>
      </c>
      <c r="C346" s="88">
        <v>6000</v>
      </c>
      <c r="D346" s="74">
        <f t="shared" si="34"/>
        <v>275</v>
      </c>
      <c r="E346" s="89">
        <f t="shared" si="39"/>
        <v>275</v>
      </c>
      <c r="F346" s="468">
        <f t="shared" si="40"/>
        <v>100</v>
      </c>
      <c r="G346" s="88">
        <f>6000-5725</f>
        <v>275</v>
      </c>
      <c r="H346" s="89">
        <v>275</v>
      </c>
      <c r="I346" s="442">
        <f t="shared" si="36"/>
        <v>100</v>
      </c>
      <c r="J346" s="126"/>
      <c r="K346" s="89"/>
      <c r="L346" s="391"/>
      <c r="M346" s="89"/>
      <c r="N346" s="89"/>
      <c r="O346" s="368"/>
      <c r="P346" s="89"/>
      <c r="Q346" s="89"/>
      <c r="R346" s="362"/>
    </row>
    <row r="347" spans="1:18" ht="60">
      <c r="A347" s="172">
        <v>4360</v>
      </c>
      <c r="B347" s="337" t="s">
        <v>293</v>
      </c>
      <c r="C347" s="88">
        <v>83000</v>
      </c>
      <c r="D347" s="74">
        <f>G347+J347+P347+M347</f>
        <v>74000</v>
      </c>
      <c r="E347" s="89">
        <f>SUM(H347+K347+N347+Q347)</f>
        <v>31234</v>
      </c>
      <c r="F347" s="468">
        <f>E347/D347*100</f>
        <v>42.20810810810811</v>
      </c>
      <c r="G347" s="88">
        <f>83000-9000</f>
        <v>74000</v>
      </c>
      <c r="H347" s="89">
        <v>31234</v>
      </c>
      <c r="I347" s="224">
        <f t="shared" si="36"/>
        <v>42.20810810810811</v>
      </c>
      <c r="J347" s="126"/>
      <c r="K347" s="89"/>
      <c r="L347" s="391"/>
      <c r="M347" s="89"/>
      <c r="N347" s="89"/>
      <c r="O347" s="368"/>
      <c r="P347" s="89"/>
      <c r="Q347" s="89"/>
      <c r="R347" s="362"/>
    </row>
    <row r="348" spans="1:18" ht="60">
      <c r="A348" s="172">
        <v>4370</v>
      </c>
      <c r="B348" s="337" t="s">
        <v>294</v>
      </c>
      <c r="C348" s="88">
        <v>177000</v>
      </c>
      <c r="D348" s="74">
        <f>G348+J348+P348+M348</f>
        <v>177000</v>
      </c>
      <c r="E348" s="89">
        <f>SUM(H348+K348+N348+Q348)</f>
        <v>71844</v>
      </c>
      <c r="F348" s="468">
        <f>E348/D348*100</f>
        <v>40.58983050847458</v>
      </c>
      <c r="G348" s="88">
        <v>177000</v>
      </c>
      <c r="H348" s="89">
        <v>71844</v>
      </c>
      <c r="I348" s="224">
        <f t="shared" si="36"/>
        <v>40.58983050847458</v>
      </c>
      <c r="J348" s="126"/>
      <c r="K348" s="89"/>
      <c r="L348" s="391"/>
      <c r="M348" s="89"/>
      <c r="N348" s="89"/>
      <c r="O348" s="368"/>
      <c r="P348" s="89"/>
      <c r="Q348" s="89"/>
      <c r="R348" s="362"/>
    </row>
    <row r="349" spans="1:18" ht="48">
      <c r="A349" s="124">
        <v>4390</v>
      </c>
      <c r="B349" s="128" t="s">
        <v>423</v>
      </c>
      <c r="C349" s="88"/>
      <c r="D349" s="74">
        <f>G349+J349+P349+M349</f>
        <v>12200</v>
      </c>
      <c r="E349" s="89">
        <f>SUM(H349+K349+N349+Q349)</f>
        <v>12200</v>
      </c>
      <c r="F349" s="468">
        <f>E349/D349*100</f>
        <v>100</v>
      </c>
      <c r="G349" s="88">
        <v>12200</v>
      </c>
      <c r="H349" s="89">
        <v>12200</v>
      </c>
      <c r="I349" s="442">
        <f t="shared" si="36"/>
        <v>100</v>
      </c>
      <c r="J349" s="126"/>
      <c r="K349" s="89"/>
      <c r="L349" s="391"/>
      <c r="M349" s="89"/>
      <c r="N349" s="89"/>
      <c r="O349" s="368"/>
      <c r="P349" s="89"/>
      <c r="Q349" s="89"/>
      <c r="R349" s="362"/>
    </row>
    <row r="350" spans="1:18" ht="24">
      <c r="A350" s="124">
        <v>4400</v>
      </c>
      <c r="B350" s="128" t="s">
        <v>289</v>
      </c>
      <c r="C350" s="88">
        <v>21000</v>
      </c>
      <c r="D350" s="74">
        <f>G350+J350+P350+M350</f>
        <v>11000</v>
      </c>
      <c r="E350" s="89">
        <f>SUM(H350+K350+N350+Q350)</f>
        <v>3246</v>
      </c>
      <c r="F350" s="468">
        <f>E350/D350*100</f>
        <v>29.509090909090908</v>
      </c>
      <c r="G350" s="88">
        <f>21000-10000</f>
        <v>11000</v>
      </c>
      <c r="H350" s="89">
        <v>3246</v>
      </c>
      <c r="I350" s="224">
        <f t="shared" si="36"/>
        <v>29.509090909090908</v>
      </c>
      <c r="J350" s="126"/>
      <c r="K350" s="89"/>
      <c r="L350" s="391"/>
      <c r="M350" s="89"/>
      <c r="N350" s="89"/>
      <c r="O350" s="368"/>
      <c r="P350" s="89"/>
      <c r="Q350" s="89"/>
      <c r="R350" s="362"/>
    </row>
    <row r="351" spans="1:18" ht="24">
      <c r="A351" s="124">
        <v>4410</v>
      </c>
      <c r="B351" s="128" t="s">
        <v>484</v>
      </c>
      <c r="C351" s="88">
        <v>177000</v>
      </c>
      <c r="D351" s="74">
        <f t="shared" si="34"/>
        <v>177000</v>
      </c>
      <c r="E351" s="89">
        <f t="shared" si="39"/>
        <v>99463</v>
      </c>
      <c r="F351" s="468">
        <f t="shared" si="40"/>
        <v>56.19378531073447</v>
      </c>
      <c r="G351" s="88">
        <v>177000</v>
      </c>
      <c r="H351" s="89">
        <v>99463</v>
      </c>
      <c r="I351" s="224">
        <f t="shared" si="36"/>
        <v>56.19378531073447</v>
      </c>
      <c r="J351" s="126"/>
      <c r="K351" s="89"/>
      <c r="L351" s="391"/>
      <c r="M351" s="89"/>
      <c r="N351" s="89"/>
      <c r="O351" s="368"/>
      <c r="P351" s="89"/>
      <c r="Q351" s="89"/>
      <c r="R351" s="362"/>
    </row>
    <row r="352" spans="1:18" ht="24">
      <c r="A352" s="124">
        <v>4420</v>
      </c>
      <c r="B352" s="128" t="s">
        <v>620</v>
      </c>
      <c r="C352" s="88">
        <v>90000</v>
      </c>
      <c r="D352" s="74">
        <f aca="true" t="shared" si="41" ref="D352:E438">G352+J352+P352+M352</f>
        <v>90000</v>
      </c>
      <c r="E352" s="89">
        <f t="shared" si="39"/>
        <v>29679</v>
      </c>
      <c r="F352" s="468">
        <f t="shared" si="40"/>
        <v>32.97666666666667</v>
      </c>
      <c r="G352" s="88">
        <v>90000</v>
      </c>
      <c r="H352" s="89">
        <v>29679</v>
      </c>
      <c r="I352" s="224">
        <f t="shared" si="36"/>
        <v>32.97666666666667</v>
      </c>
      <c r="J352" s="126"/>
      <c r="K352" s="89"/>
      <c r="L352" s="391"/>
      <c r="M352" s="89"/>
      <c r="N352" s="89"/>
      <c r="O352" s="368"/>
      <c r="P352" s="89"/>
      <c r="Q352" s="89"/>
      <c r="R352" s="362"/>
    </row>
    <row r="353" spans="1:18" ht="24" hidden="1">
      <c r="A353" s="124">
        <v>4430</v>
      </c>
      <c r="B353" s="128" t="s">
        <v>444</v>
      </c>
      <c r="C353" s="88"/>
      <c r="D353" s="74">
        <f>G353+J353+P353+M353</f>
        <v>0</v>
      </c>
      <c r="E353" s="89">
        <f>SUM(H353+K353+N353+Q353)</f>
        <v>0</v>
      </c>
      <c r="F353" s="468" t="e">
        <f>E353/D353*100</f>
        <v>#DIV/0!</v>
      </c>
      <c r="G353" s="88">
        <f>1000-1000</f>
        <v>0</v>
      </c>
      <c r="H353" s="89"/>
      <c r="I353" s="224" t="e">
        <f t="shared" si="36"/>
        <v>#DIV/0!</v>
      </c>
      <c r="J353" s="126"/>
      <c r="K353" s="89"/>
      <c r="L353" s="391"/>
      <c r="M353" s="89"/>
      <c r="N353" s="89"/>
      <c r="O353" s="368"/>
      <c r="P353" s="89"/>
      <c r="Q353" s="89"/>
      <c r="R353" s="362"/>
    </row>
    <row r="354" spans="1:18" ht="24">
      <c r="A354" s="124">
        <v>4430</v>
      </c>
      <c r="B354" s="128" t="s">
        <v>225</v>
      </c>
      <c r="C354" s="88">
        <v>117000</v>
      </c>
      <c r="D354" s="74">
        <f t="shared" si="41"/>
        <v>127000</v>
      </c>
      <c r="E354" s="89">
        <f t="shared" si="39"/>
        <v>72713</v>
      </c>
      <c r="F354" s="468">
        <f t="shared" si="40"/>
        <v>57.25433070866141</v>
      </c>
      <c r="G354" s="88">
        <f>117000-5000+5000+10000</f>
        <v>127000</v>
      </c>
      <c r="H354" s="89">
        <v>72713</v>
      </c>
      <c r="I354" s="224">
        <f t="shared" si="36"/>
        <v>57.25433070866141</v>
      </c>
      <c r="J354" s="126"/>
      <c r="K354" s="89"/>
      <c r="L354" s="391"/>
      <c r="M354" s="89"/>
      <c r="N354" s="89"/>
      <c r="O354" s="368"/>
      <c r="P354" s="89"/>
      <c r="Q354" s="89"/>
      <c r="R354" s="362"/>
    </row>
    <row r="355" spans="1:18" ht="24" hidden="1">
      <c r="A355" s="124">
        <v>4430</v>
      </c>
      <c r="B355" s="128" t="s">
        <v>226</v>
      </c>
      <c r="C355" s="88"/>
      <c r="D355" s="74">
        <f t="shared" si="41"/>
        <v>0</v>
      </c>
      <c r="E355" s="89">
        <f>SUM(H355+K355+N355+Q355)</f>
        <v>0</v>
      </c>
      <c r="F355" s="468" t="e">
        <f t="shared" si="40"/>
        <v>#DIV/0!</v>
      </c>
      <c r="G355" s="88"/>
      <c r="H355" s="89"/>
      <c r="I355" s="224" t="e">
        <f t="shared" si="36"/>
        <v>#DIV/0!</v>
      </c>
      <c r="J355" s="126"/>
      <c r="K355" s="89"/>
      <c r="L355" s="391"/>
      <c r="M355" s="89"/>
      <c r="N355" s="89"/>
      <c r="O355" s="368"/>
      <c r="P355" s="89"/>
      <c r="Q355" s="89"/>
      <c r="R355" s="362"/>
    </row>
    <row r="356" spans="1:18" ht="14.25" customHeight="1">
      <c r="A356" s="124">
        <v>4440</v>
      </c>
      <c r="B356" s="128" t="s">
        <v>514</v>
      </c>
      <c r="C356" s="88">
        <v>292000</v>
      </c>
      <c r="D356" s="74">
        <f t="shared" si="41"/>
        <v>292000</v>
      </c>
      <c r="E356" s="89">
        <f t="shared" si="39"/>
        <v>220476</v>
      </c>
      <c r="F356" s="468">
        <f t="shared" si="40"/>
        <v>75.50547945205479</v>
      </c>
      <c r="G356" s="88">
        <v>292000</v>
      </c>
      <c r="H356" s="89">
        <v>220476</v>
      </c>
      <c r="I356" s="224">
        <f aca="true" t="shared" si="42" ref="I356:I367">H356/G356*100</f>
        <v>75.50547945205479</v>
      </c>
      <c r="J356" s="126"/>
      <c r="K356" s="89"/>
      <c r="L356" s="391"/>
      <c r="M356" s="89"/>
      <c r="N356" s="89"/>
      <c r="O356" s="368"/>
      <c r="P356" s="89"/>
      <c r="Q356" s="89"/>
      <c r="R356" s="362"/>
    </row>
    <row r="357" spans="1:18" ht="12.75" customHeight="1" hidden="1">
      <c r="A357" s="124">
        <v>4580</v>
      </c>
      <c r="B357" s="128" t="s">
        <v>549</v>
      </c>
      <c r="C357" s="88"/>
      <c r="D357" s="74">
        <f t="shared" si="41"/>
        <v>0</v>
      </c>
      <c r="E357" s="89">
        <f t="shared" si="39"/>
        <v>0</v>
      </c>
      <c r="F357" s="468" t="e">
        <f t="shared" si="40"/>
        <v>#DIV/0!</v>
      </c>
      <c r="G357" s="88"/>
      <c r="H357" s="89"/>
      <c r="I357" s="224" t="e">
        <f t="shared" si="42"/>
        <v>#DIV/0!</v>
      </c>
      <c r="J357" s="126"/>
      <c r="K357" s="89"/>
      <c r="L357" s="391"/>
      <c r="M357" s="89"/>
      <c r="N357" s="89"/>
      <c r="O357" s="368"/>
      <c r="P357" s="89"/>
      <c r="Q357" s="89"/>
      <c r="R357" s="362"/>
    </row>
    <row r="358" spans="1:18" ht="24" hidden="1">
      <c r="A358" s="124">
        <v>4610</v>
      </c>
      <c r="B358" s="128" t="s">
        <v>621</v>
      </c>
      <c r="C358" s="88"/>
      <c r="D358" s="74">
        <f t="shared" si="41"/>
        <v>0</v>
      </c>
      <c r="E358" s="89">
        <f t="shared" si="39"/>
        <v>0</v>
      </c>
      <c r="F358" s="468" t="e">
        <f t="shared" si="40"/>
        <v>#DIV/0!</v>
      </c>
      <c r="G358" s="88"/>
      <c r="H358" s="89"/>
      <c r="I358" s="224" t="e">
        <f t="shared" si="42"/>
        <v>#DIV/0!</v>
      </c>
      <c r="J358" s="126"/>
      <c r="K358" s="89"/>
      <c r="L358" s="391"/>
      <c r="M358" s="89"/>
      <c r="N358" s="89"/>
      <c r="O358" s="368"/>
      <c r="P358" s="89"/>
      <c r="Q358" s="89"/>
      <c r="R358" s="362"/>
    </row>
    <row r="359" spans="1:18" ht="24">
      <c r="A359" s="124">
        <v>4610</v>
      </c>
      <c r="B359" s="128" t="s">
        <v>292</v>
      </c>
      <c r="C359" s="88">
        <v>500</v>
      </c>
      <c r="D359" s="74">
        <f t="shared" si="41"/>
        <v>500</v>
      </c>
      <c r="E359" s="89">
        <f>SUM(H359+K359+N359+Q359)</f>
        <v>0</v>
      </c>
      <c r="F359" s="468">
        <f>E359/D359*100</f>
        <v>0</v>
      </c>
      <c r="G359" s="88">
        <v>500</v>
      </c>
      <c r="H359" s="89"/>
      <c r="I359" s="224">
        <f t="shared" si="42"/>
        <v>0</v>
      </c>
      <c r="J359" s="126"/>
      <c r="K359" s="89"/>
      <c r="L359" s="391"/>
      <c r="M359" s="89"/>
      <c r="N359" s="89"/>
      <c r="O359" s="368"/>
      <c r="P359" s="89"/>
      <c r="Q359" s="89"/>
      <c r="R359" s="362"/>
    </row>
    <row r="360" spans="1:18" ht="24" hidden="1">
      <c r="A360" s="124">
        <v>4610</v>
      </c>
      <c r="B360" s="128" t="s">
        <v>622</v>
      </c>
      <c r="C360" s="88"/>
      <c r="D360" s="74">
        <f t="shared" si="41"/>
        <v>0</v>
      </c>
      <c r="E360" s="89">
        <f t="shared" si="39"/>
        <v>0</v>
      </c>
      <c r="F360" s="468" t="e">
        <f t="shared" si="40"/>
        <v>#DIV/0!</v>
      </c>
      <c r="G360" s="88"/>
      <c r="H360" s="89"/>
      <c r="I360" s="224" t="e">
        <f t="shared" si="42"/>
        <v>#DIV/0!</v>
      </c>
      <c r="J360" s="126"/>
      <c r="K360" s="89"/>
      <c r="L360" s="391"/>
      <c r="M360" s="89"/>
      <c r="N360" s="89"/>
      <c r="O360" s="368"/>
      <c r="P360" s="89"/>
      <c r="Q360" s="89"/>
      <c r="R360" s="362"/>
    </row>
    <row r="361" spans="1:18" ht="36">
      <c r="A361" s="172">
        <v>4700</v>
      </c>
      <c r="B361" s="337" t="s">
        <v>285</v>
      </c>
      <c r="C361" s="88">
        <v>120000</v>
      </c>
      <c r="D361" s="74">
        <f t="shared" si="41"/>
        <v>120000</v>
      </c>
      <c r="E361" s="89">
        <f>SUM(H361+K361+N361+Q361)</f>
        <v>38299</v>
      </c>
      <c r="F361" s="468">
        <f>E361/D361*100</f>
        <v>31.91583333333333</v>
      </c>
      <c r="G361" s="88">
        <v>120000</v>
      </c>
      <c r="H361" s="89">
        <v>38299</v>
      </c>
      <c r="I361" s="224">
        <f t="shared" si="42"/>
        <v>31.91583333333333</v>
      </c>
      <c r="J361" s="126"/>
      <c r="K361" s="89"/>
      <c r="L361" s="391"/>
      <c r="M361" s="89"/>
      <c r="N361" s="89"/>
      <c r="O361" s="368"/>
      <c r="P361" s="89"/>
      <c r="Q361" s="89"/>
      <c r="R361" s="362"/>
    </row>
    <row r="362" spans="1:18" ht="60">
      <c r="A362" s="197">
        <v>4740</v>
      </c>
      <c r="B362" s="198" t="s">
        <v>290</v>
      </c>
      <c r="C362" s="160">
        <v>21000</v>
      </c>
      <c r="D362" s="161">
        <f t="shared" si="41"/>
        <v>71000</v>
      </c>
      <c r="E362" s="155">
        <f>SUM(H362+K362+N362+Q362)</f>
        <v>16907</v>
      </c>
      <c r="F362" s="469">
        <f>E362/D362*100</f>
        <v>23.812676056338027</v>
      </c>
      <c r="G362" s="160">
        <f>21000+50000</f>
        <v>71000</v>
      </c>
      <c r="H362" s="155">
        <v>16907</v>
      </c>
      <c r="I362" s="274">
        <f t="shared" si="42"/>
        <v>23.812676056338027</v>
      </c>
      <c r="J362" s="162"/>
      <c r="K362" s="155"/>
      <c r="L362" s="415"/>
      <c r="M362" s="155"/>
      <c r="N362" s="155"/>
      <c r="O362" s="387"/>
      <c r="P362" s="155"/>
      <c r="Q362" s="155"/>
      <c r="R362" s="366"/>
    </row>
    <row r="363" spans="1:18" ht="48">
      <c r="A363" s="172">
        <v>4750</v>
      </c>
      <c r="B363" s="337" t="s">
        <v>328</v>
      </c>
      <c r="C363" s="88">
        <f>40000+130000</f>
        <v>170000</v>
      </c>
      <c r="D363" s="74">
        <f t="shared" si="41"/>
        <v>235000</v>
      </c>
      <c r="E363" s="89">
        <f>SUM(H363+K363+N363+Q363)</f>
        <v>80286</v>
      </c>
      <c r="F363" s="468">
        <f>E363/D363*100</f>
        <v>34.164255319148936</v>
      </c>
      <c r="G363" s="88">
        <f>40000+130000+65000</f>
        <v>235000</v>
      </c>
      <c r="H363" s="89">
        <v>80286</v>
      </c>
      <c r="I363" s="224">
        <f t="shared" si="42"/>
        <v>34.164255319148936</v>
      </c>
      <c r="J363" s="126"/>
      <c r="K363" s="89"/>
      <c r="L363" s="391"/>
      <c r="M363" s="89"/>
      <c r="N363" s="89"/>
      <c r="O363" s="368"/>
      <c r="P363" s="89"/>
      <c r="Q363" s="89"/>
      <c r="R363" s="362"/>
    </row>
    <row r="364" spans="1:18" ht="24">
      <c r="A364" s="124">
        <v>6050</v>
      </c>
      <c r="B364" s="128" t="s">
        <v>344</v>
      </c>
      <c r="C364" s="88">
        <v>620000</v>
      </c>
      <c r="D364" s="74">
        <f>G364+J364+P364+M364</f>
        <v>1195000</v>
      </c>
      <c r="E364" s="89">
        <f>SUM(H364+K364+N364+Q364)</f>
        <v>177626</v>
      </c>
      <c r="F364" s="468">
        <f>E364/D364*100</f>
        <v>14.864100418410043</v>
      </c>
      <c r="G364" s="88">
        <f>620000+200000+25000-25000+375000</f>
        <v>1195000</v>
      </c>
      <c r="H364" s="89">
        <v>177626</v>
      </c>
      <c r="I364" s="224">
        <f t="shared" si="42"/>
        <v>14.864100418410043</v>
      </c>
      <c r="J364" s="126"/>
      <c r="K364" s="89"/>
      <c r="L364" s="391"/>
      <c r="M364" s="89"/>
      <c r="N364" s="89"/>
      <c r="O364" s="368"/>
      <c r="P364" s="89"/>
      <c r="Q364" s="89"/>
      <c r="R364" s="362"/>
    </row>
    <row r="365" spans="1:18" ht="36">
      <c r="A365" s="124">
        <v>6060</v>
      </c>
      <c r="B365" s="128" t="s">
        <v>623</v>
      </c>
      <c r="C365" s="88">
        <f>SUM(C366:C368)</f>
        <v>905000</v>
      </c>
      <c r="D365" s="74">
        <f t="shared" si="41"/>
        <v>978625</v>
      </c>
      <c r="E365" s="89">
        <f t="shared" si="39"/>
        <v>168419</v>
      </c>
      <c r="F365" s="468">
        <f t="shared" si="40"/>
        <v>17.20975858985822</v>
      </c>
      <c r="G365" s="88">
        <f>SUM(G366:G368)</f>
        <v>978625</v>
      </c>
      <c r="H365" s="89">
        <f>SUM(H366:H368)</f>
        <v>168419</v>
      </c>
      <c r="I365" s="224">
        <f t="shared" si="42"/>
        <v>17.20975858985822</v>
      </c>
      <c r="J365" s="126"/>
      <c r="K365" s="89"/>
      <c r="L365" s="391"/>
      <c r="M365" s="89"/>
      <c r="N365" s="89"/>
      <c r="O365" s="368"/>
      <c r="P365" s="89"/>
      <c r="Q365" s="89"/>
      <c r="R365" s="362"/>
    </row>
    <row r="366" spans="1:18" s="11" customFormat="1" ht="12.75">
      <c r="A366" s="164"/>
      <c r="B366" s="233" t="s">
        <v>614</v>
      </c>
      <c r="C366" s="166">
        <v>200000</v>
      </c>
      <c r="D366" s="167">
        <f>G366+J366+P366+M366</f>
        <v>273625</v>
      </c>
      <c r="E366" s="167">
        <f>SUM(H366+K366+N366+Q366)</f>
        <v>55620</v>
      </c>
      <c r="F366" s="468">
        <f>E366/D366*100</f>
        <v>20.327089995431706</v>
      </c>
      <c r="G366" s="166">
        <f>200000-7000+80625</f>
        <v>273625</v>
      </c>
      <c r="H366" s="167">
        <v>55620</v>
      </c>
      <c r="I366" s="224">
        <f t="shared" si="42"/>
        <v>20.327089995431706</v>
      </c>
      <c r="J366" s="168"/>
      <c r="K366" s="167"/>
      <c r="L366" s="391"/>
      <c r="M366" s="167"/>
      <c r="N366" s="167"/>
      <c r="O366" s="391"/>
      <c r="P366" s="168"/>
      <c r="Q366" s="167"/>
      <c r="R366" s="369"/>
    </row>
    <row r="367" spans="1:18" s="11" customFormat="1" ht="12.75" hidden="1">
      <c r="A367" s="164"/>
      <c r="B367" s="233" t="s">
        <v>598</v>
      </c>
      <c r="C367" s="166"/>
      <c r="D367" s="167">
        <f>G367+J367+P367+M367</f>
        <v>0</v>
      </c>
      <c r="E367" s="167">
        <f>SUM(H367+K367+N367+Q367)</f>
        <v>0</v>
      </c>
      <c r="F367" s="468" t="e">
        <f>E367/D367*100</f>
        <v>#DIV/0!</v>
      </c>
      <c r="G367" s="166"/>
      <c r="H367" s="167"/>
      <c r="I367" s="224" t="e">
        <f t="shared" si="42"/>
        <v>#DIV/0!</v>
      </c>
      <c r="J367" s="168"/>
      <c r="K367" s="167"/>
      <c r="L367" s="391"/>
      <c r="M367" s="167"/>
      <c r="N367" s="167"/>
      <c r="O367" s="391"/>
      <c r="P367" s="168"/>
      <c r="Q367" s="167"/>
      <c r="R367" s="369"/>
    </row>
    <row r="368" spans="1:18" s="11" customFormat="1" ht="12.75">
      <c r="A368" s="443"/>
      <c r="B368" s="444" t="s">
        <v>612</v>
      </c>
      <c r="C368" s="445">
        <v>705000</v>
      </c>
      <c r="D368" s="446">
        <f>G368+J368+P368+M368</f>
        <v>705000</v>
      </c>
      <c r="E368" s="446">
        <f>SUM(H368+K368+N368+Q368)</f>
        <v>112799</v>
      </c>
      <c r="F368" s="469">
        <f>E368/D368*100</f>
        <v>15.999858156028369</v>
      </c>
      <c r="G368" s="445">
        <v>705000</v>
      </c>
      <c r="H368" s="446">
        <v>112799</v>
      </c>
      <c r="I368" s="274">
        <f>H368/G368*100</f>
        <v>15.999858156028369</v>
      </c>
      <c r="J368" s="447"/>
      <c r="K368" s="446"/>
      <c r="L368" s="415"/>
      <c r="M368" s="446"/>
      <c r="N368" s="446"/>
      <c r="O368" s="415"/>
      <c r="P368" s="447"/>
      <c r="Q368" s="446"/>
      <c r="R368" s="431"/>
    </row>
    <row r="369" spans="1:18" s="241" customFormat="1" ht="16.5" customHeight="1">
      <c r="A369" s="240">
        <v>75045</v>
      </c>
      <c r="B369" s="185" t="s">
        <v>624</v>
      </c>
      <c r="C369" s="121">
        <f>SUM(C370:C383)</f>
        <v>45000</v>
      </c>
      <c r="D369" s="95">
        <f t="shared" si="41"/>
        <v>45000</v>
      </c>
      <c r="E369" s="95">
        <f>H369+K369+Q369+N369</f>
        <v>38247</v>
      </c>
      <c r="F369" s="467">
        <f t="shared" si="40"/>
        <v>84.99333333333333</v>
      </c>
      <c r="G369" s="121"/>
      <c r="H369" s="84"/>
      <c r="I369" s="381"/>
      <c r="J369" s="123"/>
      <c r="K369" s="84"/>
      <c r="L369" s="417"/>
      <c r="M369" s="84">
        <f>SUM(M370:M383)</f>
        <v>3000</v>
      </c>
      <c r="N369" s="84">
        <f>SUM(N370:N383)</f>
        <v>0</v>
      </c>
      <c r="O369" s="406">
        <f>N369/M369*100</f>
        <v>0</v>
      </c>
      <c r="P369" s="123">
        <f>SUM(P370:P383)</f>
        <v>42000</v>
      </c>
      <c r="Q369" s="84">
        <f>SUM(Q370:Q383)</f>
        <v>38247</v>
      </c>
      <c r="R369" s="448">
        <f aca="true" t="shared" si="43" ref="R369:R379">Q369/P369*100</f>
        <v>91.06428571428572</v>
      </c>
    </row>
    <row r="370" spans="1:18" s="241" customFormat="1" ht="24" customHeight="1" hidden="1">
      <c r="A370" s="242">
        <v>3030</v>
      </c>
      <c r="B370" s="128" t="s">
        <v>490</v>
      </c>
      <c r="C370" s="174"/>
      <c r="D370" s="74">
        <f t="shared" si="41"/>
        <v>0</v>
      </c>
      <c r="E370" s="89">
        <f t="shared" si="39"/>
        <v>0</v>
      </c>
      <c r="F370" s="468"/>
      <c r="G370" s="181"/>
      <c r="H370" s="182"/>
      <c r="I370" s="368"/>
      <c r="J370" s="183"/>
      <c r="K370" s="182"/>
      <c r="L370" s="403"/>
      <c r="M370" s="182"/>
      <c r="N370" s="182"/>
      <c r="O370" s="368"/>
      <c r="P370" s="218"/>
      <c r="Q370" s="89"/>
      <c r="R370" s="442"/>
    </row>
    <row r="371" spans="1:18" s="241" customFormat="1" ht="23.25" customHeight="1">
      <c r="A371" s="242">
        <v>4010</v>
      </c>
      <c r="B371" s="128" t="s">
        <v>492</v>
      </c>
      <c r="C371" s="88">
        <v>9500</v>
      </c>
      <c r="D371" s="74">
        <f t="shared" si="41"/>
        <v>10262</v>
      </c>
      <c r="E371" s="89">
        <f t="shared" si="39"/>
        <v>10261</v>
      </c>
      <c r="F371" s="468">
        <f aca="true" t="shared" si="44" ref="F371:F437">E371/D371*100</f>
        <v>99.99025531085557</v>
      </c>
      <c r="G371" s="88"/>
      <c r="H371" s="89"/>
      <c r="I371" s="368"/>
      <c r="J371" s="126"/>
      <c r="K371" s="89"/>
      <c r="L371" s="391"/>
      <c r="M371" s="89"/>
      <c r="N371" s="89"/>
      <c r="O371" s="368"/>
      <c r="P371" s="154">
        <f>9500+800-38</f>
        <v>10262</v>
      </c>
      <c r="Q371" s="89">
        <v>10261</v>
      </c>
      <c r="R371" s="442">
        <f t="shared" si="43"/>
        <v>99.99025531085557</v>
      </c>
    </row>
    <row r="372" spans="1:18" s="241" customFormat="1" ht="24" customHeight="1">
      <c r="A372" s="242">
        <v>4110</v>
      </c>
      <c r="B372" s="128" t="s">
        <v>498</v>
      </c>
      <c r="C372" s="88">
        <v>2000</v>
      </c>
      <c r="D372" s="74">
        <f t="shared" si="41"/>
        <v>1560</v>
      </c>
      <c r="E372" s="89">
        <f t="shared" si="39"/>
        <v>1559</v>
      </c>
      <c r="F372" s="468">
        <f t="shared" si="44"/>
        <v>99.93589743589743</v>
      </c>
      <c r="G372" s="88"/>
      <c r="H372" s="89"/>
      <c r="I372" s="368"/>
      <c r="J372" s="126"/>
      <c r="K372" s="89"/>
      <c r="L372" s="391"/>
      <c r="M372" s="89"/>
      <c r="N372" s="89"/>
      <c r="O372" s="368"/>
      <c r="P372" s="154">
        <f>2000-400-40</f>
        <v>1560</v>
      </c>
      <c r="Q372" s="89">
        <v>1559</v>
      </c>
      <c r="R372" s="442">
        <f t="shared" si="43"/>
        <v>99.93589743589743</v>
      </c>
    </row>
    <row r="373" spans="1:18" s="241" customFormat="1" ht="12" customHeight="1">
      <c r="A373" s="242">
        <v>4120</v>
      </c>
      <c r="B373" s="128" t="s">
        <v>578</v>
      </c>
      <c r="C373" s="88">
        <v>300</v>
      </c>
      <c r="D373" s="74">
        <f t="shared" si="41"/>
        <v>252</v>
      </c>
      <c r="E373" s="89">
        <f t="shared" si="39"/>
        <v>251</v>
      </c>
      <c r="F373" s="468">
        <f t="shared" si="44"/>
        <v>99.60317460317461</v>
      </c>
      <c r="G373" s="88"/>
      <c r="H373" s="89"/>
      <c r="I373" s="368"/>
      <c r="J373" s="126"/>
      <c r="K373" s="89"/>
      <c r="L373" s="391"/>
      <c r="M373" s="89"/>
      <c r="N373" s="89"/>
      <c r="O373" s="368"/>
      <c r="P373" s="154">
        <f>300-48</f>
        <v>252</v>
      </c>
      <c r="Q373" s="89">
        <v>251</v>
      </c>
      <c r="R373" s="442">
        <f t="shared" si="43"/>
        <v>99.60317460317461</v>
      </c>
    </row>
    <row r="374" spans="1:18" s="241" customFormat="1" ht="24">
      <c r="A374" s="242">
        <v>4170</v>
      </c>
      <c r="B374" s="128" t="s">
        <v>536</v>
      </c>
      <c r="C374" s="88">
        <v>10500</v>
      </c>
      <c r="D374" s="74">
        <f t="shared" si="41"/>
        <v>10660</v>
      </c>
      <c r="E374" s="89">
        <f t="shared" si="39"/>
        <v>10660</v>
      </c>
      <c r="F374" s="468">
        <f t="shared" si="44"/>
        <v>100</v>
      </c>
      <c r="G374" s="88"/>
      <c r="H374" s="89"/>
      <c r="I374" s="368"/>
      <c r="J374" s="126"/>
      <c r="K374" s="89"/>
      <c r="L374" s="391"/>
      <c r="M374" s="89"/>
      <c r="N374" s="89"/>
      <c r="O374" s="368"/>
      <c r="P374" s="154">
        <f>10500+200-40</f>
        <v>10660</v>
      </c>
      <c r="Q374" s="89">
        <v>10660</v>
      </c>
      <c r="R374" s="442">
        <f t="shared" si="43"/>
        <v>100</v>
      </c>
    </row>
    <row r="375" spans="1:18" s="241" customFormat="1" ht="24">
      <c r="A375" s="242">
        <v>4170</v>
      </c>
      <c r="B375" s="128" t="s">
        <v>427</v>
      </c>
      <c r="C375" s="88"/>
      <c r="D375" s="74">
        <f>G375+J375+P375+M375</f>
        <v>650</v>
      </c>
      <c r="E375" s="89">
        <f>SUM(H375+K375+N375+Q375)</f>
        <v>636</v>
      </c>
      <c r="F375" s="468">
        <f>E375/D375*100</f>
        <v>97.84615384615385</v>
      </c>
      <c r="G375" s="88"/>
      <c r="H375" s="89"/>
      <c r="I375" s="368"/>
      <c r="J375" s="126"/>
      <c r="K375" s="89"/>
      <c r="L375" s="391"/>
      <c r="M375" s="89"/>
      <c r="N375" s="89"/>
      <c r="O375" s="224"/>
      <c r="P375" s="154">
        <v>650</v>
      </c>
      <c r="Q375" s="89">
        <v>636</v>
      </c>
      <c r="R375" s="442">
        <f t="shared" si="43"/>
        <v>97.84615384615385</v>
      </c>
    </row>
    <row r="376" spans="1:18" s="241" customFormat="1" ht="25.5" customHeight="1">
      <c r="A376" s="242">
        <v>4210</v>
      </c>
      <c r="B376" s="128" t="s">
        <v>502</v>
      </c>
      <c r="C376" s="88">
        <v>4500</v>
      </c>
      <c r="D376" s="74">
        <f t="shared" si="41"/>
        <v>6416</v>
      </c>
      <c r="E376" s="89">
        <f t="shared" si="39"/>
        <v>6317</v>
      </c>
      <c r="F376" s="468">
        <f t="shared" si="44"/>
        <v>98.4569825436409</v>
      </c>
      <c r="G376" s="88"/>
      <c r="H376" s="89"/>
      <c r="I376" s="368"/>
      <c r="J376" s="126"/>
      <c r="K376" s="89"/>
      <c r="L376" s="391"/>
      <c r="M376" s="89"/>
      <c r="N376" s="89"/>
      <c r="O376" s="224"/>
      <c r="P376" s="154">
        <f>4500+2426-510</f>
        <v>6416</v>
      </c>
      <c r="Q376" s="89">
        <v>6317</v>
      </c>
      <c r="R376" s="442">
        <f t="shared" si="43"/>
        <v>98.4569825436409</v>
      </c>
    </row>
    <row r="377" spans="1:18" s="241" customFormat="1" ht="16.5" customHeight="1" hidden="1">
      <c r="A377" s="242">
        <v>4270</v>
      </c>
      <c r="B377" s="128" t="s">
        <v>508</v>
      </c>
      <c r="C377" s="88"/>
      <c r="D377" s="74">
        <f t="shared" si="41"/>
        <v>0</v>
      </c>
      <c r="E377" s="89">
        <f t="shared" si="39"/>
        <v>0</v>
      </c>
      <c r="F377" s="468" t="e">
        <f t="shared" si="44"/>
        <v>#DIV/0!</v>
      </c>
      <c r="G377" s="88"/>
      <c r="H377" s="89"/>
      <c r="I377" s="368"/>
      <c r="J377" s="126"/>
      <c r="K377" s="89"/>
      <c r="L377" s="391"/>
      <c r="M377" s="89"/>
      <c r="N377" s="89"/>
      <c r="O377" s="224" t="e">
        <f>N377/M377*100</f>
        <v>#DIV/0!</v>
      </c>
      <c r="P377" s="154"/>
      <c r="Q377" s="89"/>
      <c r="R377" s="442" t="e">
        <f t="shared" si="43"/>
        <v>#DIV/0!</v>
      </c>
    </row>
    <row r="378" spans="1:18" s="241" customFormat="1" ht="36">
      <c r="A378" s="242">
        <v>4300</v>
      </c>
      <c r="B378" s="128" t="s">
        <v>436</v>
      </c>
      <c r="C378" s="88">
        <v>8000</v>
      </c>
      <c r="D378" s="74">
        <f t="shared" si="41"/>
        <v>7350</v>
      </c>
      <c r="E378" s="89">
        <f t="shared" si="39"/>
        <v>3715</v>
      </c>
      <c r="F378" s="468">
        <f t="shared" si="44"/>
        <v>50.544217687074834</v>
      </c>
      <c r="G378" s="88"/>
      <c r="H378" s="89"/>
      <c r="I378" s="368"/>
      <c r="J378" s="126"/>
      <c r="K378" s="89"/>
      <c r="L378" s="391"/>
      <c r="M378" s="89"/>
      <c r="N378" s="89"/>
      <c r="O378" s="224"/>
      <c r="P378" s="154">
        <v>7350</v>
      </c>
      <c r="Q378" s="89">
        <v>3715</v>
      </c>
      <c r="R378" s="442">
        <f t="shared" si="43"/>
        <v>50.544217687074834</v>
      </c>
    </row>
    <row r="379" spans="1:18" s="241" customFormat="1" ht="24">
      <c r="A379" s="242">
        <v>4300</v>
      </c>
      <c r="B379" s="128" t="s">
        <v>527</v>
      </c>
      <c r="C379" s="88">
        <v>9800</v>
      </c>
      <c r="D379" s="74">
        <f t="shared" si="41"/>
        <v>7340</v>
      </c>
      <c r="E379" s="89">
        <f t="shared" si="39"/>
        <v>4338</v>
      </c>
      <c r="F379" s="468">
        <f t="shared" si="44"/>
        <v>59.1008174386921</v>
      </c>
      <c r="G379" s="88"/>
      <c r="H379" s="89"/>
      <c r="I379" s="368"/>
      <c r="J379" s="126"/>
      <c r="K379" s="126"/>
      <c r="L379" s="391"/>
      <c r="M379" s="89">
        <v>3000</v>
      </c>
      <c r="N379" s="89"/>
      <c r="O379" s="224">
        <f>N379/M379*100</f>
        <v>0</v>
      </c>
      <c r="P379" s="220">
        <f>6800-200-200-2060</f>
        <v>4340</v>
      </c>
      <c r="Q379" s="89">
        <v>4338</v>
      </c>
      <c r="R379" s="442">
        <f t="shared" si="43"/>
        <v>99.95391705069125</v>
      </c>
    </row>
    <row r="380" spans="1:18" s="241" customFormat="1" ht="48">
      <c r="A380" s="242">
        <v>4370</v>
      </c>
      <c r="B380" s="337" t="s">
        <v>298</v>
      </c>
      <c r="C380" s="88">
        <v>200</v>
      </c>
      <c r="D380" s="74">
        <f>G380+J380+P380+M380</f>
        <v>0</v>
      </c>
      <c r="E380" s="89">
        <f>SUM(H380+K380+N380+Q380)</f>
        <v>0</v>
      </c>
      <c r="F380" s="468"/>
      <c r="G380" s="88"/>
      <c r="H380" s="89"/>
      <c r="I380" s="368"/>
      <c r="J380" s="126"/>
      <c r="K380" s="126"/>
      <c r="L380" s="391"/>
      <c r="M380" s="89"/>
      <c r="N380" s="89"/>
      <c r="O380" s="224"/>
      <c r="P380" s="220">
        <f>200-200</f>
        <v>0</v>
      </c>
      <c r="Q380" s="89"/>
      <c r="R380" s="224"/>
    </row>
    <row r="381" spans="1:18" s="241" customFormat="1" ht="60">
      <c r="A381" s="172">
        <v>4740</v>
      </c>
      <c r="B381" s="337" t="s">
        <v>290</v>
      </c>
      <c r="C381" s="88"/>
      <c r="D381" s="74">
        <f>G381+J381+P381+M381</f>
        <v>120</v>
      </c>
      <c r="E381" s="89">
        <f>SUM(H381+K381+N381+Q381)</f>
        <v>120</v>
      </c>
      <c r="F381" s="468">
        <f>E381/D381*100</f>
        <v>100</v>
      </c>
      <c r="G381" s="88"/>
      <c r="H381" s="89"/>
      <c r="I381" s="368"/>
      <c r="J381" s="126"/>
      <c r="K381" s="126"/>
      <c r="L381" s="391"/>
      <c r="M381" s="89"/>
      <c r="N381" s="89"/>
      <c r="O381" s="224"/>
      <c r="P381" s="220">
        <v>120</v>
      </c>
      <c r="Q381" s="89">
        <v>120</v>
      </c>
      <c r="R381" s="442">
        <f>Q381/P381*100</f>
        <v>100</v>
      </c>
    </row>
    <row r="382" spans="1:18" s="241" customFormat="1" ht="36">
      <c r="A382" s="172">
        <v>4750</v>
      </c>
      <c r="B382" s="337" t="s">
        <v>291</v>
      </c>
      <c r="C382" s="88"/>
      <c r="D382" s="74">
        <f>G382+J382+P382+M382</f>
        <v>390</v>
      </c>
      <c r="E382" s="89">
        <f>SUM(H382+K382+N382+Q382)</f>
        <v>390</v>
      </c>
      <c r="F382" s="468">
        <f>E382/D382*100</f>
        <v>100</v>
      </c>
      <c r="G382" s="88"/>
      <c r="H382" s="89"/>
      <c r="I382" s="368"/>
      <c r="J382" s="126"/>
      <c r="K382" s="126"/>
      <c r="L382" s="391"/>
      <c r="M382" s="89"/>
      <c r="N382" s="89"/>
      <c r="O382" s="224"/>
      <c r="P382" s="220">
        <v>390</v>
      </c>
      <c r="Q382" s="89">
        <v>390</v>
      </c>
      <c r="R382" s="442">
        <f>Q382/P382*100</f>
        <v>100</v>
      </c>
    </row>
    <row r="383" spans="1:18" s="241" customFormat="1" ht="14.25" customHeight="1">
      <c r="A383" s="243">
        <v>4410</v>
      </c>
      <c r="B383" s="159" t="s">
        <v>484</v>
      </c>
      <c r="C383" s="160">
        <v>200</v>
      </c>
      <c r="D383" s="74">
        <f>G383+J383+P383+M383</f>
        <v>0</v>
      </c>
      <c r="E383" s="89">
        <f>SUM(H383+K383+N383+Q383)</f>
        <v>0</v>
      </c>
      <c r="F383" s="468"/>
      <c r="G383" s="160"/>
      <c r="H383" s="155"/>
      <c r="I383" s="387"/>
      <c r="J383" s="162"/>
      <c r="K383" s="162"/>
      <c r="L383" s="415"/>
      <c r="M383" s="155"/>
      <c r="N383" s="155"/>
      <c r="O383" s="274"/>
      <c r="P383" s="244">
        <f>200-200</f>
        <v>0</v>
      </c>
      <c r="Q383" s="155"/>
      <c r="R383" s="224"/>
    </row>
    <row r="384" spans="1:18" s="246" customFormat="1" ht="27.75" customHeight="1">
      <c r="A384" s="245">
        <v>75075</v>
      </c>
      <c r="B384" s="187" t="s">
        <v>205</v>
      </c>
      <c r="C384" s="94">
        <f>SUM(C385:C396)+C405+C412</f>
        <v>1131000</v>
      </c>
      <c r="D384" s="95">
        <f t="shared" si="41"/>
        <v>1492440</v>
      </c>
      <c r="E384" s="95">
        <f t="shared" si="41"/>
        <v>1276232</v>
      </c>
      <c r="F384" s="467">
        <f t="shared" si="44"/>
        <v>85.51311945538849</v>
      </c>
      <c r="G384" s="94">
        <f>SUM(G385:G396)+G405+G412</f>
        <v>1492440</v>
      </c>
      <c r="H384" s="95">
        <f>SUM(H385:H396)+H405+H412</f>
        <v>1276232</v>
      </c>
      <c r="I384" s="316">
        <f aca="true" t="shared" si="45" ref="I384:I448">H384/G384*100</f>
        <v>85.51311945538849</v>
      </c>
      <c r="J384" s="171"/>
      <c r="K384" s="171"/>
      <c r="L384" s="316"/>
      <c r="M384" s="95"/>
      <c r="N384" s="95"/>
      <c r="O384" s="402"/>
      <c r="P384" s="95"/>
      <c r="Q384" s="95"/>
      <c r="R384" s="271"/>
    </row>
    <row r="385" spans="1:18" s="248" customFormat="1" ht="72" hidden="1">
      <c r="A385" s="242">
        <v>2820</v>
      </c>
      <c r="B385" s="128" t="s">
        <v>119</v>
      </c>
      <c r="C385" s="102"/>
      <c r="D385" s="103">
        <f t="shared" si="41"/>
        <v>0</v>
      </c>
      <c r="E385" s="103">
        <f t="shared" si="41"/>
        <v>0</v>
      </c>
      <c r="F385" s="468" t="e">
        <f t="shared" si="44"/>
        <v>#DIV/0!</v>
      </c>
      <c r="G385" s="102"/>
      <c r="H385" s="103"/>
      <c r="I385" s="224" t="e">
        <f t="shared" si="45"/>
        <v>#DIV/0!</v>
      </c>
      <c r="J385" s="196"/>
      <c r="K385" s="196"/>
      <c r="L385" s="304"/>
      <c r="M385" s="103"/>
      <c r="N385" s="103"/>
      <c r="O385" s="388"/>
      <c r="P385" s="103"/>
      <c r="Q385" s="103"/>
      <c r="R385" s="304"/>
    </row>
    <row r="386" spans="1:18" s="248" customFormat="1" ht="24">
      <c r="A386" s="242">
        <v>4170</v>
      </c>
      <c r="B386" s="128" t="s">
        <v>403</v>
      </c>
      <c r="C386" s="174"/>
      <c r="D386" s="74">
        <f>G386+J386+P386+M386</f>
        <v>600</v>
      </c>
      <c r="E386" s="74">
        <f>H386+K386+Q386+N386</f>
        <v>400</v>
      </c>
      <c r="F386" s="468">
        <f>E386/D386*100</f>
        <v>66.66666666666666</v>
      </c>
      <c r="G386" s="174">
        <v>600</v>
      </c>
      <c r="H386" s="74">
        <v>400</v>
      </c>
      <c r="I386" s="224">
        <f t="shared" si="45"/>
        <v>66.66666666666666</v>
      </c>
      <c r="J386" s="175"/>
      <c r="K386" s="175"/>
      <c r="L386" s="224"/>
      <c r="M386" s="74"/>
      <c r="N386" s="74"/>
      <c r="O386" s="368"/>
      <c r="P386" s="74"/>
      <c r="Q386" s="74"/>
      <c r="R386" s="224"/>
    </row>
    <row r="387" spans="1:18" s="248" customFormat="1" ht="24" customHeight="1">
      <c r="A387" s="242">
        <v>4210</v>
      </c>
      <c r="B387" s="128" t="s">
        <v>222</v>
      </c>
      <c r="C387" s="174">
        <v>30000</v>
      </c>
      <c r="D387" s="74">
        <f>G387+J387+P387+M387</f>
        <v>20000</v>
      </c>
      <c r="E387" s="74">
        <f>H387+K387+Q387+N387</f>
        <v>13186</v>
      </c>
      <c r="F387" s="468">
        <f>E387/D387*100</f>
        <v>65.93</v>
      </c>
      <c r="G387" s="174">
        <f>30000-10000</f>
        <v>20000</v>
      </c>
      <c r="H387" s="74">
        <v>13186</v>
      </c>
      <c r="I387" s="224">
        <f t="shared" si="45"/>
        <v>65.93</v>
      </c>
      <c r="J387" s="175"/>
      <c r="K387" s="175"/>
      <c r="L387" s="224"/>
      <c r="M387" s="74"/>
      <c r="N387" s="74"/>
      <c r="O387" s="368"/>
      <c r="P387" s="74"/>
      <c r="Q387" s="74"/>
      <c r="R387" s="224"/>
    </row>
    <row r="388" spans="1:18" s="248" customFormat="1" ht="24" customHeight="1">
      <c r="A388" s="242">
        <v>4210</v>
      </c>
      <c r="B388" s="128" t="s">
        <v>329</v>
      </c>
      <c r="C388" s="174">
        <v>6000</v>
      </c>
      <c r="D388" s="74">
        <f>G388+J388+P388+M388</f>
        <v>6000</v>
      </c>
      <c r="E388" s="74">
        <f t="shared" si="41"/>
        <v>1957</v>
      </c>
      <c r="F388" s="468">
        <f>E388/D388*100</f>
        <v>32.61666666666667</v>
      </c>
      <c r="G388" s="174">
        <v>6000</v>
      </c>
      <c r="H388" s="74">
        <v>1957</v>
      </c>
      <c r="I388" s="224">
        <f t="shared" si="45"/>
        <v>32.61666666666667</v>
      </c>
      <c r="J388" s="175"/>
      <c r="K388" s="175"/>
      <c r="L388" s="224"/>
      <c r="M388" s="74"/>
      <c r="N388" s="74"/>
      <c r="O388" s="368"/>
      <c r="P388" s="74"/>
      <c r="Q388" s="74"/>
      <c r="R388" s="224"/>
    </row>
    <row r="389" spans="1:18" s="248" customFormat="1" ht="24" customHeight="1">
      <c r="A389" s="242">
        <v>4260</v>
      </c>
      <c r="B389" s="128" t="s">
        <v>424</v>
      </c>
      <c r="C389" s="174"/>
      <c r="D389" s="74">
        <f>G389+J389+P389+M389</f>
        <v>1464</v>
      </c>
      <c r="E389" s="74">
        <f>H389+K389+Q389+N389</f>
        <v>732</v>
      </c>
      <c r="F389" s="468">
        <f>E389/D389*100</f>
        <v>50</v>
      </c>
      <c r="G389" s="174">
        <v>1464</v>
      </c>
      <c r="H389" s="74">
        <v>732</v>
      </c>
      <c r="I389" s="224">
        <f t="shared" si="45"/>
        <v>50</v>
      </c>
      <c r="J389" s="175"/>
      <c r="K389" s="175"/>
      <c r="L389" s="224"/>
      <c r="M389" s="74"/>
      <c r="N389" s="74"/>
      <c r="O389" s="368"/>
      <c r="P389" s="74"/>
      <c r="Q389" s="74"/>
      <c r="R389" s="224"/>
    </row>
    <row r="390" spans="1:18" s="248" customFormat="1" ht="24">
      <c r="A390" s="242">
        <v>4300</v>
      </c>
      <c r="B390" s="128" t="s">
        <v>206</v>
      </c>
      <c r="C390" s="174">
        <v>290000</v>
      </c>
      <c r="D390" s="74">
        <f t="shared" si="41"/>
        <v>399536</v>
      </c>
      <c r="E390" s="74">
        <f t="shared" si="41"/>
        <v>243218</v>
      </c>
      <c r="F390" s="468">
        <f t="shared" si="44"/>
        <v>60.87511513355493</v>
      </c>
      <c r="G390" s="174">
        <f>290000+50000-1464-20000+81000</f>
        <v>399536</v>
      </c>
      <c r="H390" s="74">
        <v>243218</v>
      </c>
      <c r="I390" s="224">
        <f t="shared" si="45"/>
        <v>60.87511513355493</v>
      </c>
      <c r="J390" s="175"/>
      <c r="K390" s="74"/>
      <c r="L390" s="224"/>
      <c r="M390" s="74"/>
      <c r="N390" s="74"/>
      <c r="O390" s="368"/>
      <c r="P390" s="74"/>
      <c r="Q390" s="74"/>
      <c r="R390" s="224"/>
    </row>
    <row r="391" spans="1:18" s="248" customFormat="1" ht="24">
      <c r="A391" s="242">
        <v>4300</v>
      </c>
      <c r="B391" s="128" t="s">
        <v>307</v>
      </c>
      <c r="C391" s="174"/>
      <c r="D391" s="74">
        <f>G391+J391+P391+M391</f>
        <v>18000</v>
      </c>
      <c r="E391" s="74">
        <f>H391+K391+Q391+N391</f>
        <v>0</v>
      </c>
      <c r="F391" s="468">
        <f>E391/D391*100</f>
        <v>0</v>
      </c>
      <c r="G391" s="174">
        <v>18000</v>
      </c>
      <c r="H391" s="74"/>
      <c r="I391" s="224">
        <f t="shared" si="45"/>
        <v>0</v>
      </c>
      <c r="J391" s="175"/>
      <c r="K391" s="74"/>
      <c r="L391" s="224"/>
      <c r="M391" s="74"/>
      <c r="N391" s="74"/>
      <c r="O391" s="368"/>
      <c r="P391" s="74"/>
      <c r="Q391" s="74"/>
      <c r="R391" s="224"/>
    </row>
    <row r="392" spans="1:18" s="248" customFormat="1" ht="24">
      <c r="A392" s="242">
        <v>4300</v>
      </c>
      <c r="B392" s="128" t="s">
        <v>330</v>
      </c>
      <c r="C392" s="174">
        <v>30000</v>
      </c>
      <c r="D392" s="74">
        <f>G392+J392+P392+M392</f>
        <v>29400</v>
      </c>
      <c r="E392" s="74">
        <f t="shared" si="41"/>
        <v>19008</v>
      </c>
      <c r="F392" s="468">
        <f>E392/D392*100</f>
        <v>64.65306122448979</v>
      </c>
      <c r="G392" s="174">
        <f>30000-600</f>
        <v>29400</v>
      </c>
      <c r="H392" s="74">
        <v>19008</v>
      </c>
      <c r="I392" s="224">
        <f t="shared" si="45"/>
        <v>64.65306122448979</v>
      </c>
      <c r="J392" s="175"/>
      <c r="K392" s="74"/>
      <c r="L392" s="224"/>
      <c r="M392" s="74"/>
      <c r="N392" s="74"/>
      <c r="O392" s="368"/>
      <c r="P392" s="74"/>
      <c r="Q392" s="74"/>
      <c r="R392" s="224"/>
    </row>
    <row r="393" spans="1:18" s="241" customFormat="1" ht="24">
      <c r="A393" s="242">
        <v>4300</v>
      </c>
      <c r="B393" s="128" t="s">
        <v>221</v>
      </c>
      <c r="C393" s="88">
        <v>750000</v>
      </c>
      <c r="D393" s="74">
        <f t="shared" si="41"/>
        <v>950000</v>
      </c>
      <c r="E393" s="74">
        <f t="shared" si="41"/>
        <v>949934</v>
      </c>
      <c r="F393" s="468">
        <f t="shared" si="44"/>
        <v>99.99305263157895</v>
      </c>
      <c r="G393" s="88">
        <f>750000+200000</f>
        <v>950000</v>
      </c>
      <c r="H393" s="89">
        <v>949934</v>
      </c>
      <c r="I393" s="442">
        <f t="shared" si="45"/>
        <v>99.99305263157895</v>
      </c>
      <c r="J393" s="126"/>
      <c r="K393" s="89"/>
      <c r="L393" s="224"/>
      <c r="M393" s="89"/>
      <c r="N393" s="89"/>
      <c r="O393" s="368"/>
      <c r="P393" s="89"/>
      <c r="Q393" s="89"/>
      <c r="R393" s="224"/>
    </row>
    <row r="394" spans="1:18" s="248" customFormat="1" ht="24">
      <c r="A394" s="335">
        <v>4350</v>
      </c>
      <c r="B394" s="206" t="s">
        <v>219</v>
      </c>
      <c r="C394" s="174">
        <v>25000</v>
      </c>
      <c r="D394" s="74">
        <f t="shared" si="41"/>
        <v>30000</v>
      </c>
      <c r="E394" s="74">
        <f t="shared" si="41"/>
        <v>10370</v>
      </c>
      <c r="F394" s="468">
        <f t="shared" si="44"/>
        <v>34.56666666666667</v>
      </c>
      <c r="G394" s="174">
        <f>25000+5000</f>
        <v>30000</v>
      </c>
      <c r="H394" s="74">
        <v>10370</v>
      </c>
      <c r="I394" s="224">
        <f t="shared" si="45"/>
        <v>34.56666666666667</v>
      </c>
      <c r="J394" s="175"/>
      <c r="K394" s="74"/>
      <c r="L394" s="224"/>
      <c r="M394" s="74"/>
      <c r="N394" s="74"/>
      <c r="O394" s="368"/>
      <c r="P394" s="74"/>
      <c r="Q394" s="74"/>
      <c r="R394" s="224"/>
    </row>
    <row r="395" spans="1:18" s="248" customFormat="1" ht="36" hidden="1">
      <c r="A395" s="335">
        <v>6060</v>
      </c>
      <c r="B395" s="206" t="s">
        <v>49</v>
      </c>
      <c r="C395" s="174"/>
      <c r="D395" s="74">
        <f>G395+J395+P395+M395</f>
        <v>0</v>
      </c>
      <c r="E395" s="74">
        <f>H395+K395+Q395+N395</f>
        <v>0</v>
      </c>
      <c r="F395" s="468" t="e">
        <f>E395/D395*100</f>
        <v>#DIV/0!</v>
      </c>
      <c r="G395" s="174"/>
      <c r="H395" s="74"/>
      <c r="I395" s="224" t="e">
        <f t="shared" si="45"/>
        <v>#DIV/0!</v>
      </c>
      <c r="J395" s="175"/>
      <c r="K395" s="74"/>
      <c r="L395" s="224"/>
      <c r="M395" s="74"/>
      <c r="N395" s="74"/>
      <c r="O395" s="368"/>
      <c r="P395" s="74"/>
      <c r="Q395" s="74"/>
      <c r="R395" s="224"/>
    </row>
    <row r="396" spans="1:18" s="246" customFormat="1" ht="48">
      <c r="A396" s="336"/>
      <c r="B396" s="136" t="s">
        <v>406</v>
      </c>
      <c r="C396" s="137">
        <f>SUM(C397:C404)</f>
        <v>0</v>
      </c>
      <c r="D396" s="139">
        <f t="shared" si="41"/>
        <v>37440</v>
      </c>
      <c r="E396" s="139">
        <f t="shared" si="41"/>
        <v>37427</v>
      </c>
      <c r="F396" s="468">
        <f t="shared" si="44"/>
        <v>99.96527777777777</v>
      </c>
      <c r="G396" s="137">
        <f>SUM(G397:G404)</f>
        <v>37440</v>
      </c>
      <c r="H396" s="141">
        <f>SUM(H397:H404)</f>
        <v>37427</v>
      </c>
      <c r="I396" s="442">
        <f t="shared" si="45"/>
        <v>99.96527777777777</v>
      </c>
      <c r="J396" s="140"/>
      <c r="K396" s="139"/>
      <c r="L396" s="348"/>
      <c r="M396" s="139"/>
      <c r="N396" s="139"/>
      <c r="O396" s="399"/>
      <c r="P396" s="139"/>
      <c r="Q396" s="139"/>
      <c r="R396" s="376"/>
    </row>
    <row r="397" spans="1:18" s="241" customFormat="1" ht="24">
      <c r="A397" s="242">
        <v>4110</v>
      </c>
      <c r="B397" s="128" t="s">
        <v>542</v>
      </c>
      <c r="C397" s="88"/>
      <c r="D397" s="74">
        <f t="shared" si="41"/>
        <v>335</v>
      </c>
      <c r="E397" s="74">
        <f t="shared" si="41"/>
        <v>334</v>
      </c>
      <c r="F397" s="468">
        <f t="shared" si="44"/>
        <v>99.70149253731343</v>
      </c>
      <c r="G397" s="88">
        <v>335</v>
      </c>
      <c r="H397" s="89">
        <v>334</v>
      </c>
      <c r="I397" s="442">
        <f t="shared" si="45"/>
        <v>99.70149253731343</v>
      </c>
      <c r="J397" s="126"/>
      <c r="K397" s="89"/>
      <c r="L397" s="224"/>
      <c r="M397" s="89"/>
      <c r="N397" s="89"/>
      <c r="O397" s="368"/>
      <c r="P397" s="89"/>
      <c r="Q397" s="89"/>
      <c r="R397" s="224"/>
    </row>
    <row r="398" spans="1:18" s="241" customFormat="1" ht="12.75">
      <c r="A398" s="242">
        <v>4120</v>
      </c>
      <c r="B398" s="128" t="s">
        <v>571</v>
      </c>
      <c r="C398" s="88"/>
      <c r="D398" s="74">
        <f t="shared" si="41"/>
        <v>54</v>
      </c>
      <c r="E398" s="74">
        <f t="shared" si="41"/>
        <v>54</v>
      </c>
      <c r="F398" s="468">
        <f t="shared" si="44"/>
        <v>100</v>
      </c>
      <c r="G398" s="88">
        <v>54</v>
      </c>
      <c r="H398" s="89">
        <v>54</v>
      </c>
      <c r="I398" s="442">
        <f t="shared" si="45"/>
        <v>100</v>
      </c>
      <c r="J398" s="126"/>
      <c r="K398" s="89"/>
      <c r="L398" s="224"/>
      <c r="M398" s="89"/>
      <c r="N398" s="89"/>
      <c r="O398" s="368"/>
      <c r="P398" s="89"/>
      <c r="Q398" s="89"/>
      <c r="R398" s="224"/>
    </row>
    <row r="399" spans="1:18" s="241" customFormat="1" ht="24">
      <c r="A399" s="242">
        <v>4178</v>
      </c>
      <c r="B399" s="128" t="s">
        <v>239</v>
      </c>
      <c r="C399" s="88"/>
      <c r="D399" s="74">
        <f t="shared" si="41"/>
        <v>1650</v>
      </c>
      <c r="E399" s="74">
        <f t="shared" si="41"/>
        <v>1650</v>
      </c>
      <c r="F399" s="468">
        <f t="shared" si="44"/>
        <v>100</v>
      </c>
      <c r="G399" s="88">
        <v>1650</v>
      </c>
      <c r="H399" s="89">
        <v>1650</v>
      </c>
      <c r="I399" s="442">
        <f t="shared" si="45"/>
        <v>100</v>
      </c>
      <c r="J399" s="126"/>
      <c r="K399" s="89"/>
      <c r="L399" s="224"/>
      <c r="M399" s="89"/>
      <c r="N399" s="89"/>
      <c r="O399" s="368"/>
      <c r="P399" s="89"/>
      <c r="Q399" s="89"/>
      <c r="R399" s="224"/>
    </row>
    <row r="400" spans="1:18" s="241" customFormat="1" ht="24">
      <c r="A400" s="242">
        <v>4179</v>
      </c>
      <c r="B400" s="128" t="s">
        <v>239</v>
      </c>
      <c r="C400" s="88"/>
      <c r="D400" s="74">
        <f t="shared" si="41"/>
        <v>550</v>
      </c>
      <c r="E400" s="74">
        <f t="shared" si="41"/>
        <v>550</v>
      </c>
      <c r="F400" s="468">
        <f t="shared" si="44"/>
        <v>100</v>
      </c>
      <c r="G400" s="88">
        <v>550</v>
      </c>
      <c r="H400" s="89">
        <v>550</v>
      </c>
      <c r="I400" s="442">
        <f t="shared" si="45"/>
        <v>100</v>
      </c>
      <c r="J400" s="126"/>
      <c r="K400" s="89"/>
      <c r="L400" s="224"/>
      <c r="M400" s="89"/>
      <c r="N400" s="89"/>
      <c r="O400" s="368"/>
      <c r="P400" s="89"/>
      <c r="Q400" s="89"/>
      <c r="R400" s="224"/>
    </row>
    <row r="401" spans="1:18" s="241" customFormat="1" ht="19.5" customHeight="1">
      <c r="A401" s="242">
        <v>4308</v>
      </c>
      <c r="B401" s="128" t="s">
        <v>510</v>
      </c>
      <c r="C401" s="88"/>
      <c r="D401" s="74">
        <f t="shared" si="41"/>
        <v>23309</v>
      </c>
      <c r="E401" s="74">
        <f t="shared" si="41"/>
        <v>23301</v>
      </c>
      <c r="F401" s="468">
        <f t="shared" si="44"/>
        <v>99.96567849328586</v>
      </c>
      <c r="G401" s="88">
        <f>21113+2196</f>
        <v>23309</v>
      </c>
      <c r="H401" s="89">
        <v>23301</v>
      </c>
      <c r="I401" s="442">
        <f t="shared" si="45"/>
        <v>99.96567849328586</v>
      </c>
      <c r="J401" s="126"/>
      <c r="K401" s="89"/>
      <c r="L401" s="224"/>
      <c r="M401" s="89"/>
      <c r="N401" s="89"/>
      <c r="O401" s="368"/>
      <c r="P401" s="89"/>
      <c r="Q401" s="89"/>
      <c r="R401" s="224"/>
    </row>
    <row r="402" spans="1:18" s="241" customFormat="1" ht="19.5" customHeight="1">
      <c r="A402" s="242">
        <v>4309</v>
      </c>
      <c r="B402" s="128" t="s">
        <v>510</v>
      </c>
      <c r="C402" s="88"/>
      <c r="D402" s="74">
        <f>G402+J402+P402+M402</f>
        <v>7770</v>
      </c>
      <c r="E402" s="74">
        <f>H402+K402+Q402+N402</f>
        <v>7767</v>
      </c>
      <c r="F402" s="468">
        <f t="shared" si="44"/>
        <v>99.96138996138995</v>
      </c>
      <c r="G402" s="88">
        <f>7038+732</f>
        <v>7770</v>
      </c>
      <c r="H402" s="89">
        <v>7767</v>
      </c>
      <c r="I402" s="442">
        <f t="shared" si="45"/>
        <v>99.96138996138995</v>
      </c>
      <c r="J402" s="126"/>
      <c r="K402" s="89"/>
      <c r="L402" s="224"/>
      <c r="M402" s="89"/>
      <c r="N402" s="89"/>
      <c r="O402" s="368"/>
      <c r="P402" s="89"/>
      <c r="Q402" s="89"/>
      <c r="R402" s="224"/>
    </row>
    <row r="403" spans="1:18" s="241" customFormat="1" ht="27.75" customHeight="1">
      <c r="A403" s="242">
        <v>4388</v>
      </c>
      <c r="B403" s="128" t="s">
        <v>281</v>
      </c>
      <c r="C403" s="88"/>
      <c r="D403" s="74">
        <f>G403+J403+P403+M403</f>
        <v>2829</v>
      </c>
      <c r="E403" s="74">
        <f>H403+K403+Q403+N403</f>
        <v>2828</v>
      </c>
      <c r="F403" s="468">
        <f t="shared" si="44"/>
        <v>99.96465182043124</v>
      </c>
      <c r="G403" s="88">
        <f>5025-2196</f>
        <v>2829</v>
      </c>
      <c r="H403" s="89">
        <v>2828</v>
      </c>
      <c r="I403" s="442">
        <f t="shared" si="45"/>
        <v>99.96465182043124</v>
      </c>
      <c r="J403" s="126"/>
      <c r="K403" s="89"/>
      <c r="L403" s="224"/>
      <c r="M403" s="89"/>
      <c r="N403" s="89"/>
      <c r="O403" s="368"/>
      <c r="P403" s="89"/>
      <c r="Q403" s="89"/>
      <c r="R403" s="224"/>
    </row>
    <row r="404" spans="1:18" s="241" customFormat="1" ht="27.75" customHeight="1">
      <c r="A404" s="243">
        <v>4389</v>
      </c>
      <c r="B404" s="159" t="s">
        <v>281</v>
      </c>
      <c r="C404" s="160"/>
      <c r="D404" s="161">
        <f t="shared" si="41"/>
        <v>943</v>
      </c>
      <c r="E404" s="161">
        <f t="shared" si="41"/>
        <v>943</v>
      </c>
      <c r="F404" s="469">
        <f t="shared" si="44"/>
        <v>100</v>
      </c>
      <c r="G404" s="160">
        <f>1675-732</f>
        <v>943</v>
      </c>
      <c r="H404" s="155">
        <v>943</v>
      </c>
      <c r="I404" s="462">
        <f t="shared" si="45"/>
        <v>100</v>
      </c>
      <c r="J404" s="162"/>
      <c r="K404" s="155"/>
      <c r="L404" s="274"/>
      <c r="M404" s="155"/>
      <c r="N404" s="155"/>
      <c r="O404" s="387"/>
      <c r="P404" s="155"/>
      <c r="Q404" s="155"/>
      <c r="R404" s="274"/>
    </row>
    <row r="405" spans="1:18" s="246" customFormat="1" ht="48" hidden="1">
      <c r="A405" s="135"/>
      <c r="B405" s="136" t="s">
        <v>207</v>
      </c>
      <c r="C405" s="137">
        <f>SUM(C406:C411)</f>
        <v>0</v>
      </c>
      <c r="D405" s="139">
        <f t="shared" si="41"/>
        <v>0</v>
      </c>
      <c r="E405" s="139">
        <f t="shared" si="41"/>
        <v>0</v>
      </c>
      <c r="F405" s="468" t="e">
        <f t="shared" si="44"/>
        <v>#DIV/0!</v>
      </c>
      <c r="G405" s="137">
        <f>SUM(G406:G411)</f>
        <v>0</v>
      </c>
      <c r="H405" s="139">
        <f>SUM(H406:H411)</f>
        <v>0</v>
      </c>
      <c r="I405" s="224" t="e">
        <f t="shared" si="45"/>
        <v>#DIV/0!</v>
      </c>
      <c r="J405" s="140"/>
      <c r="K405" s="139"/>
      <c r="L405" s="348"/>
      <c r="M405" s="139"/>
      <c r="N405" s="139"/>
      <c r="O405" s="399"/>
      <c r="P405" s="139"/>
      <c r="Q405" s="139"/>
      <c r="R405" s="348"/>
    </row>
    <row r="406" spans="1:18" s="248" customFormat="1" ht="24" hidden="1">
      <c r="A406" s="172">
        <v>4112</v>
      </c>
      <c r="B406" s="128" t="s">
        <v>498</v>
      </c>
      <c r="C406" s="174"/>
      <c r="D406" s="74">
        <f t="shared" si="41"/>
        <v>0</v>
      </c>
      <c r="E406" s="74">
        <f t="shared" si="41"/>
        <v>0</v>
      </c>
      <c r="F406" s="468" t="e">
        <f t="shared" si="44"/>
        <v>#DIV/0!</v>
      </c>
      <c r="G406" s="174"/>
      <c r="H406" s="74"/>
      <c r="I406" s="224" t="e">
        <f t="shared" si="45"/>
        <v>#DIV/0!</v>
      </c>
      <c r="J406" s="175"/>
      <c r="K406" s="74"/>
      <c r="L406" s="224"/>
      <c r="M406" s="74"/>
      <c r="N406" s="74"/>
      <c r="O406" s="368"/>
      <c r="P406" s="74"/>
      <c r="Q406" s="74"/>
      <c r="R406" s="224"/>
    </row>
    <row r="407" spans="1:18" s="248" customFormat="1" ht="12.75" hidden="1">
      <c r="A407" s="172">
        <v>4122</v>
      </c>
      <c r="B407" s="128" t="s">
        <v>571</v>
      </c>
      <c r="C407" s="174"/>
      <c r="D407" s="74">
        <f t="shared" si="41"/>
        <v>0</v>
      </c>
      <c r="E407" s="74">
        <f t="shared" si="41"/>
        <v>0</v>
      </c>
      <c r="F407" s="468" t="e">
        <f t="shared" si="44"/>
        <v>#DIV/0!</v>
      </c>
      <c r="G407" s="174"/>
      <c r="H407" s="74"/>
      <c r="I407" s="224" t="e">
        <f t="shared" si="45"/>
        <v>#DIV/0!</v>
      </c>
      <c r="J407" s="175"/>
      <c r="K407" s="74"/>
      <c r="L407" s="224"/>
      <c r="M407" s="74"/>
      <c r="N407" s="74"/>
      <c r="O407" s="368"/>
      <c r="P407" s="74"/>
      <c r="Q407" s="74"/>
      <c r="R407" s="224"/>
    </row>
    <row r="408" spans="1:18" s="248" customFormat="1" ht="24" hidden="1">
      <c r="A408" s="242">
        <v>4171</v>
      </c>
      <c r="B408" s="128" t="s">
        <v>536</v>
      </c>
      <c r="C408" s="174"/>
      <c r="D408" s="74">
        <f>G408+J408+P408+M408</f>
        <v>0</v>
      </c>
      <c r="E408" s="74">
        <f>H408+K408+Q408+N408</f>
        <v>0</v>
      </c>
      <c r="F408" s="468" t="e">
        <f>E408/D408*100</f>
        <v>#DIV/0!</v>
      </c>
      <c r="G408" s="174"/>
      <c r="H408" s="74"/>
      <c r="I408" s="224" t="e">
        <f t="shared" si="45"/>
        <v>#DIV/0!</v>
      </c>
      <c r="J408" s="175"/>
      <c r="K408" s="74"/>
      <c r="L408" s="224"/>
      <c r="M408" s="74"/>
      <c r="N408" s="74"/>
      <c r="O408" s="368"/>
      <c r="P408" s="74"/>
      <c r="Q408" s="74"/>
      <c r="R408" s="224"/>
    </row>
    <row r="409" spans="1:18" s="248" customFormat="1" ht="24" hidden="1">
      <c r="A409" s="242">
        <v>4172</v>
      </c>
      <c r="B409" s="128" t="s">
        <v>536</v>
      </c>
      <c r="C409" s="174"/>
      <c r="D409" s="74">
        <f>G409+J409+P409+M409</f>
        <v>0</v>
      </c>
      <c r="E409" s="74">
        <f>H409+K409+Q409+N409</f>
        <v>0</v>
      </c>
      <c r="F409" s="468" t="e">
        <f>E409/D409*100</f>
        <v>#DIV/0!</v>
      </c>
      <c r="G409" s="174"/>
      <c r="H409" s="74"/>
      <c r="I409" s="224" t="e">
        <f t="shared" si="45"/>
        <v>#DIV/0!</v>
      </c>
      <c r="J409" s="175"/>
      <c r="K409" s="74"/>
      <c r="L409" s="224"/>
      <c r="M409" s="74"/>
      <c r="N409" s="74"/>
      <c r="O409" s="368"/>
      <c r="P409" s="74"/>
      <c r="Q409" s="74"/>
      <c r="R409" s="224"/>
    </row>
    <row r="410" spans="1:18" s="246" customFormat="1" ht="24" hidden="1">
      <c r="A410" s="242">
        <v>4301</v>
      </c>
      <c r="B410" s="128" t="s">
        <v>510</v>
      </c>
      <c r="C410" s="174"/>
      <c r="D410" s="74">
        <f t="shared" si="41"/>
        <v>0</v>
      </c>
      <c r="E410" s="74">
        <f t="shared" si="41"/>
        <v>0</v>
      </c>
      <c r="F410" s="468" t="e">
        <f t="shared" si="44"/>
        <v>#DIV/0!</v>
      </c>
      <c r="G410" s="174"/>
      <c r="H410" s="74"/>
      <c r="I410" s="224" t="e">
        <f t="shared" si="45"/>
        <v>#DIV/0!</v>
      </c>
      <c r="J410" s="140"/>
      <c r="K410" s="139"/>
      <c r="L410" s="348"/>
      <c r="M410" s="139"/>
      <c r="N410" s="139"/>
      <c r="O410" s="399"/>
      <c r="P410" s="139"/>
      <c r="Q410" s="139"/>
      <c r="R410" s="348"/>
    </row>
    <row r="411" spans="1:18" s="246" customFormat="1" ht="24" hidden="1">
      <c r="A411" s="242">
        <v>4302</v>
      </c>
      <c r="B411" s="128" t="s">
        <v>510</v>
      </c>
      <c r="C411" s="174"/>
      <c r="D411" s="74">
        <f t="shared" si="41"/>
        <v>0</v>
      </c>
      <c r="E411" s="74">
        <f t="shared" si="41"/>
        <v>0</v>
      </c>
      <c r="F411" s="468" t="e">
        <f t="shared" si="44"/>
        <v>#DIV/0!</v>
      </c>
      <c r="G411" s="174"/>
      <c r="H411" s="74"/>
      <c r="I411" s="224" t="e">
        <f t="shared" si="45"/>
        <v>#DIV/0!</v>
      </c>
      <c r="J411" s="140"/>
      <c r="K411" s="139"/>
      <c r="L411" s="348"/>
      <c r="M411" s="139"/>
      <c r="N411" s="139"/>
      <c r="O411" s="399"/>
      <c r="P411" s="139"/>
      <c r="Q411" s="139"/>
      <c r="R411" s="348"/>
    </row>
    <row r="412" spans="1:18" s="246" customFormat="1" ht="36" hidden="1">
      <c r="A412" s="135"/>
      <c r="B412" s="136" t="s">
        <v>208</v>
      </c>
      <c r="C412" s="137">
        <f>SUM(C413:C420)</f>
        <v>0</v>
      </c>
      <c r="D412" s="139">
        <f t="shared" si="41"/>
        <v>0</v>
      </c>
      <c r="E412" s="139">
        <f t="shared" si="41"/>
        <v>0</v>
      </c>
      <c r="F412" s="468" t="e">
        <f t="shared" si="44"/>
        <v>#DIV/0!</v>
      </c>
      <c r="G412" s="137">
        <f>SUM(G413:G420)</f>
        <v>0</v>
      </c>
      <c r="H412" s="139">
        <f>SUM(H413:H420)</f>
        <v>0</v>
      </c>
      <c r="I412" s="224" t="e">
        <f t="shared" si="45"/>
        <v>#DIV/0!</v>
      </c>
      <c r="J412" s="140"/>
      <c r="K412" s="139"/>
      <c r="L412" s="348"/>
      <c r="M412" s="139"/>
      <c r="N412" s="139"/>
      <c r="O412" s="399"/>
      <c r="P412" s="139"/>
      <c r="Q412" s="139"/>
      <c r="R412" s="348"/>
    </row>
    <row r="413" spans="1:18" s="248" customFormat="1" ht="24" hidden="1">
      <c r="A413" s="172">
        <v>4112</v>
      </c>
      <c r="B413" s="128" t="s">
        <v>498</v>
      </c>
      <c r="C413" s="174"/>
      <c r="D413" s="74">
        <f t="shared" si="41"/>
        <v>0</v>
      </c>
      <c r="E413" s="74">
        <f t="shared" si="41"/>
        <v>0</v>
      </c>
      <c r="F413" s="468" t="e">
        <f t="shared" si="44"/>
        <v>#DIV/0!</v>
      </c>
      <c r="G413" s="174"/>
      <c r="H413" s="74"/>
      <c r="I413" s="224" t="e">
        <f t="shared" si="45"/>
        <v>#DIV/0!</v>
      </c>
      <c r="J413" s="175"/>
      <c r="K413" s="74"/>
      <c r="L413" s="224"/>
      <c r="M413" s="74"/>
      <c r="N413" s="74"/>
      <c r="O413" s="368"/>
      <c r="P413" s="74"/>
      <c r="Q413" s="74"/>
      <c r="R413" s="224"/>
    </row>
    <row r="414" spans="1:18" s="248" customFormat="1" ht="12.75" hidden="1">
      <c r="A414" s="172">
        <v>4122</v>
      </c>
      <c r="B414" s="128" t="s">
        <v>236</v>
      </c>
      <c r="C414" s="174"/>
      <c r="D414" s="74">
        <f t="shared" si="41"/>
        <v>0</v>
      </c>
      <c r="E414" s="74">
        <f t="shared" si="41"/>
        <v>0</v>
      </c>
      <c r="F414" s="468" t="e">
        <f>E414/D414*100</f>
        <v>#DIV/0!</v>
      </c>
      <c r="G414" s="174"/>
      <c r="H414" s="74"/>
      <c r="I414" s="224" t="e">
        <f t="shared" si="45"/>
        <v>#DIV/0!</v>
      </c>
      <c r="J414" s="175"/>
      <c r="K414" s="74"/>
      <c r="L414" s="224"/>
      <c r="M414" s="74"/>
      <c r="N414" s="74"/>
      <c r="O414" s="368"/>
      <c r="P414" s="74"/>
      <c r="Q414" s="74"/>
      <c r="R414" s="224"/>
    </row>
    <row r="415" spans="1:18" s="248" customFormat="1" ht="24" hidden="1">
      <c r="A415" s="242">
        <v>4171</v>
      </c>
      <c r="B415" s="128" t="s">
        <v>536</v>
      </c>
      <c r="C415" s="174"/>
      <c r="D415" s="74">
        <f t="shared" si="41"/>
        <v>0</v>
      </c>
      <c r="E415" s="74">
        <f t="shared" si="41"/>
        <v>0</v>
      </c>
      <c r="F415" s="468" t="e">
        <f>E415/D415*100</f>
        <v>#DIV/0!</v>
      </c>
      <c r="G415" s="174"/>
      <c r="H415" s="74"/>
      <c r="I415" s="224" t="e">
        <f t="shared" si="45"/>
        <v>#DIV/0!</v>
      </c>
      <c r="J415" s="175"/>
      <c r="K415" s="74"/>
      <c r="L415" s="224"/>
      <c r="M415" s="74"/>
      <c r="N415" s="74"/>
      <c r="O415" s="368"/>
      <c r="P415" s="74"/>
      <c r="Q415" s="74"/>
      <c r="R415" s="224"/>
    </row>
    <row r="416" spans="1:18" s="248" customFormat="1" ht="24" hidden="1">
      <c r="A416" s="242">
        <v>4172</v>
      </c>
      <c r="B416" s="128" t="s">
        <v>536</v>
      </c>
      <c r="C416" s="174"/>
      <c r="D416" s="74">
        <f t="shared" si="41"/>
        <v>0</v>
      </c>
      <c r="E416" s="74">
        <f t="shared" si="41"/>
        <v>0</v>
      </c>
      <c r="F416" s="468" t="e">
        <f>E416/D416*100</f>
        <v>#DIV/0!</v>
      </c>
      <c r="G416" s="174"/>
      <c r="H416" s="74"/>
      <c r="I416" s="224" t="e">
        <f t="shared" si="45"/>
        <v>#DIV/0!</v>
      </c>
      <c r="J416" s="175"/>
      <c r="K416" s="74"/>
      <c r="L416" s="224"/>
      <c r="M416" s="74"/>
      <c r="N416" s="74"/>
      <c r="O416" s="368"/>
      <c r="P416" s="74"/>
      <c r="Q416" s="74"/>
      <c r="R416" s="224"/>
    </row>
    <row r="417" spans="1:18" s="248" customFormat="1" ht="24" hidden="1">
      <c r="A417" s="172">
        <v>4211</v>
      </c>
      <c r="B417" s="128" t="s">
        <v>502</v>
      </c>
      <c r="C417" s="174"/>
      <c r="D417" s="74">
        <f t="shared" si="41"/>
        <v>0</v>
      </c>
      <c r="E417" s="74">
        <f t="shared" si="41"/>
        <v>0</v>
      </c>
      <c r="F417" s="468" t="e">
        <f t="shared" si="44"/>
        <v>#DIV/0!</v>
      </c>
      <c r="G417" s="174"/>
      <c r="H417" s="74"/>
      <c r="I417" s="224" t="e">
        <f t="shared" si="45"/>
        <v>#DIV/0!</v>
      </c>
      <c r="J417" s="175"/>
      <c r="K417" s="74"/>
      <c r="L417" s="224"/>
      <c r="M417" s="74"/>
      <c r="N417" s="74"/>
      <c r="O417" s="368"/>
      <c r="P417" s="74"/>
      <c r="Q417" s="74"/>
      <c r="R417" s="224"/>
    </row>
    <row r="418" spans="1:18" s="241" customFormat="1" ht="24" hidden="1">
      <c r="A418" s="124">
        <v>4212</v>
      </c>
      <c r="B418" s="128" t="s">
        <v>502</v>
      </c>
      <c r="C418" s="88"/>
      <c r="D418" s="74">
        <f t="shared" si="41"/>
        <v>0</v>
      </c>
      <c r="E418" s="74">
        <f t="shared" si="41"/>
        <v>0</v>
      </c>
      <c r="F418" s="468" t="e">
        <f t="shared" si="44"/>
        <v>#DIV/0!</v>
      </c>
      <c r="G418" s="88"/>
      <c r="H418" s="89"/>
      <c r="I418" s="224" t="e">
        <f t="shared" si="45"/>
        <v>#DIV/0!</v>
      </c>
      <c r="J418" s="126"/>
      <c r="K418" s="89"/>
      <c r="L418" s="224"/>
      <c r="M418" s="89"/>
      <c r="N418" s="89"/>
      <c r="O418" s="368"/>
      <c r="P418" s="89"/>
      <c r="Q418" s="89"/>
      <c r="R418" s="224"/>
    </row>
    <row r="419" spans="1:18" s="241" customFormat="1" ht="24" hidden="1">
      <c r="A419" s="242">
        <v>4301</v>
      </c>
      <c r="B419" s="128" t="s">
        <v>510</v>
      </c>
      <c r="C419" s="88"/>
      <c r="D419" s="74">
        <f t="shared" si="41"/>
        <v>0</v>
      </c>
      <c r="E419" s="74">
        <f t="shared" si="41"/>
        <v>0</v>
      </c>
      <c r="F419" s="468" t="e">
        <f t="shared" si="44"/>
        <v>#DIV/0!</v>
      </c>
      <c r="G419" s="88"/>
      <c r="H419" s="89"/>
      <c r="I419" s="224" t="e">
        <f t="shared" si="45"/>
        <v>#DIV/0!</v>
      </c>
      <c r="J419" s="126"/>
      <c r="K419" s="89"/>
      <c r="L419" s="224"/>
      <c r="M419" s="89"/>
      <c r="N419" s="89"/>
      <c r="O419" s="368"/>
      <c r="P419" s="89"/>
      <c r="Q419" s="89"/>
      <c r="R419" s="224"/>
    </row>
    <row r="420" spans="1:18" s="241" customFormat="1" ht="24" hidden="1">
      <c r="A420" s="242">
        <v>4302</v>
      </c>
      <c r="B420" s="128" t="s">
        <v>510</v>
      </c>
      <c r="C420" s="160"/>
      <c r="D420" s="74">
        <f t="shared" si="41"/>
        <v>0</v>
      </c>
      <c r="E420" s="74">
        <f t="shared" si="41"/>
        <v>0</v>
      </c>
      <c r="F420" s="468" t="e">
        <f t="shared" si="44"/>
        <v>#DIV/0!</v>
      </c>
      <c r="G420" s="160"/>
      <c r="H420" s="155"/>
      <c r="I420" s="224" t="e">
        <f t="shared" si="45"/>
        <v>#DIV/0!</v>
      </c>
      <c r="J420" s="162"/>
      <c r="K420" s="155"/>
      <c r="L420" s="274"/>
      <c r="M420" s="155"/>
      <c r="N420" s="155"/>
      <c r="O420" s="387"/>
      <c r="P420" s="155"/>
      <c r="Q420" s="155"/>
      <c r="R420" s="274"/>
    </row>
    <row r="421" spans="1:18" ht="24">
      <c r="A421" s="119">
        <v>75095</v>
      </c>
      <c r="B421" s="185" t="s">
        <v>455</v>
      </c>
      <c r="C421" s="121">
        <f>SUM(C422:C433)</f>
        <v>137610</v>
      </c>
      <c r="D421" s="95">
        <f t="shared" si="41"/>
        <v>137610</v>
      </c>
      <c r="E421" s="84">
        <f>SUM(E422:E433)</f>
        <v>51905</v>
      </c>
      <c r="F421" s="467">
        <f t="shared" si="44"/>
        <v>37.718915776469736</v>
      </c>
      <c r="G421" s="121">
        <f>SUM(G422:G433)</f>
        <v>137610</v>
      </c>
      <c r="H421" s="84">
        <f>SUM(H422:H433)</f>
        <v>51905</v>
      </c>
      <c r="I421" s="316">
        <f t="shared" si="45"/>
        <v>37.718915776469736</v>
      </c>
      <c r="J421" s="123"/>
      <c r="K421" s="84"/>
      <c r="L421" s="417"/>
      <c r="M421" s="84"/>
      <c r="N421" s="84"/>
      <c r="O421" s="381"/>
      <c r="P421" s="84"/>
      <c r="Q421" s="84"/>
      <c r="R421" s="316"/>
    </row>
    <row r="422" spans="1:18" ht="36" hidden="1">
      <c r="A422" s="124">
        <v>3020</v>
      </c>
      <c r="B422" s="128" t="s">
        <v>540</v>
      </c>
      <c r="C422" s="88"/>
      <c r="D422" s="74">
        <f t="shared" si="41"/>
        <v>0</v>
      </c>
      <c r="E422" s="89">
        <f aca="true" t="shared" si="46" ref="E422:E429">SUM(H422+K422+N422+Q422)</f>
        <v>0</v>
      </c>
      <c r="F422" s="468" t="e">
        <f t="shared" si="44"/>
        <v>#DIV/0!</v>
      </c>
      <c r="G422" s="90"/>
      <c r="H422" s="104"/>
      <c r="I422" s="224" t="e">
        <f t="shared" si="45"/>
        <v>#DIV/0!</v>
      </c>
      <c r="J422" s="126"/>
      <c r="K422" s="89"/>
      <c r="L422" s="391"/>
      <c r="M422" s="89"/>
      <c r="N422" s="89"/>
      <c r="O422" s="368"/>
      <c r="P422" s="89"/>
      <c r="Q422" s="89"/>
      <c r="R422" s="362"/>
    </row>
    <row r="423" spans="1:18" ht="24">
      <c r="A423" s="124">
        <v>4110</v>
      </c>
      <c r="B423" s="128" t="s">
        <v>498</v>
      </c>
      <c r="C423" s="88">
        <v>2050</v>
      </c>
      <c r="D423" s="74">
        <f t="shared" si="41"/>
        <v>2163</v>
      </c>
      <c r="E423" s="89">
        <f t="shared" si="46"/>
        <v>707</v>
      </c>
      <c r="F423" s="468">
        <f t="shared" si="44"/>
        <v>32.68608414239482</v>
      </c>
      <c r="G423" s="88">
        <f>2050+113</f>
        <v>2163</v>
      </c>
      <c r="H423" s="89">
        <v>707</v>
      </c>
      <c r="I423" s="224">
        <f t="shared" si="45"/>
        <v>32.68608414239482</v>
      </c>
      <c r="J423" s="126"/>
      <c r="K423" s="89"/>
      <c r="L423" s="391"/>
      <c r="M423" s="89"/>
      <c r="N423" s="89"/>
      <c r="O423" s="368"/>
      <c r="P423" s="89"/>
      <c r="Q423" s="89"/>
      <c r="R423" s="362"/>
    </row>
    <row r="424" spans="1:18" ht="12.75" hidden="1">
      <c r="A424" s="124">
        <v>4120</v>
      </c>
      <c r="B424" s="128" t="s">
        <v>571</v>
      </c>
      <c r="C424" s="88"/>
      <c r="D424" s="74">
        <f>G424+J424+P424+M424</f>
        <v>0</v>
      </c>
      <c r="E424" s="89">
        <f>SUM(H424+K424+N424+Q424)</f>
        <v>0</v>
      </c>
      <c r="F424" s="468" t="e">
        <f>E424/D424*100</f>
        <v>#DIV/0!</v>
      </c>
      <c r="G424" s="88"/>
      <c r="H424" s="89"/>
      <c r="I424" s="224" t="e">
        <f t="shared" si="45"/>
        <v>#DIV/0!</v>
      </c>
      <c r="J424" s="126"/>
      <c r="K424" s="89"/>
      <c r="L424" s="391"/>
      <c r="M424" s="89"/>
      <c r="N424" s="89"/>
      <c r="O424" s="368"/>
      <c r="P424" s="89"/>
      <c r="Q424" s="89"/>
      <c r="R424" s="362"/>
    </row>
    <row r="425" spans="1:18" ht="24">
      <c r="A425" s="158">
        <v>4170</v>
      </c>
      <c r="B425" s="159" t="s">
        <v>536</v>
      </c>
      <c r="C425" s="160">
        <v>36300</v>
      </c>
      <c r="D425" s="161">
        <f t="shared" si="41"/>
        <v>36187</v>
      </c>
      <c r="E425" s="155">
        <f t="shared" si="46"/>
        <v>14366</v>
      </c>
      <c r="F425" s="469">
        <f t="shared" si="44"/>
        <v>39.699339541824415</v>
      </c>
      <c r="G425" s="160">
        <f>36300-113</f>
        <v>36187</v>
      </c>
      <c r="H425" s="155">
        <v>14366</v>
      </c>
      <c r="I425" s="274">
        <f t="shared" si="45"/>
        <v>39.699339541824415</v>
      </c>
      <c r="J425" s="162"/>
      <c r="K425" s="155"/>
      <c r="L425" s="415"/>
      <c r="M425" s="155"/>
      <c r="N425" s="155"/>
      <c r="O425" s="387"/>
      <c r="P425" s="155"/>
      <c r="Q425" s="155"/>
      <c r="R425" s="366"/>
    </row>
    <row r="426" spans="1:18" ht="24">
      <c r="A426" s="124">
        <v>4210</v>
      </c>
      <c r="B426" s="128" t="s">
        <v>502</v>
      </c>
      <c r="C426" s="88">
        <v>27815</v>
      </c>
      <c r="D426" s="74">
        <f t="shared" si="41"/>
        <v>27185</v>
      </c>
      <c r="E426" s="89">
        <f t="shared" si="46"/>
        <v>4395</v>
      </c>
      <c r="F426" s="468">
        <f t="shared" si="44"/>
        <v>16.16700386242413</v>
      </c>
      <c r="G426" s="88">
        <f>27815-100-130-400</f>
        <v>27185</v>
      </c>
      <c r="H426" s="89">
        <v>4395</v>
      </c>
      <c r="I426" s="224">
        <f t="shared" si="45"/>
        <v>16.16700386242413</v>
      </c>
      <c r="J426" s="126"/>
      <c r="K426" s="89"/>
      <c r="L426" s="391"/>
      <c r="M426" s="89"/>
      <c r="N426" s="89"/>
      <c r="O426" s="368"/>
      <c r="P426" s="89"/>
      <c r="Q426" s="89"/>
      <c r="R426" s="362"/>
    </row>
    <row r="427" spans="1:18" ht="12.75">
      <c r="A427" s="124">
        <v>4260</v>
      </c>
      <c r="B427" s="128" t="s">
        <v>506</v>
      </c>
      <c r="C427" s="88">
        <v>5550</v>
      </c>
      <c r="D427" s="74">
        <f t="shared" si="41"/>
        <v>11700</v>
      </c>
      <c r="E427" s="89">
        <f t="shared" si="46"/>
        <v>6566</v>
      </c>
      <c r="F427" s="468">
        <f t="shared" si="44"/>
        <v>56.11965811965812</v>
      </c>
      <c r="G427" s="88">
        <f>5550+4000+1150+1000</f>
        <v>11700</v>
      </c>
      <c r="H427" s="89">
        <v>6566</v>
      </c>
      <c r="I427" s="224">
        <f t="shared" si="45"/>
        <v>56.11965811965812</v>
      </c>
      <c r="J427" s="126"/>
      <c r="K427" s="89"/>
      <c r="L427" s="391"/>
      <c r="M427" s="89"/>
      <c r="N427" s="89"/>
      <c r="O427" s="368"/>
      <c r="P427" s="89"/>
      <c r="Q427" s="89"/>
      <c r="R427" s="362"/>
    </row>
    <row r="428" spans="1:18" ht="24" hidden="1">
      <c r="A428" s="124">
        <v>4270</v>
      </c>
      <c r="B428" s="128" t="s">
        <v>508</v>
      </c>
      <c r="C428" s="88"/>
      <c r="D428" s="74">
        <f t="shared" si="41"/>
        <v>0</v>
      </c>
      <c r="E428" s="89">
        <f t="shared" si="46"/>
        <v>0</v>
      </c>
      <c r="F428" s="468" t="e">
        <f t="shared" si="44"/>
        <v>#DIV/0!</v>
      </c>
      <c r="G428" s="88"/>
      <c r="H428" s="89"/>
      <c r="I428" s="224" t="e">
        <f t="shared" si="45"/>
        <v>#DIV/0!</v>
      </c>
      <c r="J428" s="126"/>
      <c r="K428" s="89"/>
      <c r="L428" s="391"/>
      <c r="M428" s="89"/>
      <c r="N428" s="89"/>
      <c r="O428" s="368"/>
      <c r="P428" s="89"/>
      <c r="Q428" s="89"/>
      <c r="R428" s="362"/>
    </row>
    <row r="429" spans="1:18" ht="24">
      <c r="A429" s="124">
        <v>4300</v>
      </c>
      <c r="B429" s="128" t="s">
        <v>625</v>
      </c>
      <c r="C429" s="88">
        <v>16550</v>
      </c>
      <c r="D429" s="74">
        <f t="shared" si="41"/>
        <v>19575</v>
      </c>
      <c r="E429" s="89">
        <f t="shared" si="46"/>
        <v>7524</v>
      </c>
      <c r="F429" s="468">
        <f t="shared" si="44"/>
        <v>38.4367816091954</v>
      </c>
      <c r="G429" s="88">
        <f>16550-50+1300+475+400+900</f>
        <v>19575</v>
      </c>
      <c r="H429" s="89">
        <v>7524</v>
      </c>
      <c r="I429" s="224">
        <f t="shared" si="45"/>
        <v>38.4367816091954</v>
      </c>
      <c r="J429" s="126"/>
      <c r="K429" s="89"/>
      <c r="L429" s="391"/>
      <c r="M429" s="89"/>
      <c r="N429" s="89"/>
      <c r="O429" s="368"/>
      <c r="P429" s="89"/>
      <c r="Q429" s="89"/>
      <c r="R429" s="362"/>
    </row>
    <row r="430" spans="1:18" ht="48">
      <c r="A430" s="124">
        <v>4370</v>
      </c>
      <c r="B430" s="128" t="s">
        <v>288</v>
      </c>
      <c r="C430" s="88">
        <v>5430</v>
      </c>
      <c r="D430" s="74">
        <f t="shared" si="41"/>
        <v>5430</v>
      </c>
      <c r="E430" s="89">
        <f>SUM(H430+K430+N430+Q430)</f>
        <v>2451</v>
      </c>
      <c r="F430" s="468">
        <f>E430/D430*100</f>
        <v>45.13812154696132</v>
      </c>
      <c r="G430" s="88">
        <v>5430</v>
      </c>
      <c r="H430" s="89">
        <v>2451</v>
      </c>
      <c r="I430" s="224">
        <f t="shared" si="45"/>
        <v>45.13812154696132</v>
      </c>
      <c r="J430" s="126"/>
      <c r="K430" s="89"/>
      <c r="L430" s="391"/>
      <c r="M430" s="89"/>
      <c r="N430" s="89"/>
      <c r="O430" s="368"/>
      <c r="P430" s="89"/>
      <c r="Q430" s="89"/>
      <c r="R430" s="362"/>
    </row>
    <row r="431" spans="1:18" ht="24">
      <c r="A431" s="172">
        <v>4400</v>
      </c>
      <c r="B431" s="337" t="s">
        <v>289</v>
      </c>
      <c r="C431" s="88">
        <v>42355</v>
      </c>
      <c r="D431" s="74">
        <f t="shared" si="41"/>
        <v>33630</v>
      </c>
      <c r="E431" s="89">
        <f>SUM(H431+K431+N431+Q431)</f>
        <v>15839</v>
      </c>
      <c r="F431" s="468">
        <f t="shared" si="44"/>
        <v>47.09782931906037</v>
      </c>
      <c r="G431" s="88">
        <f>42355+100-5300-1625-1900</f>
        <v>33630</v>
      </c>
      <c r="H431" s="74">
        <v>15839</v>
      </c>
      <c r="I431" s="224">
        <f t="shared" si="45"/>
        <v>47.09782931906037</v>
      </c>
      <c r="J431" s="126"/>
      <c r="K431" s="89"/>
      <c r="L431" s="391"/>
      <c r="M431" s="89"/>
      <c r="N431" s="89"/>
      <c r="O431" s="368"/>
      <c r="P431" s="89"/>
      <c r="Q431" s="89"/>
      <c r="R431" s="362"/>
    </row>
    <row r="432" spans="1:18" ht="36">
      <c r="A432" s="172">
        <v>4750</v>
      </c>
      <c r="B432" s="206" t="s">
        <v>359</v>
      </c>
      <c r="C432" s="88">
        <v>1200</v>
      </c>
      <c r="D432" s="74">
        <f t="shared" si="41"/>
        <v>1330</v>
      </c>
      <c r="E432" s="89">
        <f>SUM(H432+K432+N432+Q432)</f>
        <v>55</v>
      </c>
      <c r="F432" s="468">
        <f>E432/D432*100</f>
        <v>4.135338345864661</v>
      </c>
      <c r="G432" s="88">
        <f>1200+130</f>
        <v>1330</v>
      </c>
      <c r="H432" s="74">
        <v>55</v>
      </c>
      <c r="I432" s="224">
        <f t="shared" si="45"/>
        <v>4.135338345864661</v>
      </c>
      <c r="J432" s="126"/>
      <c r="K432" s="89"/>
      <c r="L432" s="391"/>
      <c r="M432" s="89"/>
      <c r="N432" s="89"/>
      <c r="O432" s="368"/>
      <c r="P432" s="89"/>
      <c r="Q432" s="89"/>
      <c r="R432" s="362"/>
    </row>
    <row r="433" spans="1:18" ht="60">
      <c r="A433" s="158">
        <v>4740</v>
      </c>
      <c r="B433" s="159" t="s">
        <v>290</v>
      </c>
      <c r="C433" s="160">
        <v>360</v>
      </c>
      <c r="D433" s="161">
        <f t="shared" si="41"/>
        <v>410</v>
      </c>
      <c r="E433" s="155">
        <f>SUM(H433+K433+N433+Q433)</f>
        <v>2</v>
      </c>
      <c r="F433" s="469">
        <f t="shared" si="44"/>
        <v>0.4878048780487805</v>
      </c>
      <c r="G433" s="160">
        <f>360+50</f>
        <v>410</v>
      </c>
      <c r="H433" s="155">
        <v>2</v>
      </c>
      <c r="I433" s="274">
        <f t="shared" si="45"/>
        <v>0.4878048780487805</v>
      </c>
      <c r="J433" s="162"/>
      <c r="K433" s="155"/>
      <c r="L433" s="415"/>
      <c r="M433" s="155"/>
      <c r="N433" s="155"/>
      <c r="O433" s="387"/>
      <c r="P433" s="155"/>
      <c r="Q433" s="155"/>
      <c r="R433" s="366"/>
    </row>
    <row r="434" spans="1:18" ht="12.75" customHeight="1">
      <c r="A434" s="119">
        <v>75095</v>
      </c>
      <c r="B434" s="185" t="s">
        <v>529</v>
      </c>
      <c r="C434" s="121">
        <f>SUM(C435:C447)</f>
        <v>2911500</v>
      </c>
      <c r="D434" s="95">
        <f t="shared" si="41"/>
        <v>2911500</v>
      </c>
      <c r="E434" s="95">
        <f>H434+K434+Q434+N434</f>
        <v>1016139</v>
      </c>
      <c r="F434" s="467">
        <f t="shared" si="44"/>
        <v>34.90087583719732</v>
      </c>
      <c r="G434" s="94">
        <f>SUM(G435:G447)</f>
        <v>2911500</v>
      </c>
      <c r="H434" s="95">
        <f>SUM(H435:H447)</f>
        <v>1016139</v>
      </c>
      <c r="I434" s="316">
        <f t="shared" si="45"/>
        <v>34.90087583719732</v>
      </c>
      <c r="J434" s="123"/>
      <c r="K434" s="84"/>
      <c r="L434" s="417"/>
      <c r="M434" s="84"/>
      <c r="N434" s="84"/>
      <c r="O434" s="381"/>
      <c r="P434" s="84"/>
      <c r="Q434" s="84"/>
      <c r="R434" s="372"/>
    </row>
    <row r="435" spans="1:18" ht="48" hidden="1">
      <c r="A435" s="124">
        <v>3040</v>
      </c>
      <c r="B435" s="128" t="s">
        <v>626</v>
      </c>
      <c r="C435" s="88"/>
      <c r="D435" s="74">
        <f t="shared" si="41"/>
        <v>0</v>
      </c>
      <c r="E435" s="89">
        <f aca="true" t="shared" si="47" ref="E435:E449">SUM(H435+K435+N435+Q435)</f>
        <v>0</v>
      </c>
      <c r="F435" s="468" t="e">
        <f t="shared" si="44"/>
        <v>#DIV/0!</v>
      </c>
      <c r="G435" s="88"/>
      <c r="H435" s="74"/>
      <c r="I435" s="224" t="e">
        <f t="shared" si="45"/>
        <v>#DIV/0!</v>
      </c>
      <c r="J435" s="126"/>
      <c r="K435" s="89"/>
      <c r="L435" s="391"/>
      <c r="M435" s="89"/>
      <c r="N435" s="89"/>
      <c r="O435" s="368"/>
      <c r="P435" s="89"/>
      <c r="Q435" s="89"/>
      <c r="R435" s="362"/>
    </row>
    <row r="436" spans="1:18" ht="24">
      <c r="A436" s="124">
        <v>4110</v>
      </c>
      <c r="B436" s="128" t="s">
        <v>627</v>
      </c>
      <c r="C436" s="88">
        <v>4000</v>
      </c>
      <c r="D436" s="74">
        <f t="shared" si="41"/>
        <v>4000</v>
      </c>
      <c r="E436" s="89">
        <f t="shared" si="47"/>
        <v>0</v>
      </c>
      <c r="F436" s="468">
        <f t="shared" si="44"/>
        <v>0</v>
      </c>
      <c r="G436" s="88">
        <v>4000</v>
      </c>
      <c r="H436" s="74"/>
      <c r="I436" s="224">
        <f t="shared" si="45"/>
        <v>0</v>
      </c>
      <c r="J436" s="126"/>
      <c r="K436" s="89"/>
      <c r="L436" s="391"/>
      <c r="M436" s="89"/>
      <c r="N436" s="89"/>
      <c r="O436" s="368"/>
      <c r="P436" s="89"/>
      <c r="Q436" s="89"/>
      <c r="R436" s="362"/>
    </row>
    <row r="437" spans="1:18" ht="12.75">
      <c r="A437" s="124">
        <v>4120</v>
      </c>
      <c r="B437" s="128" t="s">
        <v>628</v>
      </c>
      <c r="C437" s="88">
        <v>2500</v>
      </c>
      <c r="D437" s="74">
        <f t="shared" si="41"/>
        <v>2500</v>
      </c>
      <c r="E437" s="89">
        <f t="shared" si="47"/>
        <v>0</v>
      </c>
      <c r="F437" s="468">
        <f t="shared" si="44"/>
        <v>0</v>
      </c>
      <c r="G437" s="88">
        <v>2500</v>
      </c>
      <c r="H437" s="74"/>
      <c r="I437" s="224">
        <f t="shared" si="45"/>
        <v>0</v>
      </c>
      <c r="J437" s="126"/>
      <c r="K437" s="89"/>
      <c r="L437" s="391"/>
      <c r="M437" s="89"/>
      <c r="N437" s="89"/>
      <c r="O437" s="368"/>
      <c r="P437" s="89"/>
      <c r="Q437" s="89"/>
      <c r="R437" s="362"/>
    </row>
    <row r="438" spans="1:18" ht="24">
      <c r="A438" s="124">
        <v>4170</v>
      </c>
      <c r="B438" s="128" t="s">
        <v>629</v>
      </c>
      <c r="C438" s="88">
        <v>10000</v>
      </c>
      <c r="D438" s="74">
        <f t="shared" si="41"/>
        <v>10000</v>
      </c>
      <c r="E438" s="89">
        <f t="shared" si="47"/>
        <v>4532</v>
      </c>
      <c r="F438" s="468">
        <f aca="true" t="shared" si="48" ref="F438:F445">E438/D438*100</f>
        <v>45.32</v>
      </c>
      <c r="G438" s="88">
        <v>10000</v>
      </c>
      <c r="H438" s="74">
        <v>4532</v>
      </c>
      <c r="I438" s="224">
        <f t="shared" si="45"/>
        <v>45.32</v>
      </c>
      <c r="J438" s="126"/>
      <c r="K438" s="89"/>
      <c r="L438" s="391"/>
      <c r="M438" s="89"/>
      <c r="N438" s="89"/>
      <c r="O438" s="368"/>
      <c r="P438" s="89"/>
      <c r="Q438" s="89"/>
      <c r="R438" s="362"/>
    </row>
    <row r="439" spans="1:18" ht="24">
      <c r="A439" s="124">
        <v>4210</v>
      </c>
      <c r="B439" s="128" t="s">
        <v>630</v>
      </c>
      <c r="C439" s="88">
        <v>9000</v>
      </c>
      <c r="D439" s="74">
        <f aca="true" t="shared" si="49" ref="D439:D504">G439+J439+P439+M439</f>
        <v>9000</v>
      </c>
      <c r="E439" s="89">
        <f t="shared" si="47"/>
        <v>3068</v>
      </c>
      <c r="F439" s="468">
        <f t="shared" si="48"/>
        <v>34.08888888888889</v>
      </c>
      <c r="G439" s="88">
        <v>9000</v>
      </c>
      <c r="H439" s="74">
        <v>3068</v>
      </c>
      <c r="I439" s="224">
        <f t="shared" si="45"/>
        <v>34.08888888888889</v>
      </c>
      <c r="J439" s="126"/>
      <c r="K439" s="89"/>
      <c r="L439" s="391"/>
      <c r="M439" s="89"/>
      <c r="N439" s="89"/>
      <c r="O439" s="368"/>
      <c r="P439" s="89"/>
      <c r="Q439" s="89"/>
      <c r="R439" s="362"/>
    </row>
    <row r="440" spans="1:18" ht="24">
      <c r="A440" s="124">
        <v>4300</v>
      </c>
      <c r="B440" s="128" t="s">
        <v>631</v>
      </c>
      <c r="C440" s="88">
        <v>150000</v>
      </c>
      <c r="D440" s="74">
        <f t="shared" si="49"/>
        <v>132000</v>
      </c>
      <c r="E440" s="89">
        <f>SUM(H440+K440+N440+Q440)</f>
        <v>34167</v>
      </c>
      <c r="F440" s="468">
        <f t="shared" si="48"/>
        <v>25.884090909090908</v>
      </c>
      <c r="G440" s="88">
        <f>150000-18000</f>
        <v>132000</v>
      </c>
      <c r="H440" s="74">
        <v>34167</v>
      </c>
      <c r="I440" s="224">
        <f t="shared" si="45"/>
        <v>25.884090909090908</v>
      </c>
      <c r="J440" s="126"/>
      <c r="K440" s="89"/>
      <c r="L440" s="391"/>
      <c r="M440" s="89"/>
      <c r="N440" s="89"/>
      <c r="O440" s="368"/>
      <c r="P440" s="89"/>
      <c r="Q440" s="89"/>
      <c r="R440" s="362"/>
    </row>
    <row r="441" spans="1:18" ht="24">
      <c r="A441" s="335">
        <v>4350</v>
      </c>
      <c r="B441" s="206" t="s">
        <v>220</v>
      </c>
      <c r="C441" s="88">
        <v>3000</v>
      </c>
      <c r="D441" s="74">
        <f t="shared" si="49"/>
        <v>3000</v>
      </c>
      <c r="E441" s="89">
        <f>SUM(H441+K441+N441+Q441)</f>
        <v>584</v>
      </c>
      <c r="F441" s="468">
        <f t="shared" si="48"/>
        <v>19.466666666666665</v>
      </c>
      <c r="G441" s="88">
        <v>3000</v>
      </c>
      <c r="H441" s="74">
        <v>584</v>
      </c>
      <c r="I441" s="224">
        <f t="shared" si="45"/>
        <v>19.466666666666665</v>
      </c>
      <c r="J441" s="126"/>
      <c r="K441" s="89"/>
      <c r="L441" s="391"/>
      <c r="M441" s="89"/>
      <c r="N441" s="89"/>
      <c r="O441" s="368"/>
      <c r="P441" s="89"/>
      <c r="Q441" s="89"/>
      <c r="R441" s="362"/>
    </row>
    <row r="442" spans="1:18" ht="36">
      <c r="A442" s="124">
        <v>4380</v>
      </c>
      <c r="B442" s="128" t="s">
        <v>296</v>
      </c>
      <c r="C442" s="88">
        <v>35000</v>
      </c>
      <c r="D442" s="74">
        <f t="shared" si="49"/>
        <v>35000</v>
      </c>
      <c r="E442" s="89">
        <f>SUM(H442+K442+N442+Q442)</f>
        <v>7408</v>
      </c>
      <c r="F442" s="468">
        <f t="shared" si="48"/>
        <v>21.165714285714284</v>
      </c>
      <c r="G442" s="88">
        <v>35000</v>
      </c>
      <c r="H442" s="74">
        <v>7408</v>
      </c>
      <c r="I442" s="224">
        <f t="shared" si="45"/>
        <v>21.165714285714284</v>
      </c>
      <c r="J442" s="126"/>
      <c r="K442" s="89"/>
      <c r="L442" s="391"/>
      <c r="M442" s="89"/>
      <c r="N442" s="89"/>
      <c r="O442" s="368"/>
      <c r="P442" s="89"/>
      <c r="Q442" s="89"/>
      <c r="R442" s="362"/>
    </row>
    <row r="443" spans="1:18" ht="48">
      <c r="A443" s="124">
        <v>4390</v>
      </c>
      <c r="B443" s="206" t="s">
        <v>295</v>
      </c>
      <c r="C443" s="88"/>
      <c r="D443" s="74">
        <f t="shared" si="49"/>
        <v>200000</v>
      </c>
      <c r="E443" s="89">
        <f>SUM(H443+K443+N443+Q443)</f>
        <v>97849</v>
      </c>
      <c r="F443" s="468">
        <f t="shared" si="48"/>
        <v>48.9245</v>
      </c>
      <c r="G443" s="88">
        <v>200000</v>
      </c>
      <c r="H443" s="74">
        <v>97849</v>
      </c>
      <c r="I443" s="224">
        <f t="shared" si="45"/>
        <v>48.9245</v>
      </c>
      <c r="J443" s="126"/>
      <c r="K443" s="89"/>
      <c r="L443" s="391"/>
      <c r="M443" s="89"/>
      <c r="N443" s="89"/>
      <c r="O443" s="368"/>
      <c r="P443" s="89"/>
      <c r="Q443" s="89"/>
      <c r="R443" s="362"/>
    </row>
    <row r="444" spans="1:18" ht="24">
      <c r="A444" s="158">
        <v>4430</v>
      </c>
      <c r="B444" s="159" t="s">
        <v>632</v>
      </c>
      <c r="C444" s="160">
        <v>1656000</v>
      </c>
      <c r="D444" s="161">
        <f t="shared" si="49"/>
        <v>1656000</v>
      </c>
      <c r="E444" s="155">
        <f t="shared" si="47"/>
        <v>274531</v>
      </c>
      <c r="F444" s="469">
        <f t="shared" si="48"/>
        <v>16.57795893719807</v>
      </c>
      <c r="G444" s="160">
        <v>1656000</v>
      </c>
      <c r="H444" s="161">
        <v>274531</v>
      </c>
      <c r="I444" s="274">
        <f>H444/G444*100</f>
        <v>16.57795893719807</v>
      </c>
      <c r="J444" s="162"/>
      <c r="K444" s="155"/>
      <c r="L444" s="415"/>
      <c r="M444" s="155"/>
      <c r="N444" s="155"/>
      <c r="O444" s="387"/>
      <c r="P444" s="155"/>
      <c r="Q444" s="155"/>
      <c r="R444" s="366"/>
    </row>
    <row r="445" spans="1:18" ht="60">
      <c r="A445" s="124">
        <v>2819</v>
      </c>
      <c r="B445" s="128" t="s">
        <v>250</v>
      </c>
      <c r="C445" s="88">
        <v>250000</v>
      </c>
      <c r="D445" s="74">
        <f t="shared" si="49"/>
        <v>250000</v>
      </c>
      <c r="E445" s="89">
        <f>SUM(H445+K445+N445+Q445)</f>
        <v>0</v>
      </c>
      <c r="F445" s="468">
        <f t="shared" si="48"/>
        <v>0</v>
      </c>
      <c r="G445" s="154">
        <v>250000</v>
      </c>
      <c r="H445" s="74"/>
      <c r="I445" s="224">
        <f>H445/G445*100</f>
        <v>0</v>
      </c>
      <c r="J445" s="126"/>
      <c r="K445" s="89"/>
      <c r="L445" s="391"/>
      <c r="M445" s="126"/>
      <c r="N445" s="126"/>
      <c r="O445" s="368"/>
      <c r="P445" s="89"/>
      <c r="Q445" s="89"/>
      <c r="R445" s="362"/>
    </row>
    <row r="446" spans="1:18" ht="60">
      <c r="A446" s="124">
        <v>2810</v>
      </c>
      <c r="B446" s="128" t="s">
        <v>250</v>
      </c>
      <c r="C446" s="88"/>
      <c r="D446" s="74">
        <f>G446+J446+P446+M446</f>
        <v>610000</v>
      </c>
      <c r="E446" s="89">
        <f>SUM(H446+K446+N446+Q446)</f>
        <v>594000</v>
      </c>
      <c r="F446" s="468">
        <f>E446/D446*100</f>
        <v>97.37704918032787</v>
      </c>
      <c r="G446" s="154">
        <v>610000</v>
      </c>
      <c r="H446" s="74">
        <f>534000+60000</f>
        <v>594000</v>
      </c>
      <c r="I446" s="224">
        <f>H446/G446*100</f>
        <v>97.37704918032787</v>
      </c>
      <c r="J446" s="126"/>
      <c r="K446" s="89"/>
      <c r="L446" s="391"/>
      <c r="M446" s="126"/>
      <c r="N446" s="126"/>
      <c r="O446" s="368"/>
      <c r="P446" s="89"/>
      <c r="Q446" s="89"/>
      <c r="R446" s="362"/>
    </row>
    <row r="447" spans="1:18" ht="72.75" thickBot="1">
      <c r="A447" s="158">
        <v>2820</v>
      </c>
      <c r="B447" s="159" t="s">
        <v>119</v>
      </c>
      <c r="C447" s="160">
        <v>792000</v>
      </c>
      <c r="D447" s="161">
        <f t="shared" si="49"/>
        <v>0</v>
      </c>
      <c r="E447" s="155">
        <f t="shared" si="47"/>
        <v>0</v>
      </c>
      <c r="F447" s="469"/>
      <c r="G447" s="254">
        <f>792000-182000-610000</f>
        <v>0</v>
      </c>
      <c r="H447" s="155"/>
      <c r="I447" s="274"/>
      <c r="J447" s="162"/>
      <c r="K447" s="155"/>
      <c r="L447" s="415"/>
      <c r="M447" s="160"/>
      <c r="N447" s="162"/>
      <c r="O447" s="387"/>
      <c r="P447" s="155"/>
      <c r="Q447" s="155"/>
      <c r="R447" s="366"/>
    </row>
    <row r="448" spans="1:18" s="11" customFormat="1" ht="48.75" hidden="1" thickBot="1">
      <c r="A448" s="164"/>
      <c r="B448" s="233" t="s">
        <v>633</v>
      </c>
      <c r="C448" s="234"/>
      <c r="D448" s="236">
        <f t="shared" si="49"/>
        <v>0</v>
      </c>
      <c r="E448" s="236">
        <f t="shared" si="47"/>
        <v>0</v>
      </c>
      <c r="F448" s="468" t="e">
        <f aca="true" t="shared" si="50" ref="F448:F510">E448/D448*100</f>
        <v>#DIV/0!</v>
      </c>
      <c r="G448" s="234"/>
      <c r="H448" s="236"/>
      <c r="I448" s="224" t="e">
        <f t="shared" si="45"/>
        <v>#DIV/0!</v>
      </c>
      <c r="J448" s="237"/>
      <c r="K448" s="236"/>
      <c r="L448" s="391"/>
      <c r="M448" s="234"/>
      <c r="N448" s="237"/>
      <c r="O448" s="391"/>
      <c r="P448" s="236"/>
      <c r="Q448" s="236"/>
      <c r="R448" s="369"/>
    </row>
    <row r="449" spans="1:18" s="11" customFormat="1" ht="25.5" customHeight="1" hidden="1">
      <c r="A449" s="164"/>
      <c r="B449" s="233" t="s">
        <v>634</v>
      </c>
      <c r="C449" s="234"/>
      <c r="D449" s="236">
        <f t="shared" si="49"/>
        <v>0</v>
      </c>
      <c r="E449" s="236">
        <f t="shared" si="47"/>
        <v>0</v>
      </c>
      <c r="F449" s="468" t="e">
        <f t="shared" si="50"/>
        <v>#DIV/0!</v>
      </c>
      <c r="G449" s="234"/>
      <c r="H449" s="236"/>
      <c r="I449" s="224" t="e">
        <f>H449/G449*100</f>
        <v>#DIV/0!</v>
      </c>
      <c r="J449" s="237"/>
      <c r="K449" s="236"/>
      <c r="L449" s="391"/>
      <c r="M449" s="234"/>
      <c r="N449" s="237"/>
      <c r="O449" s="391"/>
      <c r="P449" s="236"/>
      <c r="Q449" s="236"/>
      <c r="R449" s="369"/>
    </row>
    <row r="450" spans="1:18" s="118" customFormat="1" ht="81.75" customHeight="1" thickBot="1" thickTop="1">
      <c r="A450" s="114">
        <v>751</v>
      </c>
      <c r="B450" s="115" t="s">
        <v>635</v>
      </c>
      <c r="C450" s="116">
        <f>C451+C477</f>
        <v>17910</v>
      </c>
      <c r="D450" s="59">
        <f t="shared" si="49"/>
        <v>15917</v>
      </c>
      <c r="E450" s="107">
        <f>H450+K450+Q450+N450</f>
        <v>3971</v>
      </c>
      <c r="F450" s="496">
        <f t="shared" si="50"/>
        <v>24.948168624740845</v>
      </c>
      <c r="G450" s="116"/>
      <c r="H450" s="107"/>
      <c r="I450" s="390"/>
      <c r="J450" s="107">
        <f>SUM(J451+J477)+J465+J458</f>
        <v>15917</v>
      </c>
      <c r="K450" s="117">
        <f>K451+K477+K465+K458</f>
        <v>3971</v>
      </c>
      <c r="L450" s="354">
        <f aca="true" t="shared" si="51" ref="L450:L482">K450/J450*100</f>
        <v>24.948168624740845</v>
      </c>
      <c r="M450" s="116"/>
      <c r="N450" s="117"/>
      <c r="O450" s="390"/>
      <c r="P450" s="107"/>
      <c r="Q450" s="107"/>
      <c r="R450" s="373"/>
    </row>
    <row r="451" spans="1:18" s="118" customFormat="1" ht="48.75" thickTop="1">
      <c r="A451" s="188">
        <v>75101</v>
      </c>
      <c r="B451" s="189" t="s">
        <v>636</v>
      </c>
      <c r="C451" s="190">
        <f>SUM(C452:C457)</f>
        <v>17910</v>
      </c>
      <c r="D451" s="122">
        <f t="shared" si="49"/>
        <v>15917</v>
      </c>
      <c r="E451" s="192">
        <f>SUM(E452:E457)</f>
        <v>3971</v>
      </c>
      <c r="F451" s="469">
        <f t="shared" si="50"/>
        <v>24.948168624740845</v>
      </c>
      <c r="G451" s="190"/>
      <c r="H451" s="192"/>
      <c r="I451" s="387"/>
      <c r="J451" s="192">
        <f>SUM(J452:J457)</f>
        <v>15917</v>
      </c>
      <c r="K451" s="192">
        <f>SUM(K452:K457)</f>
        <v>3971</v>
      </c>
      <c r="L451" s="462">
        <f t="shared" si="51"/>
        <v>24.948168624740845</v>
      </c>
      <c r="M451" s="190"/>
      <c r="N451" s="193"/>
      <c r="O451" s="387"/>
      <c r="P451" s="192"/>
      <c r="Q451" s="192"/>
      <c r="R451" s="366"/>
    </row>
    <row r="452" spans="1:18" s="12" customFormat="1" ht="24">
      <c r="A452" s="172">
        <v>4110</v>
      </c>
      <c r="B452" s="128" t="s">
        <v>498</v>
      </c>
      <c r="C452" s="174">
        <v>2320</v>
      </c>
      <c r="D452" s="74">
        <f t="shared" si="49"/>
        <v>2012</v>
      </c>
      <c r="E452" s="89">
        <f aca="true" t="shared" si="52" ref="E452:E488">SUM(H452+K452+N452+Q452)</f>
        <v>513</v>
      </c>
      <c r="F452" s="468">
        <f t="shared" si="50"/>
        <v>25.497017892644138</v>
      </c>
      <c r="G452" s="174"/>
      <c r="H452" s="74"/>
      <c r="I452" s="368"/>
      <c r="J452" s="223">
        <f>2320-308</f>
        <v>2012</v>
      </c>
      <c r="K452" s="74">
        <v>513</v>
      </c>
      <c r="L452" s="442">
        <f t="shared" si="51"/>
        <v>25.497017892644138</v>
      </c>
      <c r="M452" s="174"/>
      <c r="N452" s="175"/>
      <c r="O452" s="368"/>
      <c r="P452" s="74"/>
      <c r="Q452" s="74"/>
      <c r="R452" s="362"/>
    </row>
    <row r="453" spans="1:18" s="12" customFormat="1" ht="12.75">
      <c r="A453" s="172">
        <v>4120</v>
      </c>
      <c r="B453" s="128" t="s">
        <v>637</v>
      </c>
      <c r="C453" s="174">
        <v>330</v>
      </c>
      <c r="D453" s="74">
        <f t="shared" si="49"/>
        <v>286</v>
      </c>
      <c r="E453" s="89">
        <f t="shared" si="52"/>
        <v>83</v>
      </c>
      <c r="F453" s="468">
        <f t="shared" si="50"/>
        <v>29.02097902097902</v>
      </c>
      <c r="G453" s="174"/>
      <c r="H453" s="74"/>
      <c r="I453" s="368"/>
      <c r="J453" s="223">
        <f>330-44</f>
        <v>286</v>
      </c>
      <c r="K453" s="74">
        <v>83</v>
      </c>
      <c r="L453" s="442">
        <f t="shared" si="51"/>
        <v>29.02097902097902</v>
      </c>
      <c r="M453" s="174"/>
      <c r="N453" s="175"/>
      <c r="O453" s="368"/>
      <c r="P453" s="74"/>
      <c r="Q453" s="74"/>
      <c r="R453" s="362"/>
    </row>
    <row r="454" spans="1:18" s="12" customFormat="1" ht="24">
      <c r="A454" s="172">
        <v>4170</v>
      </c>
      <c r="B454" s="128" t="s">
        <v>536</v>
      </c>
      <c r="C454" s="174">
        <v>13500</v>
      </c>
      <c r="D454" s="74">
        <f t="shared" si="49"/>
        <v>11700</v>
      </c>
      <c r="E454" s="89">
        <f t="shared" si="52"/>
        <v>3375</v>
      </c>
      <c r="F454" s="468">
        <f t="shared" si="50"/>
        <v>28.846153846153843</v>
      </c>
      <c r="G454" s="174"/>
      <c r="H454" s="74"/>
      <c r="I454" s="368"/>
      <c r="J454" s="223">
        <f>13500-1800</f>
        <v>11700</v>
      </c>
      <c r="K454" s="74">
        <v>3375</v>
      </c>
      <c r="L454" s="442">
        <f t="shared" si="51"/>
        <v>28.846153846153843</v>
      </c>
      <c r="M454" s="174"/>
      <c r="N454" s="175"/>
      <c r="O454" s="368"/>
      <c r="P454" s="74"/>
      <c r="Q454" s="74"/>
      <c r="R454" s="362"/>
    </row>
    <row r="455" spans="1:18" s="12" customFormat="1" ht="24.75" thickBot="1">
      <c r="A455" s="124">
        <v>4210</v>
      </c>
      <c r="B455" s="128" t="s">
        <v>638</v>
      </c>
      <c r="C455" s="174">
        <v>1760</v>
      </c>
      <c r="D455" s="74">
        <f t="shared" si="49"/>
        <v>1919</v>
      </c>
      <c r="E455" s="89">
        <f t="shared" si="52"/>
        <v>0</v>
      </c>
      <c r="F455" s="468">
        <f t="shared" si="50"/>
        <v>0</v>
      </c>
      <c r="G455" s="174"/>
      <c r="H455" s="74"/>
      <c r="I455" s="368"/>
      <c r="J455" s="223">
        <f>1760+159</f>
        <v>1919</v>
      </c>
      <c r="K455" s="74"/>
      <c r="L455" s="442">
        <f t="shared" si="51"/>
        <v>0</v>
      </c>
      <c r="M455" s="174"/>
      <c r="N455" s="175"/>
      <c r="O455" s="368"/>
      <c r="P455" s="74"/>
      <c r="Q455" s="74"/>
      <c r="R455" s="362"/>
    </row>
    <row r="456" spans="1:18" s="12" customFormat="1" ht="60.75" hidden="1" thickBot="1">
      <c r="A456" s="172">
        <v>4740</v>
      </c>
      <c r="B456" s="337" t="s">
        <v>290</v>
      </c>
      <c r="C456" s="174"/>
      <c r="D456" s="74">
        <f>G456+J456+P456+M456</f>
        <v>0</v>
      </c>
      <c r="E456" s="89">
        <f>SUM(H456+K456+N456+Q456)</f>
        <v>0</v>
      </c>
      <c r="F456" s="468" t="e">
        <f>E456/D456*100</f>
        <v>#DIV/0!</v>
      </c>
      <c r="G456" s="174"/>
      <c r="H456" s="74"/>
      <c r="I456" s="368"/>
      <c r="J456" s="223"/>
      <c r="K456" s="74"/>
      <c r="L456" s="442" t="e">
        <f t="shared" si="51"/>
        <v>#DIV/0!</v>
      </c>
      <c r="M456" s="174"/>
      <c r="N456" s="175"/>
      <c r="O456" s="368"/>
      <c r="P456" s="74"/>
      <c r="Q456" s="74"/>
      <c r="R456" s="362"/>
    </row>
    <row r="457" spans="1:18" s="118" customFormat="1" ht="36.75" hidden="1" thickBot="1">
      <c r="A457" s="172">
        <v>4750</v>
      </c>
      <c r="B457" s="337" t="s">
        <v>291</v>
      </c>
      <c r="C457" s="88"/>
      <c r="D457" s="74">
        <f t="shared" si="49"/>
        <v>0</v>
      </c>
      <c r="E457" s="89">
        <f t="shared" si="52"/>
        <v>0</v>
      </c>
      <c r="F457" s="468" t="e">
        <f t="shared" si="50"/>
        <v>#DIV/0!</v>
      </c>
      <c r="G457" s="88"/>
      <c r="H457" s="89"/>
      <c r="I457" s="368"/>
      <c r="J457" s="154"/>
      <c r="K457" s="89"/>
      <c r="L457" s="442" t="e">
        <f t="shared" si="51"/>
        <v>#DIV/0!</v>
      </c>
      <c r="M457" s="88"/>
      <c r="N457" s="126"/>
      <c r="O457" s="368"/>
      <c r="P457" s="89"/>
      <c r="Q457" s="89"/>
      <c r="R457" s="362"/>
    </row>
    <row r="458" spans="1:18" s="118" customFormat="1" ht="36.75" hidden="1" thickBot="1">
      <c r="A458" s="150">
        <v>75107</v>
      </c>
      <c r="B458" s="187" t="s">
        <v>639</v>
      </c>
      <c r="C458" s="94"/>
      <c r="D458" s="95">
        <f t="shared" si="49"/>
        <v>0</v>
      </c>
      <c r="E458" s="95">
        <f t="shared" si="52"/>
        <v>0</v>
      </c>
      <c r="F458" s="448" t="e">
        <f t="shared" si="50"/>
        <v>#DIV/0!</v>
      </c>
      <c r="G458" s="94"/>
      <c r="H458" s="95"/>
      <c r="I458" s="381"/>
      <c r="J458" s="219">
        <f>SUM(J459:J464)</f>
        <v>0</v>
      </c>
      <c r="K458" s="95">
        <f>SUM(K459:K464)</f>
        <v>0</v>
      </c>
      <c r="L458" s="448" t="e">
        <f t="shared" si="51"/>
        <v>#DIV/0!</v>
      </c>
      <c r="M458" s="94"/>
      <c r="N458" s="171"/>
      <c r="O458" s="402"/>
      <c r="P458" s="171"/>
      <c r="Q458" s="95"/>
      <c r="R458" s="370"/>
    </row>
    <row r="459" spans="1:18" s="118" customFormat="1" ht="24.75" hidden="1" thickBot="1">
      <c r="A459" s="172">
        <v>3030</v>
      </c>
      <c r="B459" s="206" t="s">
        <v>490</v>
      </c>
      <c r="C459" s="88"/>
      <c r="D459" s="74">
        <f t="shared" si="49"/>
        <v>0</v>
      </c>
      <c r="E459" s="89">
        <f t="shared" si="52"/>
        <v>0</v>
      </c>
      <c r="F459" s="468" t="e">
        <f t="shared" si="50"/>
        <v>#DIV/0!</v>
      </c>
      <c r="G459" s="88"/>
      <c r="H459" s="89"/>
      <c r="I459" s="368"/>
      <c r="J459" s="220"/>
      <c r="K459" s="89"/>
      <c r="L459" s="442" t="e">
        <f t="shared" si="51"/>
        <v>#DIV/0!</v>
      </c>
      <c r="M459" s="88"/>
      <c r="N459" s="126"/>
      <c r="O459" s="368"/>
      <c r="P459" s="126"/>
      <c r="Q459" s="89"/>
      <c r="R459" s="362"/>
    </row>
    <row r="460" spans="1:18" s="118" customFormat="1" ht="24.75" hidden="1" thickBot="1">
      <c r="A460" s="172">
        <v>4110</v>
      </c>
      <c r="B460" s="206" t="s">
        <v>498</v>
      </c>
      <c r="C460" s="88"/>
      <c r="D460" s="74">
        <f t="shared" si="49"/>
        <v>0</v>
      </c>
      <c r="E460" s="89">
        <f t="shared" si="52"/>
        <v>0</v>
      </c>
      <c r="F460" s="468" t="e">
        <f t="shared" si="50"/>
        <v>#DIV/0!</v>
      </c>
      <c r="G460" s="88"/>
      <c r="H460" s="89"/>
      <c r="I460" s="368"/>
      <c r="J460" s="220"/>
      <c r="K460" s="89"/>
      <c r="L460" s="442" t="e">
        <f t="shared" si="51"/>
        <v>#DIV/0!</v>
      </c>
      <c r="M460" s="88"/>
      <c r="N460" s="126"/>
      <c r="O460" s="368"/>
      <c r="P460" s="126"/>
      <c r="Q460" s="89"/>
      <c r="R460" s="362"/>
    </row>
    <row r="461" spans="1:18" s="118" customFormat="1" ht="13.5" hidden="1" thickBot="1">
      <c r="A461" s="172">
        <v>4120</v>
      </c>
      <c r="B461" s="206" t="s">
        <v>571</v>
      </c>
      <c r="C461" s="88"/>
      <c r="D461" s="74">
        <f t="shared" si="49"/>
        <v>0</v>
      </c>
      <c r="E461" s="89">
        <f t="shared" si="52"/>
        <v>0</v>
      </c>
      <c r="F461" s="468" t="e">
        <f t="shared" si="50"/>
        <v>#DIV/0!</v>
      </c>
      <c r="G461" s="88"/>
      <c r="H461" s="89"/>
      <c r="I461" s="368"/>
      <c r="J461" s="220"/>
      <c r="K461" s="89"/>
      <c r="L461" s="442" t="e">
        <f t="shared" si="51"/>
        <v>#DIV/0!</v>
      </c>
      <c r="M461" s="88"/>
      <c r="N461" s="126"/>
      <c r="O461" s="368"/>
      <c r="P461" s="126"/>
      <c r="Q461" s="89"/>
      <c r="R461" s="362"/>
    </row>
    <row r="462" spans="1:18" s="118" customFormat="1" ht="24.75" hidden="1" thickBot="1">
      <c r="A462" s="124">
        <v>4170</v>
      </c>
      <c r="B462" s="128" t="s">
        <v>536</v>
      </c>
      <c r="C462" s="88"/>
      <c r="D462" s="74">
        <f t="shared" si="49"/>
        <v>0</v>
      </c>
      <c r="E462" s="89">
        <f t="shared" si="52"/>
        <v>0</v>
      </c>
      <c r="F462" s="468" t="e">
        <f t="shared" si="50"/>
        <v>#DIV/0!</v>
      </c>
      <c r="G462" s="88"/>
      <c r="H462" s="89"/>
      <c r="I462" s="368"/>
      <c r="J462" s="220"/>
      <c r="K462" s="89"/>
      <c r="L462" s="442" t="e">
        <f t="shared" si="51"/>
        <v>#DIV/0!</v>
      </c>
      <c r="M462" s="88"/>
      <c r="N462" s="126"/>
      <c r="O462" s="368"/>
      <c r="P462" s="126"/>
      <c r="Q462" s="89"/>
      <c r="R462" s="362"/>
    </row>
    <row r="463" spans="1:18" s="118" customFormat="1" ht="24.75" hidden="1" thickBot="1">
      <c r="A463" s="124">
        <v>4210</v>
      </c>
      <c r="B463" s="128" t="s">
        <v>502</v>
      </c>
      <c r="C463" s="88"/>
      <c r="D463" s="74">
        <f t="shared" si="49"/>
        <v>0</v>
      </c>
      <c r="E463" s="89">
        <f t="shared" si="52"/>
        <v>0</v>
      </c>
      <c r="F463" s="468" t="e">
        <f t="shared" si="50"/>
        <v>#DIV/0!</v>
      </c>
      <c r="G463" s="88"/>
      <c r="H463" s="89"/>
      <c r="I463" s="368"/>
      <c r="J463" s="220"/>
      <c r="K463" s="89"/>
      <c r="L463" s="442" t="e">
        <f t="shared" si="51"/>
        <v>#DIV/0!</v>
      </c>
      <c r="M463" s="88"/>
      <c r="N463" s="126"/>
      <c r="O463" s="368"/>
      <c r="P463" s="126"/>
      <c r="Q463" s="89"/>
      <c r="R463" s="362"/>
    </row>
    <row r="464" spans="1:18" s="118" customFormat="1" ht="24.75" hidden="1" thickBot="1">
      <c r="A464" s="124">
        <v>4300</v>
      </c>
      <c r="B464" s="128" t="s">
        <v>510</v>
      </c>
      <c r="C464" s="88"/>
      <c r="D464" s="74">
        <f t="shared" si="49"/>
        <v>0</v>
      </c>
      <c r="E464" s="89">
        <f t="shared" si="52"/>
        <v>0</v>
      </c>
      <c r="F464" s="468" t="e">
        <f t="shared" si="50"/>
        <v>#DIV/0!</v>
      </c>
      <c r="G464" s="88"/>
      <c r="H464" s="89"/>
      <c r="I464" s="368"/>
      <c r="J464" s="220"/>
      <c r="K464" s="89"/>
      <c r="L464" s="442" t="e">
        <f t="shared" si="51"/>
        <v>#DIV/0!</v>
      </c>
      <c r="M464" s="88"/>
      <c r="N464" s="126"/>
      <c r="O464" s="368"/>
      <c r="P464" s="126"/>
      <c r="Q464" s="89"/>
      <c r="R464" s="362"/>
    </row>
    <row r="465" spans="1:18" s="143" customFormat="1" ht="24.75" hidden="1" thickBot="1">
      <c r="A465" s="150">
        <v>75108</v>
      </c>
      <c r="B465" s="187" t="s">
        <v>640</v>
      </c>
      <c r="C465" s="94"/>
      <c r="D465" s="95">
        <f t="shared" si="49"/>
        <v>0</v>
      </c>
      <c r="E465" s="95">
        <f t="shared" si="52"/>
        <v>0</v>
      </c>
      <c r="F465" s="476" t="e">
        <f t="shared" si="50"/>
        <v>#DIV/0!</v>
      </c>
      <c r="G465" s="94"/>
      <c r="H465" s="95"/>
      <c r="I465" s="381"/>
      <c r="J465" s="251">
        <f>SUM(J466:J476)</f>
        <v>0</v>
      </c>
      <c r="K465" s="95">
        <f>SUM(K466:K476)</f>
        <v>0</v>
      </c>
      <c r="L465" s="448" t="e">
        <f t="shared" si="51"/>
        <v>#DIV/0!</v>
      </c>
      <c r="M465" s="94"/>
      <c r="N465" s="171"/>
      <c r="O465" s="402"/>
      <c r="P465" s="171"/>
      <c r="Q465" s="95"/>
      <c r="R465" s="370"/>
    </row>
    <row r="466" spans="1:18" s="12" customFormat="1" ht="35.25" customHeight="1" hidden="1">
      <c r="A466" s="172">
        <v>3020</v>
      </c>
      <c r="B466" s="206" t="s">
        <v>641</v>
      </c>
      <c r="C466" s="174"/>
      <c r="D466" s="74">
        <f t="shared" si="49"/>
        <v>0</v>
      </c>
      <c r="E466" s="89">
        <f t="shared" si="52"/>
        <v>0</v>
      </c>
      <c r="F466" s="468" t="e">
        <f t="shared" si="50"/>
        <v>#DIV/0!</v>
      </c>
      <c r="G466" s="174"/>
      <c r="H466" s="74"/>
      <c r="I466" s="368"/>
      <c r="J466" s="74"/>
      <c r="K466" s="175">
        <v>0</v>
      </c>
      <c r="L466" s="442" t="e">
        <f t="shared" si="51"/>
        <v>#DIV/0!</v>
      </c>
      <c r="M466" s="174"/>
      <c r="N466" s="175"/>
      <c r="O466" s="368"/>
      <c r="P466" s="175"/>
      <c r="Q466" s="74"/>
      <c r="R466" s="362"/>
    </row>
    <row r="467" spans="1:18" s="12" customFormat="1" ht="24.75" customHeight="1" hidden="1">
      <c r="A467" s="172">
        <v>3030</v>
      </c>
      <c r="B467" s="206" t="s">
        <v>490</v>
      </c>
      <c r="C467" s="174"/>
      <c r="D467" s="74">
        <f t="shared" si="49"/>
        <v>0</v>
      </c>
      <c r="E467" s="89">
        <f t="shared" si="52"/>
        <v>0</v>
      </c>
      <c r="F467" s="468" t="e">
        <f t="shared" si="50"/>
        <v>#DIV/0!</v>
      </c>
      <c r="G467" s="174"/>
      <c r="H467" s="74"/>
      <c r="I467" s="368"/>
      <c r="J467" s="74"/>
      <c r="K467" s="175"/>
      <c r="L467" s="442" t="e">
        <f t="shared" si="51"/>
        <v>#DIV/0!</v>
      </c>
      <c r="M467" s="174"/>
      <c r="N467" s="175"/>
      <c r="O467" s="368"/>
      <c r="P467" s="175"/>
      <c r="Q467" s="74"/>
      <c r="R467" s="362"/>
    </row>
    <row r="468" spans="1:18" s="12" customFormat="1" ht="24.75" customHeight="1" hidden="1">
      <c r="A468" s="172">
        <v>4110</v>
      </c>
      <c r="B468" s="206" t="s">
        <v>498</v>
      </c>
      <c r="C468" s="174"/>
      <c r="D468" s="74">
        <f t="shared" si="49"/>
        <v>0</v>
      </c>
      <c r="E468" s="89">
        <f t="shared" si="52"/>
        <v>0</v>
      </c>
      <c r="F468" s="468" t="e">
        <f t="shared" si="50"/>
        <v>#DIV/0!</v>
      </c>
      <c r="G468" s="174"/>
      <c r="H468" s="74"/>
      <c r="I468" s="368"/>
      <c r="J468" s="74"/>
      <c r="K468" s="175"/>
      <c r="L468" s="442" t="e">
        <f t="shared" si="51"/>
        <v>#DIV/0!</v>
      </c>
      <c r="M468" s="174"/>
      <c r="N468" s="175"/>
      <c r="O468" s="368"/>
      <c r="P468" s="175"/>
      <c r="Q468" s="74"/>
      <c r="R468" s="362"/>
    </row>
    <row r="469" spans="1:18" s="12" customFormat="1" ht="15" customHeight="1" hidden="1">
      <c r="A469" s="172">
        <v>4120</v>
      </c>
      <c r="B469" s="206" t="s">
        <v>571</v>
      </c>
      <c r="C469" s="174"/>
      <c r="D469" s="74">
        <f t="shared" si="49"/>
        <v>0</v>
      </c>
      <c r="E469" s="89">
        <f t="shared" si="52"/>
        <v>0</v>
      </c>
      <c r="F469" s="468" t="e">
        <f t="shared" si="50"/>
        <v>#DIV/0!</v>
      </c>
      <c r="G469" s="174"/>
      <c r="H469" s="74"/>
      <c r="I469" s="368"/>
      <c r="J469" s="74"/>
      <c r="K469" s="175"/>
      <c r="L469" s="442" t="e">
        <f t="shared" si="51"/>
        <v>#DIV/0!</v>
      </c>
      <c r="M469" s="174"/>
      <c r="N469" s="175"/>
      <c r="O469" s="368"/>
      <c r="P469" s="175"/>
      <c r="Q469" s="74"/>
      <c r="R469" s="362"/>
    </row>
    <row r="470" spans="1:18" s="118" customFormat="1" ht="26.25" customHeight="1" hidden="1">
      <c r="A470" s="124">
        <v>4170</v>
      </c>
      <c r="B470" s="128" t="s">
        <v>536</v>
      </c>
      <c r="C470" s="88"/>
      <c r="D470" s="74">
        <f t="shared" si="49"/>
        <v>0</v>
      </c>
      <c r="E470" s="89">
        <f t="shared" si="52"/>
        <v>0</v>
      </c>
      <c r="F470" s="468" t="e">
        <f t="shared" si="50"/>
        <v>#DIV/0!</v>
      </c>
      <c r="G470" s="88"/>
      <c r="H470" s="89"/>
      <c r="I470" s="368"/>
      <c r="J470" s="89"/>
      <c r="K470" s="126"/>
      <c r="L470" s="442" t="e">
        <f t="shared" si="51"/>
        <v>#DIV/0!</v>
      </c>
      <c r="M470" s="88"/>
      <c r="N470" s="126"/>
      <c r="O470" s="368"/>
      <c r="P470" s="126"/>
      <c r="Q470" s="89"/>
      <c r="R470" s="362"/>
    </row>
    <row r="471" spans="1:18" s="118" customFormat="1" ht="24.75" customHeight="1" hidden="1">
      <c r="A471" s="124">
        <v>4210</v>
      </c>
      <c r="B471" s="128" t="s">
        <v>502</v>
      </c>
      <c r="C471" s="88"/>
      <c r="D471" s="74">
        <f t="shared" si="49"/>
        <v>0</v>
      </c>
      <c r="E471" s="89">
        <f t="shared" si="52"/>
        <v>0</v>
      </c>
      <c r="F471" s="468" t="e">
        <f t="shared" si="50"/>
        <v>#DIV/0!</v>
      </c>
      <c r="G471" s="88"/>
      <c r="H471" s="89"/>
      <c r="I471" s="368"/>
      <c r="J471" s="89"/>
      <c r="K471" s="126"/>
      <c r="L471" s="442" t="e">
        <f t="shared" si="51"/>
        <v>#DIV/0!</v>
      </c>
      <c r="M471" s="88"/>
      <c r="N471" s="126"/>
      <c r="O471" s="368"/>
      <c r="P471" s="126"/>
      <c r="Q471" s="89"/>
      <c r="R471" s="362"/>
    </row>
    <row r="472" spans="1:18" s="118" customFormat="1" ht="13.5" hidden="1" thickBot="1">
      <c r="A472" s="124">
        <v>4260</v>
      </c>
      <c r="B472" s="128" t="s">
        <v>506</v>
      </c>
      <c r="C472" s="88"/>
      <c r="D472" s="74">
        <f t="shared" si="49"/>
        <v>0</v>
      </c>
      <c r="E472" s="89">
        <f>SUM(H472+K472+N472+Q472)</f>
        <v>0</v>
      </c>
      <c r="F472" s="468" t="e">
        <f>E472/D472*100</f>
        <v>#DIV/0!</v>
      </c>
      <c r="G472" s="88"/>
      <c r="H472" s="89"/>
      <c r="I472" s="368"/>
      <c r="J472" s="89">
        <f>50-50</f>
        <v>0</v>
      </c>
      <c r="K472" s="126"/>
      <c r="L472" s="442" t="e">
        <f t="shared" si="51"/>
        <v>#DIV/0!</v>
      </c>
      <c r="M472" s="88"/>
      <c r="N472" s="126"/>
      <c r="O472" s="368"/>
      <c r="P472" s="126"/>
      <c r="Q472" s="89"/>
      <c r="R472" s="362"/>
    </row>
    <row r="473" spans="1:18" s="118" customFormat="1" ht="24.75" hidden="1" thickBot="1">
      <c r="A473" s="124">
        <v>4300</v>
      </c>
      <c r="B473" s="128" t="s">
        <v>546</v>
      </c>
      <c r="C473" s="88"/>
      <c r="D473" s="74">
        <f t="shared" si="49"/>
        <v>0</v>
      </c>
      <c r="E473" s="89">
        <f>SUM(H473+K473+N473+Q473)</f>
        <v>0</v>
      </c>
      <c r="F473" s="468" t="e">
        <f>E473/D473*100</f>
        <v>#DIV/0!</v>
      </c>
      <c r="G473" s="88"/>
      <c r="H473" s="89"/>
      <c r="I473" s="368"/>
      <c r="J473" s="89"/>
      <c r="K473" s="126"/>
      <c r="L473" s="442" t="e">
        <f t="shared" si="51"/>
        <v>#DIV/0!</v>
      </c>
      <c r="M473" s="88"/>
      <c r="N473" s="126"/>
      <c r="O473" s="368"/>
      <c r="P473" s="126"/>
      <c r="Q473" s="89"/>
      <c r="R473" s="362"/>
    </row>
    <row r="474" spans="1:18" s="118" customFormat="1" ht="48.75" hidden="1" thickBot="1">
      <c r="A474" s="242">
        <v>4370</v>
      </c>
      <c r="B474" s="337" t="s">
        <v>298</v>
      </c>
      <c r="C474" s="88"/>
      <c r="D474" s="74">
        <f t="shared" si="49"/>
        <v>0</v>
      </c>
      <c r="E474" s="89">
        <f>SUM(H474+K474+N474+Q474)</f>
        <v>0</v>
      </c>
      <c r="F474" s="468" t="e">
        <f>E474/D474*100</f>
        <v>#DIV/0!</v>
      </c>
      <c r="G474" s="88"/>
      <c r="H474" s="89"/>
      <c r="I474" s="368"/>
      <c r="J474" s="89"/>
      <c r="K474" s="126"/>
      <c r="L474" s="442" t="e">
        <f t="shared" si="51"/>
        <v>#DIV/0!</v>
      </c>
      <c r="M474" s="88"/>
      <c r="N474" s="126"/>
      <c r="O474" s="368"/>
      <c r="P474" s="126"/>
      <c r="Q474" s="89"/>
      <c r="R474" s="362"/>
    </row>
    <row r="475" spans="1:18" s="118" customFormat="1" ht="60.75" hidden="1" thickBot="1">
      <c r="A475" s="172">
        <v>4740</v>
      </c>
      <c r="B475" s="337" t="s">
        <v>290</v>
      </c>
      <c r="C475" s="88"/>
      <c r="D475" s="74">
        <f t="shared" si="49"/>
        <v>0</v>
      </c>
      <c r="E475" s="89">
        <f>SUM(H475+K475+N475+Q475)</f>
        <v>0</v>
      </c>
      <c r="F475" s="468" t="e">
        <f>E475/D475*100</f>
        <v>#DIV/0!</v>
      </c>
      <c r="G475" s="88"/>
      <c r="H475" s="89"/>
      <c r="I475" s="368"/>
      <c r="J475" s="89"/>
      <c r="K475" s="126"/>
      <c r="L475" s="442" t="e">
        <f t="shared" si="51"/>
        <v>#DIV/0!</v>
      </c>
      <c r="M475" s="88"/>
      <c r="N475" s="126"/>
      <c r="O475" s="368"/>
      <c r="P475" s="126"/>
      <c r="Q475" s="89"/>
      <c r="R475" s="362"/>
    </row>
    <row r="476" spans="1:18" s="118" customFormat="1" ht="36.75" hidden="1" thickBot="1">
      <c r="A476" s="172">
        <v>4750</v>
      </c>
      <c r="B476" s="337" t="s">
        <v>291</v>
      </c>
      <c r="C476" s="88"/>
      <c r="D476" s="161">
        <f t="shared" si="49"/>
        <v>0</v>
      </c>
      <c r="E476" s="155">
        <f t="shared" si="52"/>
        <v>0</v>
      </c>
      <c r="F476" s="468" t="e">
        <f t="shared" si="50"/>
        <v>#DIV/0!</v>
      </c>
      <c r="G476" s="160"/>
      <c r="H476" s="155"/>
      <c r="I476" s="387"/>
      <c r="J476" s="155"/>
      <c r="K476" s="162"/>
      <c r="L476" s="442" t="e">
        <f t="shared" si="51"/>
        <v>#DIV/0!</v>
      </c>
      <c r="M476" s="160"/>
      <c r="N476" s="162"/>
      <c r="O476" s="387"/>
      <c r="P476" s="162"/>
      <c r="Q476" s="155"/>
      <c r="R476" s="366"/>
    </row>
    <row r="477" spans="1:18" s="143" customFormat="1" ht="27.75" customHeight="1" hidden="1">
      <c r="A477" s="150">
        <v>75110</v>
      </c>
      <c r="B477" s="187" t="s">
        <v>0</v>
      </c>
      <c r="C477" s="252"/>
      <c r="D477" s="74">
        <f t="shared" si="49"/>
        <v>0</v>
      </c>
      <c r="E477" s="89">
        <f t="shared" si="52"/>
        <v>0</v>
      </c>
      <c r="F477" s="467" t="e">
        <f t="shared" si="50"/>
        <v>#DIV/0!</v>
      </c>
      <c r="G477" s="252"/>
      <c r="H477" s="147"/>
      <c r="I477" s="381"/>
      <c r="J477" s="95">
        <f>SUM(J478:J482)</f>
        <v>0</v>
      </c>
      <c r="K477" s="95">
        <f>SUM(K478:K482)</f>
        <v>0</v>
      </c>
      <c r="L477" s="271" t="e">
        <f t="shared" si="51"/>
        <v>#DIV/0!</v>
      </c>
      <c r="M477" s="94"/>
      <c r="N477" s="171"/>
      <c r="O477" s="402"/>
      <c r="P477" s="171"/>
      <c r="Q477" s="95"/>
      <c r="R477" s="370"/>
    </row>
    <row r="478" spans="1:18" s="12" customFormat="1" ht="27.75" customHeight="1" hidden="1">
      <c r="A478" s="172">
        <v>3030</v>
      </c>
      <c r="B478" s="206" t="s">
        <v>490</v>
      </c>
      <c r="C478" s="174"/>
      <c r="D478" s="74">
        <f t="shared" si="49"/>
        <v>0</v>
      </c>
      <c r="E478" s="89">
        <f t="shared" si="52"/>
        <v>0</v>
      </c>
      <c r="F478" s="468" t="e">
        <f t="shared" si="50"/>
        <v>#DIV/0!</v>
      </c>
      <c r="G478" s="102"/>
      <c r="H478" s="103"/>
      <c r="I478" s="388"/>
      <c r="J478" s="103"/>
      <c r="K478" s="196"/>
      <c r="L478" s="304" t="e">
        <f t="shared" si="51"/>
        <v>#DIV/0!</v>
      </c>
      <c r="M478" s="102"/>
      <c r="N478" s="196"/>
      <c r="O478" s="368"/>
      <c r="P478" s="175"/>
      <c r="Q478" s="74"/>
      <c r="R478" s="362"/>
    </row>
    <row r="479" spans="1:18" s="12" customFormat="1" ht="27.75" customHeight="1" hidden="1">
      <c r="A479" s="172">
        <v>4110</v>
      </c>
      <c r="B479" s="206" t="s">
        <v>498</v>
      </c>
      <c r="C479" s="174"/>
      <c r="D479" s="74">
        <f t="shared" si="49"/>
        <v>0</v>
      </c>
      <c r="E479" s="89">
        <f t="shared" si="52"/>
        <v>0</v>
      </c>
      <c r="F479" s="468" t="e">
        <f t="shared" si="50"/>
        <v>#DIV/0!</v>
      </c>
      <c r="G479" s="174"/>
      <c r="H479" s="74"/>
      <c r="I479" s="368"/>
      <c r="J479" s="74"/>
      <c r="K479" s="175"/>
      <c r="L479" s="224" t="e">
        <f t="shared" si="51"/>
        <v>#DIV/0!</v>
      </c>
      <c r="M479" s="174"/>
      <c r="N479" s="175"/>
      <c r="O479" s="368"/>
      <c r="P479" s="175"/>
      <c r="Q479" s="74"/>
      <c r="R479" s="362"/>
    </row>
    <row r="480" spans="1:18" s="12" customFormat="1" ht="27.75" customHeight="1" hidden="1">
      <c r="A480" s="172">
        <v>4120</v>
      </c>
      <c r="B480" s="206" t="s">
        <v>578</v>
      </c>
      <c r="C480" s="174"/>
      <c r="D480" s="74">
        <f t="shared" si="49"/>
        <v>0</v>
      </c>
      <c r="E480" s="89">
        <f t="shared" si="52"/>
        <v>0</v>
      </c>
      <c r="F480" s="468" t="e">
        <f t="shared" si="50"/>
        <v>#DIV/0!</v>
      </c>
      <c r="G480" s="174"/>
      <c r="H480" s="74"/>
      <c r="I480" s="368"/>
      <c r="J480" s="74"/>
      <c r="K480" s="175"/>
      <c r="L480" s="224" t="e">
        <f t="shared" si="51"/>
        <v>#DIV/0!</v>
      </c>
      <c r="M480" s="174"/>
      <c r="N480" s="175"/>
      <c r="O480" s="368"/>
      <c r="P480" s="175"/>
      <c r="Q480" s="74"/>
      <c r="R480" s="362"/>
    </row>
    <row r="481" spans="1:18" s="118" customFormat="1" ht="25.5" customHeight="1" hidden="1">
      <c r="A481" s="124">
        <v>4210</v>
      </c>
      <c r="B481" s="128" t="s">
        <v>502</v>
      </c>
      <c r="C481" s="88"/>
      <c r="D481" s="74">
        <f t="shared" si="49"/>
        <v>0</v>
      </c>
      <c r="E481" s="89">
        <f t="shared" si="52"/>
        <v>0</v>
      </c>
      <c r="F481" s="468" t="e">
        <f t="shared" si="50"/>
        <v>#DIV/0!</v>
      </c>
      <c r="G481" s="88"/>
      <c r="H481" s="89"/>
      <c r="I481" s="368"/>
      <c r="J481" s="89"/>
      <c r="K481" s="126"/>
      <c r="L481" s="224" t="e">
        <f t="shared" si="51"/>
        <v>#DIV/0!</v>
      </c>
      <c r="M481" s="88"/>
      <c r="N481" s="126"/>
      <c r="O481" s="368"/>
      <c r="P481" s="126"/>
      <c r="Q481" s="89"/>
      <c r="R481" s="362"/>
    </row>
    <row r="482" spans="1:18" s="118" customFormat="1" ht="26.25" customHeight="1" hidden="1">
      <c r="A482" s="124">
        <v>4300</v>
      </c>
      <c r="B482" s="128" t="s">
        <v>510</v>
      </c>
      <c r="C482" s="88"/>
      <c r="D482" s="74">
        <f t="shared" si="49"/>
        <v>0</v>
      </c>
      <c r="E482" s="89">
        <f t="shared" si="52"/>
        <v>0</v>
      </c>
      <c r="F482" s="468" t="e">
        <f t="shared" si="50"/>
        <v>#DIV/0!</v>
      </c>
      <c r="G482" s="88"/>
      <c r="H482" s="89"/>
      <c r="I482" s="368"/>
      <c r="J482" s="89"/>
      <c r="K482" s="126"/>
      <c r="L482" s="224" t="e">
        <f t="shared" si="51"/>
        <v>#DIV/0!</v>
      </c>
      <c r="M482" s="88"/>
      <c r="N482" s="126"/>
      <c r="O482" s="368"/>
      <c r="P482" s="126"/>
      <c r="Q482" s="89"/>
      <c r="R482" s="362"/>
    </row>
    <row r="483" spans="1:18" s="143" customFormat="1" ht="17.25" customHeight="1" hidden="1">
      <c r="A483" s="131">
        <v>752</v>
      </c>
      <c r="B483" s="132" t="s">
        <v>1</v>
      </c>
      <c r="C483" s="133">
        <f>C484</f>
        <v>0</v>
      </c>
      <c r="D483" s="59">
        <f t="shared" si="49"/>
        <v>0</v>
      </c>
      <c r="E483" s="59">
        <f t="shared" si="52"/>
        <v>0</v>
      </c>
      <c r="F483" s="520" t="e">
        <f t="shared" si="50"/>
        <v>#DIV/0!</v>
      </c>
      <c r="G483" s="133"/>
      <c r="H483" s="59"/>
      <c r="I483" s="390"/>
      <c r="J483" s="59"/>
      <c r="K483" s="134"/>
      <c r="L483" s="398"/>
      <c r="M483" s="253"/>
      <c r="N483" s="59"/>
      <c r="O483" s="407"/>
      <c r="P483" s="134">
        <f>P484</f>
        <v>0</v>
      </c>
      <c r="Q483" s="59">
        <f>Q484</f>
        <v>0</v>
      </c>
      <c r="R483" s="363" t="e">
        <f aca="true" t="shared" si="53" ref="R483:R489">Q483/P483*100</f>
        <v>#DIV/0!</v>
      </c>
    </row>
    <row r="484" spans="1:18" s="143" customFormat="1" ht="25.5" hidden="1" thickBot="1" thickTop="1">
      <c r="A484" s="213">
        <v>75212</v>
      </c>
      <c r="B484" s="214" t="s">
        <v>2</v>
      </c>
      <c r="C484" s="215">
        <f>SUM(C485:C488)</f>
        <v>0</v>
      </c>
      <c r="D484" s="67">
        <f t="shared" si="49"/>
        <v>0</v>
      </c>
      <c r="E484" s="67">
        <f t="shared" si="52"/>
        <v>0</v>
      </c>
      <c r="F484" s="499" t="e">
        <f t="shared" si="50"/>
        <v>#DIV/0!</v>
      </c>
      <c r="G484" s="215"/>
      <c r="H484" s="67"/>
      <c r="I484" s="412"/>
      <c r="J484" s="67"/>
      <c r="K484" s="217"/>
      <c r="L484" s="404"/>
      <c r="M484" s="216"/>
      <c r="N484" s="67"/>
      <c r="O484" s="408"/>
      <c r="P484" s="217">
        <f>SUM(P485:P488)</f>
        <v>0</v>
      </c>
      <c r="Q484" s="67">
        <f>SUM(Q485:Q488)</f>
        <v>0</v>
      </c>
      <c r="R484" s="377" t="e">
        <f t="shared" si="53"/>
        <v>#DIV/0!</v>
      </c>
    </row>
    <row r="485" spans="1:18" s="12" customFormat="1" ht="24.75" hidden="1" thickBot="1">
      <c r="A485" s="172">
        <v>4170</v>
      </c>
      <c r="B485" s="206" t="s">
        <v>536</v>
      </c>
      <c r="C485" s="174"/>
      <c r="D485" s="74">
        <f t="shared" si="49"/>
        <v>0</v>
      </c>
      <c r="E485" s="89">
        <f t="shared" si="52"/>
        <v>0</v>
      </c>
      <c r="F485" s="468" t="e">
        <f t="shared" si="50"/>
        <v>#DIV/0!</v>
      </c>
      <c r="G485" s="174"/>
      <c r="H485" s="74"/>
      <c r="I485" s="368"/>
      <c r="J485" s="74"/>
      <c r="K485" s="175"/>
      <c r="L485" s="224"/>
      <c r="M485" s="218"/>
      <c r="N485" s="74"/>
      <c r="O485" s="368"/>
      <c r="P485" s="175">
        <f>300-300</f>
        <v>0</v>
      </c>
      <c r="Q485" s="74"/>
      <c r="R485" s="362" t="e">
        <f t="shared" si="53"/>
        <v>#DIV/0!</v>
      </c>
    </row>
    <row r="486" spans="1:18" s="12" customFormat="1" ht="24.75" hidden="1" thickBot="1">
      <c r="A486" s="172">
        <v>4210</v>
      </c>
      <c r="B486" s="206" t="s">
        <v>502</v>
      </c>
      <c r="C486" s="174"/>
      <c r="D486" s="74">
        <f t="shared" si="49"/>
        <v>0</v>
      </c>
      <c r="E486" s="89">
        <f t="shared" si="52"/>
        <v>0</v>
      </c>
      <c r="F486" s="468" t="e">
        <f t="shared" si="50"/>
        <v>#DIV/0!</v>
      </c>
      <c r="G486" s="174"/>
      <c r="H486" s="74"/>
      <c r="I486" s="368"/>
      <c r="J486" s="74"/>
      <c r="K486" s="175"/>
      <c r="L486" s="224"/>
      <c r="M486" s="218"/>
      <c r="N486" s="74"/>
      <c r="O486" s="368"/>
      <c r="P486" s="175"/>
      <c r="Q486" s="74"/>
      <c r="R486" s="362" t="e">
        <f t="shared" si="53"/>
        <v>#DIV/0!</v>
      </c>
    </row>
    <row r="487" spans="1:18" s="12" customFormat="1" ht="24.75" hidden="1" thickBot="1">
      <c r="A487" s="172">
        <v>4240</v>
      </c>
      <c r="B487" s="206" t="s">
        <v>3</v>
      </c>
      <c r="C487" s="174"/>
      <c r="D487" s="74">
        <f t="shared" si="49"/>
        <v>0</v>
      </c>
      <c r="E487" s="89">
        <f t="shared" si="52"/>
        <v>0</v>
      </c>
      <c r="F487" s="468" t="e">
        <f t="shared" si="50"/>
        <v>#DIV/0!</v>
      </c>
      <c r="G487" s="174"/>
      <c r="H487" s="74"/>
      <c r="I487" s="368"/>
      <c r="J487" s="74"/>
      <c r="K487" s="175"/>
      <c r="L487" s="224"/>
      <c r="M487" s="218"/>
      <c r="N487" s="74"/>
      <c r="O487" s="368"/>
      <c r="P487" s="175">
        <f>200-200</f>
        <v>0</v>
      </c>
      <c r="Q487" s="74"/>
      <c r="R487" s="362" t="e">
        <f t="shared" si="53"/>
        <v>#DIV/0!</v>
      </c>
    </row>
    <row r="488" spans="1:18" s="118" customFormat="1" ht="24.75" hidden="1" thickBot="1">
      <c r="A488" s="124">
        <v>4300</v>
      </c>
      <c r="B488" s="128" t="s">
        <v>510</v>
      </c>
      <c r="C488" s="88"/>
      <c r="D488" s="74">
        <f t="shared" si="49"/>
        <v>0</v>
      </c>
      <c r="E488" s="89">
        <f t="shared" si="52"/>
        <v>0</v>
      </c>
      <c r="F488" s="468" t="e">
        <f t="shared" si="50"/>
        <v>#DIV/0!</v>
      </c>
      <c r="G488" s="88"/>
      <c r="H488" s="89"/>
      <c r="I488" s="368"/>
      <c r="J488" s="89"/>
      <c r="K488" s="126"/>
      <c r="L488" s="224"/>
      <c r="M488" s="154"/>
      <c r="N488" s="89"/>
      <c r="O488" s="368"/>
      <c r="P488" s="126">
        <f>200-200</f>
        <v>0</v>
      </c>
      <c r="Q488" s="89"/>
      <c r="R488" s="362"/>
    </row>
    <row r="489" spans="1:18" s="118" customFormat="1" ht="55.5" customHeight="1" thickBot="1" thickTop="1">
      <c r="A489" s="114">
        <v>754</v>
      </c>
      <c r="B489" s="115" t="s">
        <v>4</v>
      </c>
      <c r="C489" s="116">
        <f>C531+C494+C529+C490+C540+C538</f>
        <v>8483600</v>
      </c>
      <c r="D489" s="59">
        <f t="shared" si="49"/>
        <v>10131938</v>
      </c>
      <c r="E489" s="59">
        <f>H489+K489+Q489+N489</f>
        <v>4480421</v>
      </c>
      <c r="F489" s="496">
        <f t="shared" si="50"/>
        <v>44.22077000471184</v>
      </c>
      <c r="G489" s="116">
        <f>G531+G494+G529+G490+G540+G538</f>
        <v>678000</v>
      </c>
      <c r="H489" s="107">
        <f>SUM(H490+H494+H529+H531)+H540+H538</f>
        <v>24449</v>
      </c>
      <c r="I489" s="354">
        <f>H489/G489*100</f>
        <v>3.606047197640118</v>
      </c>
      <c r="J489" s="107">
        <f>J531</f>
        <v>8000</v>
      </c>
      <c r="K489" s="107">
        <f>K531</f>
        <v>3819</v>
      </c>
      <c r="L489" s="398">
        <f>K489/J489*100</f>
        <v>47.7375</v>
      </c>
      <c r="M489" s="222">
        <f>M490+M494</f>
        <v>1544000</v>
      </c>
      <c r="N489" s="107">
        <f>N490+N494</f>
        <v>600000</v>
      </c>
      <c r="O489" s="354">
        <f aca="true" t="shared" si="54" ref="O489:O494">N489/M489*100</f>
        <v>38.860103626943</v>
      </c>
      <c r="P489" s="116">
        <f>P531+P494+P529+P490</f>
        <v>7901938</v>
      </c>
      <c r="Q489" s="107">
        <f>Q531+Q494+Q529+Q490</f>
        <v>3852153</v>
      </c>
      <c r="R489" s="354">
        <f t="shared" si="53"/>
        <v>48.74947133222255</v>
      </c>
    </row>
    <row r="490" spans="1:18" s="118" customFormat="1" ht="26.25" customHeight="1" thickTop="1">
      <c r="A490" s="255">
        <v>75405</v>
      </c>
      <c r="B490" s="256" t="s">
        <v>5</v>
      </c>
      <c r="C490" s="257">
        <f>SUM(C493)</f>
        <v>250000</v>
      </c>
      <c r="D490" s="67">
        <f t="shared" si="49"/>
        <v>470000</v>
      </c>
      <c r="E490" s="186">
        <f>H490+K490+Q490+N490</f>
        <v>250000</v>
      </c>
      <c r="F490" s="518">
        <f t="shared" si="50"/>
        <v>53.191489361702125</v>
      </c>
      <c r="G490" s="257"/>
      <c r="H490" s="186"/>
      <c r="I490" s="412"/>
      <c r="J490" s="269"/>
      <c r="K490" s="186"/>
      <c r="L490" s="420"/>
      <c r="M490" s="186">
        <f>SUM(M491:M493)</f>
        <v>470000</v>
      </c>
      <c r="N490" s="186">
        <f>SUM(N491:N493)</f>
        <v>250000</v>
      </c>
      <c r="O490" s="497">
        <f t="shared" si="54"/>
        <v>53.191489361702125</v>
      </c>
      <c r="P490" s="186"/>
      <c r="Q490" s="186"/>
      <c r="R490" s="355"/>
    </row>
    <row r="491" spans="1:18" s="118" customFormat="1" ht="24" hidden="1">
      <c r="A491" s="124">
        <v>3000</v>
      </c>
      <c r="B491" s="206" t="s">
        <v>6</v>
      </c>
      <c r="C491" s="88"/>
      <c r="D491" s="103">
        <f t="shared" si="49"/>
        <v>0</v>
      </c>
      <c r="E491" s="103">
        <f>H491+K491+Q491+N491</f>
        <v>0</v>
      </c>
      <c r="F491" s="470" t="e">
        <f t="shared" si="50"/>
        <v>#DIV/0!</v>
      </c>
      <c r="G491" s="181"/>
      <c r="H491" s="182"/>
      <c r="I491" s="368"/>
      <c r="J491" s="183"/>
      <c r="K491" s="182"/>
      <c r="L491" s="403"/>
      <c r="M491" s="89"/>
      <c r="N491" s="89"/>
      <c r="O491" s="442" t="e">
        <f t="shared" si="54"/>
        <v>#DIV/0!</v>
      </c>
      <c r="P491" s="88"/>
      <c r="Q491" s="89"/>
      <c r="R491" s="224"/>
    </row>
    <row r="492" spans="1:18" s="118" customFormat="1" ht="24" hidden="1">
      <c r="A492" s="124">
        <v>4300</v>
      </c>
      <c r="B492" s="206" t="s">
        <v>510</v>
      </c>
      <c r="C492" s="88"/>
      <c r="D492" s="74">
        <f t="shared" si="49"/>
        <v>0</v>
      </c>
      <c r="E492" s="74">
        <f>H492+K492+Q492+N492</f>
        <v>0</v>
      </c>
      <c r="F492" s="468" t="e">
        <f t="shared" si="50"/>
        <v>#DIV/0!</v>
      </c>
      <c r="G492" s="181"/>
      <c r="H492" s="183"/>
      <c r="I492" s="368"/>
      <c r="J492" s="183"/>
      <c r="K492" s="182"/>
      <c r="L492" s="403"/>
      <c r="M492" s="89"/>
      <c r="N492" s="89"/>
      <c r="O492" s="442" t="e">
        <f t="shared" si="54"/>
        <v>#DIV/0!</v>
      </c>
      <c r="P492" s="88"/>
      <c r="Q492" s="89"/>
      <c r="R492" s="224"/>
    </row>
    <row r="493" spans="1:18" s="118" customFormat="1" ht="60">
      <c r="A493" s="124">
        <v>6170</v>
      </c>
      <c r="B493" s="206" t="s">
        <v>258</v>
      </c>
      <c r="C493" s="88">
        <v>250000</v>
      </c>
      <c r="D493" s="74">
        <f t="shared" si="49"/>
        <v>470000</v>
      </c>
      <c r="E493" s="74">
        <f>H493+K493+Q493+N493</f>
        <v>250000</v>
      </c>
      <c r="F493" s="468">
        <f t="shared" si="50"/>
        <v>53.191489361702125</v>
      </c>
      <c r="G493" s="181"/>
      <c r="H493" s="183"/>
      <c r="I493" s="368"/>
      <c r="J493" s="183"/>
      <c r="K493" s="182"/>
      <c r="L493" s="403"/>
      <c r="M493" s="89">
        <f>250000-100000+100000+100000+120000</f>
        <v>470000</v>
      </c>
      <c r="N493" s="89">
        <v>250000</v>
      </c>
      <c r="O493" s="442">
        <f t="shared" si="54"/>
        <v>53.191489361702125</v>
      </c>
      <c r="P493" s="88"/>
      <c r="Q493" s="89"/>
      <c r="R493" s="224"/>
    </row>
    <row r="494" spans="1:18" s="118" customFormat="1" ht="36.75" customHeight="1">
      <c r="A494" s="119">
        <v>75411</v>
      </c>
      <c r="B494" s="185" t="s">
        <v>7</v>
      </c>
      <c r="C494" s="94">
        <f>SUM(C495:C528)</f>
        <v>7559600</v>
      </c>
      <c r="D494" s="95">
        <f t="shared" si="49"/>
        <v>8975938</v>
      </c>
      <c r="E494" s="95">
        <f aca="true" t="shared" si="55" ref="E494:E528">SUM(H494+K494+N494+Q494)</f>
        <v>4202153</v>
      </c>
      <c r="F494" s="467">
        <f t="shared" si="50"/>
        <v>46.81575340649635</v>
      </c>
      <c r="G494" s="121"/>
      <c r="H494" s="123"/>
      <c r="I494" s="381"/>
      <c r="J494" s="123"/>
      <c r="K494" s="84"/>
      <c r="L494" s="417"/>
      <c r="M494" s="84">
        <f>SUM(M495:M528)</f>
        <v>1074000</v>
      </c>
      <c r="N494" s="84">
        <f>SUM(N495:N528)</f>
        <v>350000</v>
      </c>
      <c r="O494" s="316">
        <f t="shared" si="54"/>
        <v>32.588454376163874</v>
      </c>
      <c r="P494" s="121">
        <f>SUM(P495:P528)</f>
        <v>7901938</v>
      </c>
      <c r="Q494" s="84">
        <f>SUM(Q495:Q528)</f>
        <v>3852153</v>
      </c>
      <c r="R494" s="448">
        <f aca="true" t="shared" si="56" ref="R494:R526">Q494/P494*100</f>
        <v>48.74947133222255</v>
      </c>
    </row>
    <row r="495" spans="1:18" s="118" customFormat="1" ht="48">
      <c r="A495" s="172">
        <v>3070</v>
      </c>
      <c r="B495" s="128" t="s">
        <v>8</v>
      </c>
      <c r="C495" s="88">
        <v>326886</v>
      </c>
      <c r="D495" s="74">
        <f t="shared" si="49"/>
        <v>343998</v>
      </c>
      <c r="E495" s="89">
        <f t="shared" si="55"/>
        <v>280084</v>
      </c>
      <c r="F495" s="468">
        <f t="shared" si="50"/>
        <v>81.42024081535357</v>
      </c>
      <c r="G495" s="181"/>
      <c r="H495" s="182"/>
      <c r="I495" s="368"/>
      <c r="J495" s="259"/>
      <c r="K495" s="182"/>
      <c r="L495" s="403"/>
      <c r="M495" s="182"/>
      <c r="N495" s="183"/>
      <c r="O495" s="368"/>
      <c r="P495" s="88">
        <f>326886+17112</f>
        <v>343998</v>
      </c>
      <c r="Q495" s="89">
        <v>280084</v>
      </c>
      <c r="R495" s="442">
        <f t="shared" si="56"/>
        <v>81.42024081535357</v>
      </c>
    </row>
    <row r="496" spans="1:18" s="118" customFormat="1" ht="27.75" customHeight="1">
      <c r="A496" s="172">
        <v>4010</v>
      </c>
      <c r="B496" s="128" t="s">
        <v>9</v>
      </c>
      <c r="C496" s="88">
        <v>158054</v>
      </c>
      <c r="D496" s="74">
        <f t="shared" si="49"/>
        <v>119000</v>
      </c>
      <c r="E496" s="89">
        <f t="shared" si="55"/>
        <v>63115</v>
      </c>
      <c r="F496" s="468">
        <f t="shared" si="50"/>
        <v>53.037815126050425</v>
      </c>
      <c r="G496" s="181"/>
      <c r="H496" s="182"/>
      <c r="I496" s="368"/>
      <c r="J496" s="259"/>
      <c r="K496" s="182"/>
      <c r="L496" s="403"/>
      <c r="M496" s="182"/>
      <c r="N496" s="183"/>
      <c r="O496" s="368"/>
      <c r="P496" s="88">
        <f>158054+7586-46640</f>
        <v>119000</v>
      </c>
      <c r="Q496" s="89">
        <v>63115</v>
      </c>
      <c r="R496" s="442">
        <f t="shared" si="56"/>
        <v>53.037815126050425</v>
      </c>
    </row>
    <row r="497" spans="1:18" s="118" customFormat="1" ht="36">
      <c r="A497" s="172">
        <v>4020</v>
      </c>
      <c r="B497" s="128" t="s">
        <v>494</v>
      </c>
      <c r="C497" s="88">
        <v>131066</v>
      </c>
      <c r="D497" s="74">
        <f t="shared" si="49"/>
        <v>100000</v>
      </c>
      <c r="E497" s="89">
        <f t="shared" si="55"/>
        <v>48347</v>
      </c>
      <c r="F497" s="468">
        <f t="shared" si="50"/>
        <v>48.347</v>
      </c>
      <c r="G497" s="181"/>
      <c r="H497" s="182"/>
      <c r="I497" s="368"/>
      <c r="J497" s="260"/>
      <c r="K497" s="182"/>
      <c r="L497" s="403"/>
      <c r="M497" s="182"/>
      <c r="N497" s="183"/>
      <c r="O497" s="368"/>
      <c r="P497" s="88">
        <f>131066+6313-37379</f>
        <v>100000</v>
      </c>
      <c r="Q497" s="89">
        <v>48347</v>
      </c>
      <c r="R497" s="442">
        <f t="shared" si="56"/>
        <v>48.347</v>
      </c>
    </row>
    <row r="498" spans="1:18" s="118" customFormat="1" ht="24">
      <c r="A498" s="172">
        <v>4040</v>
      </c>
      <c r="B498" s="128" t="s">
        <v>496</v>
      </c>
      <c r="C498" s="88">
        <v>15852</v>
      </c>
      <c r="D498" s="74">
        <f t="shared" si="49"/>
        <v>16096</v>
      </c>
      <c r="E498" s="89">
        <f t="shared" si="55"/>
        <v>12411</v>
      </c>
      <c r="F498" s="468">
        <f t="shared" si="50"/>
        <v>77.10611332007953</v>
      </c>
      <c r="G498" s="181"/>
      <c r="H498" s="182"/>
      <c r="I498" s="368"/>
      <c r="J498" s="260"/>
      <c r="K498" s="182"/>
      <c r="L498" s="403"/>
      <c r="M498" s="182"/>
      <c r="N498" s="183"/>
      <c r="O498" s="368"/>
      <c r="P498" s="88">
        <f>15852+244</f>
        <v>16096</v>
      </c>
      <c r="Q498" s="89">
        <v>12411</v>
      </c>
      <c r="R498" s="442">
        <f t="shared" si="56"/>
        <v>77.10611332007953</v>
      </c>
    </row>
    <row r="499" spans="1:18" s="118" customFormat="1" ht="48">
      <c r="A499" s="172">
        <v>4050</v>
      </c>
      <c r="B499" s="128" t="s">
        <v>251</v>
      </c>
      <c r="C499" s="88">
        <v>4001321</v>
      </c>
      <c r="D499" s="74">
        <f t="shared" si="49"/>
        <v>4809210</v>
      </c>
      <c r="E499" s="89">
        <f t="shared" si="55"/>
        <v>2318425</v>
      </c>
      <c r="F499" s="468">
        <f t="shared" si="50"/>
        <v>48.20802169171236</v>
      </c>
      <c r="G499" s="181"/>
      <c r="H499" s="182"/>
      <c r="I499" s="368"/>
      <c r="J499" s="260"/>
      <c r="K499" s="182"/>
      <c r="L499" s="403"/>
      <c r="M499" s="182"/>
      <c r="N499" s="183"/>
      <c r="O499" s="368"/>
      <c r="P499" s="88">
        <f>4001321+807889</f>
        <v>4809210</v>
      </c>
      <c r="Q499" s="89">
        <f>2318426-1</f>
        <v>2318425</v>
      </c>
      <c r="R499" s="442">
        <f t="shared" si="56"/>
        <v>48.20802169171236</v>
      </c>
    </row>
    <row r="500" spans="1:18" s="118" customFormat="1" ht="48">
      <c r="A500" s="172">
        <v>4060</v>
      </c>
      <c r="B500" s="128" t="s">
        <v>252</v>
      </c>
      <c r="C500" s="88">
        <v>326970</v>
      </c>
      <c r="D500" s="74">
        <f t="shared" si="49"/>
        <v>345147</v>
      </c>
      <c r="E500" s="89">
        <f t="shared" si="55"/>
        <v>127702</v>
      </c>
      <c r="F500" s="468">
        <f t="shared" si="50"/>
        <v>36.99930754142438</v>
      </c>
      <c r="G500" s="181"/>
      <c r="H500" s="182"/>
      <c r="I500" s="368"/>
      <c r="J500" s="259"/>
      <c r="K500" s="182"/>
      <c r="L500" s="403"/>
      <c r="M500" s="182"/>
      <c r="N500" s="183"/>
      <c r="O500" s="368"/>
      <c r="P500" s="88">
        <f>326970+18177</f>
        <v>345147</v>
      </c>
      <c r="Q500" s="89">
        <v>127702</v>
      </c>
      <c r="R500" s="442">
        <f t="shared" si="56"/>
        <v>36.99930754142438</v>
      </c>
    </row>
    <row r="501" spans="1:18" s="118" customFormat="1" ht="60">
      <c r="A501" s="172">
        <v>4070</v>
      </c>
      <c r="B501" s="128" t="s">
        <v>253</v>
      </c>
      <c r="C501" s="88">
        <v>333310</v>
      </c>
      <c r="D501" s="74">
        <f t="shared" si="49"/>
        <v>400607</v>
      </c>
      <c r="E501" s="89">
        <f t="shared" si="55"/>
        <v>317153</v>
      </c>
      <c r="F501" s="468">
        <f t="shared" si="50"/>
        <v>79.168112389449</v>
      </c>
      <c r="G501" s="181"/>
      <c r="H501" s="182"/>
      <c r="I501" s="368"/>
      <c r="J501" s="259"/>
      <c r="K501" s="182"/>
      <c r="L501" s="403"/>
      <c r="M501" s="182"/>
      <c r="N501" s="183"/>
      <c r="O501" s="368"/>
      <c r="P501" s="88">
        <f>333310+67297</f>
        <v>400607</v>
      </c>
      <c r="Q501" s="89">
        <v>317153</v>
      </c>
      <c r="R501" s="442">
        <f t="shared" si="56"/>
        <v>79.168112389449</v>
      </c>
    </row>
    <row r="502" spans="1:18" s="118" customFormat="1" ht="60">
      <c r="A502" s="172">
        <v>4080</v>
      </c>
      <c r="B502" s="128" t="s">
        <v>254</v>
      </c>
      <c r="C502" s="88">
        <v>27855</v>
      </c>
      <c r="D502" s="74">
        <f t="shared" si="49"/>
        <v>50818</v>
      </c>
      <c r="E502" s="89">
        <f t="shared" si="55"/>
        <v>38846</v>
      </c>
      <c r="F502" s="468">
        <f t="shared" si="50"/>
        <v>76.44141839505687</v>
      </c>
      <c r="G502" s="181"/>
      <c r="H502" s="182"/>
      <c r="I502" s="368"/>
      <c r="J502" s="259"/>
      <c r="K502" s="182"/>
      <c r="L502" s="403"/>
      <c r="M502" s="182"/>
      <c r="N502" s="183"/>
      <c r="O502" s="368"/>
      <c r="P502" s="88">
        <f>27855+22963</f>
        <v>50818</v>
      </c>
      <c r="Q502" s="89">
        <v>38846</v>
      </c>
      <c r="R502" s="442">
        <f t="shared" si="56"/>
        <v>76.44141839505687</v>
      </c>
    </row>
    <row r="503" spans="1:18" s="118" customFormat="1" ht="24">
      <c r="A503" s="172">
        <v>4110</v>
      </c>
      <c r="B503" s="128" t="s">
        <v>498</v>
      </c>
      <c r="C503" s="88">
        <v>56072</v>
      </c>
      <c r="D503" s="74">
        <f t="shared" si="49"/>
        <v>42579</v>
      </c>
      <c r="E503" s="89">
        <f t="shared" si="55"/>
        <v>21018</v>
      </c>
      <c r="F503" s="468">
        <f t="shared" si="50"/>
        <v>49.3623617276122</v>
      </c>
      <c r="G503" s="181"/>
      <c r="H503" s="182"/>
      <c r="I503" s="368"/>
      <c r="J503" s="260"/>
      <c r="K503" s="182"/>
      <c r="L503" s="403"/>
      <c r="M503" s="182"/>
      <c r="N503" s="183"/>
      <c r="O503" s="368"/>
      <c r="P503" s="88">
        <f>56072-13493</f>
        <v>42579</v>
      </c>
      <c r="Q503" s="89">
        <v>21018</v>
      </c>
      <c r="R503" s="442">
        <f t="shared" si="56"/>
        <v>49.3623617276122</v>
      </c>
    </row>
    <row r="504" spans="1:18" s="118" customFormat="1" ht="24">
      <c r="A504" s="172">
        <v>4120</v>
      </c>
      <c r="B504" s="128" t="s">
        <v>578</v>
      </c>
      <c r="C504" s="88">
        <v>6640</v>
      </c>
      <c r="D504" s="74">
        <f t="shared" si="49"/>
        <v>4582</v>
      </c>
      <c r="E504" s="89">
        <f t="shared" si="55"/>
        <v>3018</v>
      </c>
      <c r="F504" s="468">
        <f t="shared" si="50"/>
        <v>65.86643387167176</v>
      </c>
      <c r="G504" s="181"/>
      <c r="H504" s="182"/>
      <c r="I504" s="368"/>
      <c r="J504" s="259"/>
      <c r="K504" s="182"/>
      <c r="L504" s="403"/>
      <c r="M504" s="182"/>
      <c r="N504" s="183"/>
      <c r="O504" s="368"/>
      <c r="P504" s="88">
        <f>6640-2058</f>
        <v>4582</v>
      </c>
      <c r="Q504" s="89">
        <v>3018</v>
      </c>
      <c r="R504" s="442">
        <f t="shared" si="56"/>
        <v>65.86643387167176</v>
      </c>
    </row>
    <row r="505" spans="1:18" s="118" customFormat="1" ht="24">
      <c r="A505" s="197">
        <v>4170</v>
      </c>
      <c r="B505" s="159" t="s">
        <v>536</v>
      </c>
      <c r="C505" s="160">
        <v>3000</v>
      </c>
      <c r="D505" s="161">
        <f aca="true" t="shared" si="57" ref="D505:D542">G505+J505+P505+M505</f>
        <v>3000</v>
      </c>
      <c r="E505" s="155">
        <f t="shared" si="55"/>
        <v>1651</v>
      </c>
      <c r="F505" s="469">
        <f t="shared" si="50"/>
        <v>55.03333333333333</v>
      </c>
      <c r="G505" s="176"/>
      <c r="H505" s="161"/>
      <c r="I505" s="387"/>
      <c r="J505" s="262"/>
      <c r="K505" s="192"/>
      <c r="L505" s="424"/>
      <c r="M505" s="192"/>
      <c r="N505" s="193"/>
      <c r="O505" s="387"/>
      <c r="P505" s="160">
        <v>3000</v>
      </c>
      <c r="Q505" s="155">
        <v>1651</v>
      </c>
      <c r="R505" s="462">
        <f t="shared" si="56"/>
        <v>55.03333333333333</v>
      </c>
    </row>
    <row r="506" spans="1:18" s="118" customFormat="1" ht="48">
      <c r="A506" s="172">
        <v>4180</v>
      </c>
      <c r="B506" s="128" t="s">
        <v>10</v>
      </c>
      <c r="C506" s="88">
        <v>230246</v>
      </c>
      <c r="D506" s="74">
        <f t="shared" si="57"/>
        <v>230246</v>
      </c>
      <c r="E506" s="89">
        <f t="shared" si="55"/>
        <v>219150</v>
      </c>
      <c r="F506" s="468">
        <f t="shared" si="50"/>
        <v>95.18080661553296</v>
      </c>
      <c r="G506" s="174"/>
      <c r="H506" s="74"/>
      <c r="I506" s="368"/>
      <c r="J506" s="260"/>
      <c r="K506" s="182"/>
      <c r="L506" s="403"/>
      <c r="M506" s="182"/>
      <c r="N506" s="183"/>
      <c r="O506" s="368"/>
      <c r="P506" s="88">
        <v>230246</v>
      </c>
      <c r="Q506" s="89">
        <v>219150</v>
      </c>
      <c r="R506" s="442">
        <f t="shared" si="56"/>
        <v>95.18080661553296</v>
      </c>
    </row>
    <row r="507" spans="1:18" s="118" customFormat="1" ht="24">
      <c r="A507" s="124">
        <v>4210</v>
      </c>
      <c r="B507" s="128" t="s">
        <v>502</v>
      </c>
      <c r="C507" s="88">
        <v>210000</v>
      </c>
      <c r="D507" s="74">
        <f>G507+J507+P507+M507</f>
        <v>295081</v>
      </c>
      <c r="E507" s="89">
        <f t="shared" si="55"/>
        <v>157709</v>
      </c>
      <c r="F507" s="468">
        <f t="shared" si="50"/>
        <v>53.4460029618986</v>
      </c>
      <c r="G507" s="174"/>
      <c r="H507" s="74"/>
      <c r="I507" s="368"/>
      <c r="J507" s="260"/>
      <c r="K507" s="182"/>
      <c r="L507" s="403"/>
      <c r="M507" s="74">
        <f>30000+20000-3745</f>
        <v>46255</v>
      </c>
      <c r="N507" s="175">
        <v>46255</v>
      </c>
      <c r="O507" s="442">
        <f>N507/M507*100</f>
        <v>100</v>
      </c>
      <c r="P507" s="88">
        <f>180000+68826</f>
        <v>248826</v>
      </c>
      <c r="Q507" s="89">
        <v>111454</v>
      </c>
      <c r="R507" s="442">
        <f t="shared" si="56"/>
        <v>44.791942964159695</v>
      </c>
    </row>
    <row r="508" spans="1:18" s="118" customFormat="1" ht="24" hidden="1">
      <c r="A508" s="124">
        <v>4250</v>
      </c>
      <c r="B508" s="128" t="s">
        <v>11</v>
      </c>
      <c r="C508" s="88"/>
      <c r="D508" s="74">
        <f t="shared" si="57"/>
        <v>0</v>
      </c>
      <c r="E508" s="89">
        <f t="shared" si="55"/>
        <v>0</v>
      </c>
      <c r="F508" s="468" t="e">
        <f t="shared" si="50"/>
        <v>#DIV/0!</v>
      </c>
      <c r="G508" s="174"/>
      <c r="H508" s="74"/>
      <c r="I508" s="368" t="e">
        <f>H508/G508*100</f>
        <v>#DIV/0!</v>
      </c>
      <c r="J508" s="260"/>
      <c r="K508" s="182"/>
      <c r="L508" s="403"/>
      <c r="M508" s="74"/>
      <c r="N508" s="175"/>
      <c r="O508" s="442" t="e">
        <f aca="true" t="shared" si="58" ref="O508:O513">N508/M508*100</f>
        <v>#DIV/0!</v>
      </c>
      <c r="P508" s="88"/>
      <c r="Q508" s="89"/>
      <c r="R508" s="442" t="e">
        <f t="shared" si="56"/>
        <v>#DIV/0!</v>
      </c>
    </row>
    <row r="509" spans="1:18" s="118" customFormat="1" ht="24" hidden="1">
      <c r="A509" s="124">
        <v>4220</v>
      </c>
      <c r="B509" s="128" t="s">
        <v>12</v>
      </c>
      <c r="C509" s="88"/>
      <c r="D509" s="74">
        <f t="shared" si="57"/>
        <v>0</v>
      </c>
      <c r="E509" s="89">
        <f t="shared" si="55"/>
        <v>0</v>
      </c>
      <c r="F509" s="468" t="e">
        <f t="shared" si="50"/>
        <v>#DIV/0!</v>
      </c>
      <c r="G509" s="174"/>
      <c r="H509" s="74"/>
      <c r="I509" s="368"/>
      <c r="J509" s="260"/>
      <c r="K509" s="182"/>
      <c r="L509" s="403"/>
      <c r="M509" s="74"/>
      <c r="N509" s="175"/>
      <c r="O509" s="442" t="e">
        <f t="shared" si="58"/>
        <v>#DIV/0!</v>
      </c>
      <c r="P509" s="88"/>
      <c r="Q509" s="89"/>
      <c r="R509" s="442" t="e">
        <f t="shared" si="56"/>
        <v>#DIV/0!</v>
      </c>
    </row>
    <row r="510" spans="1:18" s="118" customFormat="1" ht="19.5" customHeight="1" hidden="1">
      <c r="A510" s="124">
        <v>4230</v>
      </c>
      <c r="B510" s="128" t="s">
        <v>504</v>
      </c>
      <c r="C510" s="88"/>
      <c r="D510" s="74">
        <f t="shared" si="57"/>
        <v>0</v>
      </c>
      <c r="E510" s="89">
        <f t="shared" si="55"/>
        <v>0</v>
      </c>
      <c r="F510" s="468" t="e">
        <f t="shared" si="50"/>
        <v>#DIV/0!</v>
      </c>
      <c r="G510" s="174"/>
      <c r="H510" s="74"/>
      <c r="I510" s="368"/>
      <c r="J510" s="260"/>
      <c r="K510" s="182"/>
      <c r="L510" s="403"/>
      <c r="M510" s="74"/>
      <c r="N510" s="175"/>
      <c r="O510" s="442" t="e">
        <f t="shared" si="58"/>
        <v>#DIV/0!</v>
      </c>
      <c r="P510" s="88"/>
      <c r="Q510" s="89"/>
      <c r="R510" s="442" t="e">
        <f t="shared" si="56"/>
        <v>#DIV/0!</v>
      </c>
    </row>
    <row r="511" spans="1:18" s="118" customFormat="1" ht="24" hidden="1">
      <c r="A511" s="124">
        <v>4250</v>
      </c>
      <c r="B511" s="128" t="s">
        <v>13</v>
      </c>
      <c r="C511" s="88"/>
      <c r="D511" s="74">
        <f t="shared" si="57"/>
        <v>0</v>
      </c>
      <c r="E511" s="89">
        <f t="shared" si="55"/>
        <v>0</v>
      </c>
      <c r="F511" s="468"/>
      <c r="G511" s="174"/>
      <c r="H511" s="74"/>
      <c r="I511" s="368"/>
      <c r="J511" s="260"/>
      <c r="K511" s="182"/>
      <c r="L511" s="403"/>
      <c r="M511" s="74"/>
      <c r="N511" s="175"/>
      <c r="O511" s="442" t="e">
        <f t="shared" si="58"/>
        <v>#DIV/0!</v>
      </c>
      <c r="P511" s="88"/>
      <c r="Q511" s="89"/>
      <c r="R511" s="442" t="e">
        <f t="shared" si="56"/>
        <v>#DIV/0!</v>
      </c>
    </row>
    <row r="512" spans="1:18" s="118" customFormat="1" ht="12.75">
      <c r="A512" s="124">
        <v>4260</v>
      </c>
      <c r="B512" s="128" t="s">
        <v>506</v>
      </c>
      <c r="C512" s="88">
        <v>190000</v>
      </c>
      <c r="D512" s="74">
        <f t="shared" si="57"/>
        <v>260000</v>
      </c>
      <c r="E512" s="89">
        <f t="shared" si="55"/>
        <v>142508</v>
      </c>
      <c r="F512" s="468">
        <f aca="true" t="shared" si="59" ref="F512:F523">E512/D512*100</f>
        <v>54.81076923076923</v>
      </c>
      <c r="G512" s="174"/>
      <c r="H512" s="74"/>
      <c r="I512" s="368"/>
      <c r="J512" s="260"/>
      <c r="K512" s="182"/>
      <c r="L512" s="403"/>
      <c r="M512" s="74"/>
      <c r="N512" s="175"/>
      <c r="O512" s="442"/>
      <c r="P512" s="88">
        <f>190000+20000+50000</f>
        <v>260000</v>
      </c>
      <c r="Q512" s="89">
        <v>142508</v>
      </c>
      <c r="R512" s="442">
        <f t="shared" si="56"/>
        <v>54.81076923076923</v>
      </c>
    </row>
    <row r="513" spans="1:18" s="118" customFormat="1" ht="24">
      <c r="A513" s="124">
        <v>4270</v>
      </c>
      <c r="B513" s="128" t="s">
        <v>508</v>
      </c>
      <c r="C513" s="88">
        <v>30000</v>
      </c>
      <c r="D513" s="74">
        <f t="shared" si="57"/>
        <v>59000</v>
      </c>
      <c r="E513" s="89">
        <f t="shared" si="55"/>
        <v>22426</v>
      </c>
      <c r="F513" s="468">
        <f t="shared" si="59"/>
        <v>38.010169491525424</v>
      </c>
      <c r="G513" s="174"/>
      <c r="H513" s="74"/>
      <c r="I513" s="368"/>
      <c r="J513" s="260"/>
      <c r="K513" s="182"/>
      <c r="L513" s="403"/>
      <c r="M513" s="74">
        <v>24000</v>
      </c>
      <c r="N513" s="175"/>
      <c r="O513" s="442">
        <f t="shared" si="58"/>
        <v>0</v>
      </c>
      <c r="P513" s="88">
        <f>30000+5000</f>
        <v>35000</v>
      </c>
      <c r="Q513" s="89">
        <v>22426</v>
      </c>
      <c r="R513" s="442">
        <f t="shared" si="56"/>
        <v>64.07428571428572</v>
      </c>
    </row>
    <row r="514" spans="1:18" s="118" customFormat="1" ht="24">
      <c r="A514" s="124">
        <v>4280</v>
      </c>
      <c r="B514" s="128" t="s">
        <v>545</v>
      </c>
      <c r="C514" s="88">
        <v>20000</v>
      </c>
      <c r="D514" s="74">
        <f t="shared" si="57"/>
        <v>20000</v>
      </c>
      <c r="E514" s="89">
        <f t="shared" si="55"/>
        <v>9640</v>
      </c>
      <c r="F514" s="468">
        <f t="shared" si="59"/>
        <v>48.199999999999996</v>
      </c>
      <c r="G514" s="174"/>
      <c r="H514" s="74"/>
      <c r="I514" s="368"/>
      <c r="J514" s="260"/>
      <c r="K514" s="182"/>
      <c r="L514" s="403"/>
      <c r="M514" s="74"/>
      <c r="N514" s="175"/>
      <c r="O514" s="224"/>
      <c r="P514" s="88">
        <v>20000</v>
      </c>
      <c r="Q514" s="89">
        <v>9640</v>
      </c>
      <c r="R514" s="442">
        <f t="shared" si="56"/>
        <v>48.199999999999996</v>
      </c>
    </row>
    <row r="515" spans="1:18" s="118" customFormat="1" ht="24">
      <c r="A515" s="124">
        <v>4300</v>
      </c>
      <c r="B515" s="128" t="s">
        <v>510</v>
      </c>
      <c r="C515" s="88">
        <v>141514</v>
      </c>
      <c r="D515" s="74">
        <f t="shared" si="57"/>
        <v>121514</v>
      </c>
      <c r="E515" s="89">
        <f t="shared" si="55"/>
        <v>64706</v>
      </c>
      <c r="F515" s="468">
        <f t="shared" si="59"/>
        <v>53.24983129515941</v>
      </c>
      <c r="G515" s="174"/>
      <c r="H515" s="74"/>
      <c r="I515" s="368"/>
      <c r="J515" s="260"/>
      <c r="K515" s="182"/>
      <c r="L515" s="403"/>
      <c r="M515" s="74"/>
      <c r="N515" s="175"/>
      <c r="O515" s="442"/>
      <c r="P515" s="88">
        <v>121514</v>
      </c>
      <c r="Q515" s="89">
        <v>64706</v>
      </c>
      <c r="R515" s="442">
        <f t="shared" si="56"/>
        <v>53.24983129515941</v>
      </c>
    </row>
    <row r="516" spans="1:18" s="118" customFormat="1" ht="24">
      <c r="A516" s="124">
        <v>4350</v>
      </c>
      <c r="B516" s="128" t="s">
        <v>48</v>
      </c>
      <c r="C516" s="88">
        <v>500</v>
      </c>
      <c r="D516" s="74">
        <f t="shared" si="57"/>
        <v>500</v>
      </c>
      <c r="E516" s="89">
        <f t="shared" si="55"/>
        <v>429</v>
      </c>
      <c r="F516" s="468">
        <f t="shared" si="59"/>
        <v>85.8</v>
      </c>
      <c r="G516" s="174"/>
      <c r="H516" s="74"/>
      <c r="I516" s="368"/>
      <c r="J516" s="260"/>
      <c r="K516" s="182"/>
      <c r="L516" s="403"/>
      <c r="M516" s="74"/>
      <c r="N516" s="175"/>
      <c r="O516" s="224"/>
      <c r="P516" s="88">
        <v>500</v>
      </c>
      <c r="Q516" s="89">
        <v>429</v>
      </c>
      <c r="R516" s="442">
        <f t="shared" si="56"/>
        <v>85.8</v>
      </c>
    </row>
    <row r="517" spans="1:18" s="118" customFormat="1" ht="48">
      <c r="A517" s="172">
        <v>4360</v>
      </c>
      <c r="B517" s="337" t="s">
        <v>297</v>
      </c>
      <c r="C517" s="88">
        <v>8000</v>
      </c>
      <c r="D517" s="74">
        <f t="shared" si="57"/>
        <v>8000</v>
      </c>
      <c r="E517" s="89">
        <f t="shared" si="55"/>
        <v>3075</v>
      </c>
      <c r="F517" s="468">
        <f t="shared" si="59"/>
        <v>38.4375</v>
      </c>
      <c r="G517" s="174"/>
      <c r="H517" s="74"/>
      <c r="I517" s="368"/>
      <c r="J517" s="260"/>
      <c r="K517" s="182"/>
      <c r="L517" s="403"/>
      <c r="M517" s="182"/>
      <c r="N517" s="183"/>
      <c r="O517" s="224"/>
      <c r="P517" s="88">
        <v>8000</v>
      </c>
      <c r="Q517" s="89">
        <v>3075</v>
      </c>
      <c r="R517" s="442">
        <f t="shared" si="56"/>
        <v>38.4375</v>
      </c>
    </row>
    <row r="518" spans="1:18" s="118" customFormat="1" ht="48">
      <c r="A518" s="172">
        <v>4370</v>
      </c>
      <c r="B518" s="337" t="s">
        <v>298</v>
      </c>
      <c r="C518" s="88">
        <v>22000</v>
      </c>
      <c r="D518" s="74">
        <f t="shared" si="57"/>
        <v>22000</v>
      </c>
      <c r="E518" s="89">
        <f t="shared" si="55"/>
        <v>11854</v>
      </c>
      <c r="F518" s="468">
        <f t="shared" si="59"/>
        <v>53.88181818181819</v>
      </c>
      <c r="G518" s="174"/>
      <c r="H518" s="74"/>
      <c r="I518" s="368"/>
      <c r="J518" s="260"/>
      <c r="K518" s="182"/>
      <c r="L518" s="403"/>
      <c r="M518" s="182"/>
      <c r="N518" s="183"/>
      <c r="O518" s="224"/>
      <c r="P518" s="88">
        <v>22000</v>
      </c>
      <c r="Q518" s="89">
        <v>11854</v>
      </c>
      <c r="R518" s="442">
        <f t="shared" si="56"/>
        <v>53.88181818181819</v>
      </c>
    </row>
    <row r="519" spans="1:18" s="118" customFormat="1" ht="21" customHeight="1">
      <c r="A519" s="124">
        <v>4410</v>
      </c>
      <c r="B519" s="128" t="s">
        <v>484</v>
      </c>
      <c r="C519" s="88">
        <v>11000</v>
      </c>
      <c r="D519" s="74">
        <f t="shared" si="57"/>
        <v>11000</v>
      </c>
      <c r="E519" s="89">
        <f t="shared" si="55"/>
        <v>4695</v>
      </c>
      <c r="F519" s="468">
        <f t="shared" si="59"/>
        <v>42.68181818181818</v>
      </c>
      <c r="G519" s="174"/>
      <c r="H519" s="74"/>
      <c r="I519" s="368"/>
      <c r="J519" s="260"/>
      <c r="K519" s="182"/>
      <c r="L519" s="403"/>
      <c r="M519" s="182"/>
      <c r="N519" s="183"/>
      <c r="O519" s="224"/>
      <c r="P519" s="88">
        <v>11000</v>
      </c>
      <c r="Q519" s="89">
        <v>4695</v>
      </c>
      <c r="R519" s="442">
        <f t="shared" si="56"/>
        <v>42.68181818181818</v>
      </c>
    </row>
    <row r="520" spans="1:18" s="118" customFormat="1" ht="11.25" customHeight="1">
      <c r="A520" s="124">
        <v>4430</v>
      </c>
      <c r="B520" s="128" t="s">
        <v>512</v>
      </c>
      <c r="C520" s="88">
        <v>500</v>
      </c>
      <c r="D520" s="74">
        <f t="shared" si="57"/>
        <v>500</v>
      </c>
      <c r="E520" s="89">
        <f t="shared" si="55"/>
        <v>48</v>
      </c>
      <c r="F520" s="468">
        <f t="shared" si="59"/>
        <v>9.6</v>
      </c>
      <c r="G520" s="174"/>
      <c r="H520" s="74"/>
      <c r="I520" s="368"/>
      <c r="J520" s="260"/>
      <c r="K520" s="182"/>
      <c r="L520" s="403"/>
      <c r="M520" s="182"/>
      <c r="N520" s="183"/>
      <c r="O520" s="224"/>
      <c r="P520" s="88">
        <v>500</v>
      </c>
      <c r="Q520" s="89">
        <f>49-1</f>
        <v>48</v>
      </c>
      <c r="R520" s="442">
        <f t="shared" si="56"/>
        <v>9.6</v>
      </c>
    </row>
    <row r="521" spans="1:18" s="118" customFormat="1" ht="11.25" customHeight="1">
      <c r="A521" s="124">
        <v>4440</v>
      </c>
      <c r="B521" s="128" t="s">
        <v>14</v>
      </c>
      <c r="C521" s="88">
        <v>4939</v>
      </c>
      <c r="D521" s="74">
        <f t="shared" si="57"/>
        <v>5440</v>
      </c>
      <c r="E521" s="89">
        <f t="shared" si="55"/>
        <v>5440</v>
      </c>
      <c r="F521" s="468">
        <f t="shared" si="59"/>
        <v>100</v>
      </c>
      <c r="G521" s="174"/>
      <c r="H521" s="74"/>
      <c r="I521" s="368"/>
      <c r="J521" s="260"/>
      <c r="K521" s="182"/>
      <c r="L521" s="403"/>
      <c r="M521" s="182"/>
      <c r="N521" s="183"/>
      <c r="O521" s="224"/>
      <c r="P521" s="88">
        <f>4939+501</f>
        <v>5440</v>
      </c>
      <c r="Q521" s="261">
        <v>5440</v>
      </c>
      <c r="R521" s="442">
        <f t="shared" si="56"/>
        <v>100</v>
      </c>
    </row>
    <row r="522" spans="1:18" s="118" customFormat="1" ht="48">
      <c r="A522" s="124">
        <v>4500</v>
      </c>
      <c r="B522" s="128" t="s">
        <v>15</v>
      </c>
      <c r="C522" s="88">
        <v>39642</v>
      </c>
      <c r="D522" s="74">
        <f t="shared" si="57"/>
        <v>39642</v>
      </c>
      <c r="E522" s="89">
        <f>SUM(H522+K522+N522+Q522)</f>
        <v>18085</v>
      </c>
      <c r="F522" s="468">
        <f t="shared" si="59"/>
        <v>45.62080621562989</v>
      </c>
      <c r="G522" s="174"/>
      <c r="H522" s="74"/>
      <c r="I522" s="368"/>
      <c r="J522" s="260"/>
      <c r="K522" s="182"/>
      <c r="L522" s="403"/>
      <c r="M522" s="182"/>
      <c r="N522" s="183"/>
      <c r="O522" s="224"/>
      <c r="P522" s="88">
        <v>39642</v>
      </c>
      <c r="Q522" s="261">
        <v>18085</v>
      </c>
      <c r="R522" s="442">
        <f t="shared" si="56"/>
        <v>45.62080621562989</v>
      </c>
    </row>
    <row r="523" spans="1:18" s="118" customFormat="1" ht="24">
      <c r="A523" s="124">
        <v>4510</v>
      </c>
      <c r="B523" s="291" t="s">
        <v>16</v>
      </c>
      <c r="C523" s="88">
        <v>1233</v>
      </c>
      <c r="D523" s="74">
        <f t="shared" si="57"/>
        <v>1233</v>
      </c>
      <c r="E523" s="89">
        <f t="shared" si="55"/>
        <v>1233</v>
      </c>
      <c r="F523" s="468">
        <f t="shared" si="59"/>
        <v>100</v>
      </c>
      <c r="G523" s="174"/>
      <c r="H523" s="74"/>
      <c r="I523" s="368"/>
      <c r="J523" s="260"/>
      <c r="K523" s="182"/>
      <c r="L523" s="403"/>
      <c r="M523" s="74"/>
      <c r="N523" s="175"/>
      <c r="O523" s="224"/>
      <c r="P523" s="88">
        <v>1233</v>
      </c>
      <c r="Q523" s="261">
        <v>1233</v>
      </c>
      <c r="R523" s="442">
        <f t="shared" si="56"/>
        <v>100</v>
      </c>
    </row>
    <row r="524" spans="1:18" s="118" customFormat="1" ht="60">
      <c r="A524" s="172">
        <v>4740</v>
      </c>
      <c r="B524" s="337" t="s">
        <v>290</v>
      </c>
      <c r="C524" s="88">
        <v>3000</v>
      </c>
      <c r="D524" s="74">
        <f t="shared" si="57"/>
        <v>3000</v>
      </c>
      <c r="E524" s="89">
        <f>SUM(H524+K524+N524+Q524)</f>
        <v>162</v>
      </c>
      <c r="F524" s="468">
        <f>E524/D524*100</f>
        <v>5.4</v>
      </c>
      <c r="G524" s="174"/>
      <c r="H524" s="74"/>
      <c r="I524" s="368"/>
      <c r="J524" s="260"/>
      <c r="K524" s="182"/>
      <c r="L524" s="403"/>
      <c r="M524" s="74"/>
      <c r="N524" s="175"/>
      <c r="O524" s="224"/>
      <c r="P524" s="88">
        <v>3000</v>
      </c>
      <c r="Q524" s="261">
        <v>162</v>
      </c>
      <c r="R524" s="442">
        <f t="shared" si="56"/>
        <v>5.4</v>
      </c>
    </row>
    <row r="525" spans="1:18" s="118" customFormat="1" ht="34.5" customHeight="1">
      <c r="A525" s="172">
        <v>4750</v>
      </c>
      <c r="B525" s="337" t="s">
        <v>291</v>
      </c>
      <c r="C525" s="88">
        <v>10000</v>
      </c>
      <c r="D525" s="74">
        <f t="shared" si="57"/>
        <v>10000</v>
      </c>
      <c r="E525" s="89">
        <f t="shared" si="55"/>
        <v>5478</v>
      </c>
      <c r="F525" s="468">
        <f>E525/D525*100</f>
        <v>54.779999999999994</v>
      </c>
      <c r="G525" s="174"/>
      <c r="H525" s="74"/>
      <c r="I525" s="368"/>
      <c r="J525" s="260"/>
      <c r="K525" s="182"/>
      <c r="L525" s="403"/>
      <c r="M525" s="182"/>
      <c r="N525" s="175"/>
      <c r="O525" s="224"/>
      <c r="P525" s="88">
        <v>10000</v>
      </c>
      <c r="Q525" s="261">
        <v>5478</v>
      </c>
      <c r="R525" s="442">
        <f t="shared" si="56"/>
        <v>54.779999999999994</v>
      </c>
    </row>
    <row r="526" spans="1:18" s="118" customFormat="1" ht="24">
      <c r="A526" s="158">
        <v>6050</v>
      </c>
      <c r="B526" s="159" t="s">
        <v>574</v>
      </c>
      <c r="C526" s="160">
        <v>650000</v>
      </c>
      <c r="D526" s="161">
        <f t="shared" si="57"/>
        <v>1050000</v>
      </c>
      <c r="E526" s="155">
        <f t="shared" si="55"/>
        <v>0</v>
      </c>
      <c r="F526" s="469">
        <f>E526/D526*100</f>
        <v>0</v>
      </c>
      <c r="G526" s="190"/>
      <c r="H526" s="192"/>
      <c r="I526" s="387"/>
      <c r="J526" s="262"/>
      <c r="K526" s="192"/>
      <c r="L526" s="424"/>
      <c r="M526" s="161">
        <v>400000</v>
      </c>
      <c r="N526" s="177"/>
      <c r="O526" s="462">
        <f>N526/M526*100</f>
        <v>0</v>
      </c>
      <c r="P526" s="160">
        <v>650000</v>
      </c>
      <c r="Q526" s="580"/>
      <c r="R526" s="462">
        <f t="shared" si="56"/>
        <v>0</v>
      </c>
    </row>
    <row r="527" spans="1:18" s="118" customFormat="1" ht="96">
      <c r="A527" s="124">
        <v>6220</v>
      </c>
      <c r="B527" s="128" t="s">
        <v>401</v>
      </c>
      <c r="C527" s="88"/>
      <c r="D527" s="74">
        <f>G527+J527+P527+M527</f>
        <v>600000</v>
      </c>
      <c r="E527" s="89">
        <f>SUM(H527+K527+N527+Q527)</f>
        <v>300000</v>
      </c>
      <c r="F527" s="468">
        <f>E527/D527*100</f>
        <v>50</v>
      </c>
      <c r="G527" s="181"/>
      <c r="H527" s="182"/>
      <c r="I527" s="368"/>
      <c r="J527" s="260"/>
      <c r="K527" s="182"/>
      <c r="L527" s="403"/>
      <c r="M527" s="74">
        <f>1300000-700000</f>
        <v>600000</v>
      </c>
      <c r="N527" s="175">
        <v>300000</v>
      </c>
      <c r="O527" s="442">
        <f>N527/M527*100</f>
        <v>50</v>
      </c>
      <c r="P527" s="88"/>
      <c r="Q527" s="261"/>
      <c r="R527" s="442"/>
    </row>
    <row r="528" spans="1:18" s="118" customFormat="1" ht="22.5" customHeight="1">
      <c r="A528" s="158">
        <v>6060</v>
      </c>
      <c r="B528" s="349" t="s">
        <v>552</v>
      </c>
      <c r="C528" s="160">
        <v>600000</v>
      </c>
      <c r="D528" s="161">
        <f t="shared" si="57"/>
        <v>3745</v>
      </c>
      <c r="E528" s="155">
        <f t="shared" si="55"/>
        <v>3745</v>
      </c>
      <c r="F528" s="469">
        <f>E528/D528*100</f>
        <v>100</v>
      </c>
      <c r="G528" s="190"/>
      <c r="H528" s="192"/>
      <c r="I528" s="387"/>
      <c r="J528" s="262"/>
      <c r="K528" s="192"/>
      <c r="L528" s="424"/>
      <c r="M528" s="161">
        <f>600000+100000-600000-100000+3745</f>
        <v>3745</v>
      </c>
      <c r="N528" s="177">
        <v>3745</v>
      </c>
      <c r="O528" s="462">
        <f>N528/M528*100</f>
        <v>100</v>
      </c>
      <c r="P528" s="176"/>
      <c r="Q528" s="155"/>
      <c r="R528" s="274"/>
    </row>
    <row r="529" spans="1:18" ht="24" customHeight="1">
      <c r="A529" s="119">
        <v>75412</v>
      </c>
      <c r="B529" s="185" t="s">
        <v>17</v>
      </c>
      <c r="C529" s="121">
        <f>SUM(C530)</f>
        <v>10000</v>
      </c>
      <c r="D529" s="95">
        <f t="shared" si="57"/>
        <v>22000</v>
      </c>
      <c r="E529" s="84">
        <f>SUM(E530)</f>
        <v>12000</v>
      </c>
      <c r="F529" s="467">
        <f aca="true" t="shared" si="60" ref="F529:F592">E529/D529*100</f>
        <v>54.54545454545454</v>
      </c>
      <c r="G529" s="121">
        <f>SUM(G530)</f>
        <v>22000</v>
      </c>
      <c r="H529" s="95">
        <f>SUM(H530)</f>
        <v>12000</v>
      </c>
      <c r="I529" s="316">
        <f aca="true" t="shared" si="61" ref="I529:I592">H529/G529*100</f>
        <v>54.54545454545454</v>
      </c>
      <c r="J529" s="123"/>
      <c r="K529" s="84"/>
      <c r="L529" s="417"/>
      <c r="M529" s="147"/>
      <c r="N529" s="84"/>
      <c r="O529" s="381"/>
      <c r="P529" s="121"/>
      <c r="Q529" s="84"/>
      <c r="R529" s="372"/>
    </row>
    <row r="530" spans="1:18" ht="48.75" customHeight="1">
      <c r="A530" s="158">
        <v>2820</v>
      </c>
      <c r="B530" s="159" t="s">
        <v>18</v>
      </c>
      <c r="C530" s="88">
        <v>10000</v>
      </c>
      <c r="D530" s="74">
        <f t="shared" si="57"/>
        <v>22000</v>
      </c>
      <c r="E530" s="89">
        <f>SUM(H530+K530+N530+Q530)</f>
        <v>12000</v>
      </c>
      <c r="F530" s="468">
        <f t="shared" si="60"/>
        <v>54.54545454545454</v>
      </c>
      <c r="G530" s="263">
        <f>10000+12000</f>
        <v>22000</v>
      </c>
      <c r="H530" s="163">
        <v>12000</v>
      </c>
      <c r="I530" s="224">
        <f t="shared" si="61"/>
        <v>54.54545454545454</v>
      </c>
      <c r="J530" s="264"/>
      <c r="K530" s="163"/>
      <c r="L530" s="274"/>
      <c r="M530" s="163"/>
      <c r="N530" s="163"/>
      <c r="O530" s="409"/>
      <c r="P530" s="263"/>
      <c r="Q530" s="163"/>
      <c r="R530" s="378"/>
    </row>
    <row r="531" spans="1:18" ht="12.75" customHeight="1">
      <c r="A531" s="119">
        <v>75414</v>
      </c>
      <c r="B531" s="185" t="s">
        <v>19</v>
      </c>
      <c r="C531" s="121">
        <f>SUM(C532:C537)</f>
        <v>49000</v>
      </c>
      <c r="D531" s="95">
        <f t="shared" si="57"/>
        <v>49000</v>
      </c>
      <c r="E531" s="95">
        <f>H531+K531+Q531+N531</f>
        <v>16268</v>
      </c>
      <c r="F531" s="467">
        <f t="shared" si="60"/>
        <v>33.2</v>
      </c>
      <c r="G531" s="121">
        <f>SUM(G532:G537)</f>
        <v>41000</v>
      </c>
      <c r="H531" s="84">
        <f>SUM(H532:H537)</f>
        <v>12449</v>
      </c>
      <c r="I531" s="448">
        <f t="shared" si="61"/>
        <v>30.36341463414634</v>
      </c>
      <c r="J531" s="84">
        <f>SUM(J535:J537)</f>
        <v>8000</v>
      </c>
      <c r="K531" s="84">
        <f>SUM(K535:K537)</f>
        <v>3819</v>
      </c>
      <c r="L531" s="448">
        <f>K531/J531*100</f>
        <v>47.7375</v>
      </c>
      <c r="M531" s="84"/>
      <c r="N531" s="84"/>
      <c r="O531" s="381"/>
      <c r="P531" s="121"/>
      <c r="Q531" s="84"/>
      <c r="R531" s="372"/>
    </row>
    <row r="532" spans="1:18" ht="36" hidden="1">
      <c r="A532" s="124">
        <v>3020</v>
      </c>
      <c r="B532" s="128" t="s">
        <v>540</v>
      </c>
      <c r="C532" s="88">
        <v>0</v>
      </c>
      <c r="D532" s="74">
        <f t="shared" si="57"/>
        <v>0</v>
      </c>
      <c r="E532" s="89">
        <f aca="true" t="shared" si="62" ref="E532:E542">SUM(H532+K532+N532+Q532)</f>
        <v>0</v>
      </c>
      <c r="F532" s="468" t="e">
        <f t="shared" si="60"/>
        <v>#DIV/0!</v>
      </c>
      <c r="G532" s="88">
        <v>0</v>
      </c>
      <c r="H532" s="89"/>
      <c r="I532" s="442" t="e">
        <f t="shared" si="61"/>
        <v>#DIV/0!</v>
      </c>
      <c r="J532" s="126"/>
      <c r="K532" s="127"/>
      <c r="L532" s="448"/>
      <c r="M532" s="89"/>
      <c r="N532" s="89"/>
      <c r="O532" s="368"/>
      <c r="P532" s="88"/>
      <c r="Q532" s="89"/>
      <c r="R532" s="362"/>
    </row>
    <row r="533" spans="1:18" ht="24" hidden="1">
      <c r="A533" s="124">
        <v>4110</v>
      </c>
      <c r="B533" s="128" t="s">
        <v>498</v>
      </c>
      <c r="C533" s="88">
        <v>0</v>
      </c>
      <c r="D533" s="74">
        <f t="shared" si="57"/>
        <v>0</v>
      </c>
      <c r="E533" s="89">
        <f t="shared" si="62"/>
        <v>0</v>
      </c>
      <c r="F533" s="468" t="e">
        <f t="shared" si="60"/>
        <v>#DIV/0!</v>
      </c>
      <c r="G533" s="88">
        <v>0</v>
      </c>
      <c r="H533" s="89"/>
      <c r="I533" s="442" t="e">
        <f t="shared" si="61"/>
        <v>#DIV/0!</v>
      </c>
      <c r="J533" s="126"/>
      <c r="K533" s="127"/>
      <c r="L533" s="448"/>
      <c r="M533" s="89"/>
      <c r="N533" s="89"/>
      <c r="O533" s="368"/>
      <c r="P533" s="88"/>
      <c r="Q533" s="89"/>
      <c r="R533" s="362"/>
    </row>
    <row r="534" spans="1:18" ht="60" hidden="1">
      <c r="A534" s="124">
        <v>6060</v>
      </c>
      <c r="B534" s="128" t="s">
        <v>20</v>
      </c>
      <c r="C534" s="88"/>
      <c r="D534" s="74">
        <f t="shared" si="57"/>
        <v>0</v>
      </c>
      <c r="E534" s="89">
        <f t="shared" si="62"/>
        <v>0</v>
      </c>
      <c r="F534" s="468" t="e">
        <f t="shared" si="60"/>
        <v>#DIV/0!</v>
      </c>
      <c r="G534" s="88"/>
      <c r="H534" s="89"/>
      <c r="I534" s="442"/>
      <c r="J534" s="126"/>
      <c r="K534" s="127"/>
      <c r="L534" s="464"/>
      <c r="M534" s="89"/>
      <c r="N534" s="89"/>
      <c r="O534" s="368"/>
      <c r="P534" s="88"/>
      <c r="Q534" s="89"/>
      <c r="R534" s="362" t="e">
        <f>Q534/P534*100</f>
        <v>#DIV/0!</v>
      </c>
    </row>
    <row r="535" spans="1:18" ht="23.25" customHeight="1">
      <c r="A535" s="124">
        <v>4210</v>
      </c>
      <c r="B535" s="128" t="s">
        <v>502</v>
      </c>
      <c r="C535" s="88">
        <v>25000</v>
      </c>
      <c r="D535" s="74">
        <f t="shared" si="57"/>
        <v>25000</v>
      </c>
      <c r="E535" s="89">
        <f t="shared" si="62"/>
        <v>5145</v>
      </c>
      <c r="F535" s="468">
        <f t="shared" si="60"/>
        <v>20.580000000000002</v>
      </c>
      <c r="G535" s="88">
        <v>25000</v>
      </c>
      <c r="H535" s="89">
        <v>5145</v>
      </c>
      <c r="I535" s="442">
        <f t="shared" si="61"/>
        <v>20.580000000000002</v>
      </c>
      <c r="J535" s="126"/>
      <c r="K535" s="127"/>
      <c r="L535" s="442"/>
      <c r="M535" s="89"/>
      <c r="N535" s="89"/>
      <c r="O535" s="368"/>
      <c r="P535" s="88"/>
      <c r="Q535" s="89"/>
      <c r="R535" s="362"/>
    </row>
    <row r="536" spans="1:18" ht="36" hidden="1">
      <c r="A536" s="124">
        <v>6060</v>
      </c>
      <c r="B536" s="460" t="s">
        <v>552</v>
      </c>
      <c r="C536" s="88"/>
      <c r="D536" s="74">
        <f t="shared" si="57"/>
        <v>0</v>
      </c>
      <c r="E536" s="89">
        <f>SUM(H536+K536+N536+Q536)</f>
        <v>0</v>
      </c>
      <c r="F536" s="468" t="e">
        <f>E536/D536*100</f>
        <v>#DIV/0!</v>
      </c>
      <c r="G536" s="88"/>
      <c r="H536" s="89"/>
      <c r="I536" s="442" t="e">
        <f t="shared" si="61"/>
        <v>#DIV/0!</v>
      </c>
      <c r="J536" s="126"/>
      <c r="K536" s="127"/>
      <c r="L536" s="442"/>
      <c r="M536" s="89"/>
      <c r="N536" s="89"/>
      <c r="O536" s="368"/>
      <c r="P536" s="88"/>
      <c r="Q536" s="89"/>
      <c r="R536" s="362"/>
    </row>
    <row r="537" spans="1:18" ht="35.25">
      <c r="A537" s="158">
        <v>4300</v>
      </c>
      <c r="B537" s="549" t="s">
        <v>21</v>
      </c>
      <c r="C537" s="160">
        <v>24000</v>
      </c>
      <c r="D537" s="161">
        <f t="shared" si="57"/>
        <v>24000</v>
      </c>
      <c r="E537" s="155">
        <f t="shared" si="62"/>
        <v>11123</v>
      </c>
      <c r="F537" s="462">
        <f t="shared" si="60"/>
        <v>46.34583333333334</v>
      </c>
      <c r="G537" s="160">
        <v>16000</v>
      </c>
      <c r="H537" s="163">
        <v>7304</v>
      </c>
      <c r="I537" s="462">
        <f t="shared" si="61"/>
        <v>45.65</v>
      </c>
      <c r="J537" s="264">
        <v>8000</v>
      </c>
      <c r="K537" s="163">
        <v>3819</v>
      </c>
      <c r="L537" s="462">
        <f>K537/J537*100</f>
        <v>47.7375</v>
      </c>
      <c r="M537" s="163"/>
      <c r="N537" s="163"/>
      <c r="O537" s="409"/>
      <c r="P537" s="263"/>
      <c r="Q537" s="163"/>
      <c r="R537" s="378"/>
    </row>
    <row r="538" spans="1:18" ht="24">
      <c r="A538" s="150">
        <v>75421</v>
      </c>
      <c r="B538" s="151" t="s">
        <v>438</v>
      </c>
      <c r="C538" s="94">
        <f>SUM(C539)</f>
        <v>500000</v>
      </c>
      <c r="D538" s="95">
        <f t="shared" si="57"/>
        <v>500000</v>
      </c>
      <c r="E538" s="95">
        <f>SUM(H538+K538+N538+Q538)</f>
        <v>0</v>
      </c>
      <c r="F538" s="484">
        <f>E538/D538*100</f>
        <v>0</v>
      </c>
      <c r="G538" s="94">
        <f>SUM(G539)</f>
        <v>500000</v>
      </c>
      <c r="H538" s="83">
        <f>SUM(H539)</f>
        <v>0</v>
      </c>
      <c r="I538" s="316">
        <f t="shared" si="61"/>
        <v>0</v>
      </c>
      <c r="J538" s="152"/>
      <c r="K538" s="83"/>
      <c r="L538" s="484"/>
      <c r="M538" s="83"/>
      <c r="N538" s="83"/>
      <c r="O538" s="410"/>
      <c r="P538" s="98"/>
      <c r="Q538" s="83"/>
      <c r="R538" s="367"/>
    </row>
    <row r="539" spans="1:18" ht="45.75">
      <c r="A539" s="124">
        <v>4810</v>
      </c>
      <c r="B539" s="125" t="s">
        <v>439</v>
      </c>
      <c r="C539" s="88">
        <v>500000</v>
      </c>
      <c r="D539" s="74">
        <f t="shared" si="57"/>
        <v>500000</v>
      </c>
      <c r="E539" s="89">
        <f>SUM(H539+K539+N539+Q539)</f>
        <v>0</v>
      </c>
      <c r="F539" s="442">
        <f>E539/D539*100</f>
        <v>0</v>
      </c>
      <c r="G539" s="88">
        <v>500000</v>
      </c>
      <c r="H539" s="127"/>
      <c r="I539" s="316">
        <f t="shared" si="61"/>
        <v>0</v>
      </c>
      <c r="J539" s="153"/>
      <c r="K539" s="127"/>
      <c r="L539" s="442"/>
      <c r="M539" s="127"/>
      <c r="N539" s="127"/>
      <c r="O539" s="401"/>
      <c r="P539" s="505"/>
      <c r="Q539" s="127"/>
      <c r="R539" s="361"/>
    </row>
    <row r="540" spans="1:18" s="143" customFormat="1" ht="12.75">
      <c r="A540" s="150">
        <v>75495</v>
      </c>
      <c r="B540" s="151" t="s">
        <v>529</v>
      </c>
      <c r="C540" s="94">
        <f>SUM(C541:C542)</f>
        <v>115000</v>
      </c>
      <c r="D540" s="95">
        <f t="shared" si="57"/>
        <v>115000</v>
      </c>
      <c r="E540" s="95">
        <f t="shared" si="62"/>
        <v>0</v>
      </c>
      <c r="F540" s="448">
        <f t="shared" si="60"/>
        <v>0</v>
      </c>
      <c r="G540" s="94">
        <f>SUM(G541:G542)</f>
        <v>115000</v>
      </c>
      <c r="H540" s="83">
        <f>SUM(H541:H542)</f>
        <v>0</v>
      </c>
      <c r="I540" s="316">
        <f t="shared" si="61"/>
        <v>0</v>
      </c>
      <c r="J540" s="152"/>
      <c r="K540" s="83"/>
      <c r="L540" s="271"/>
      <c r="M540" s="83"/>
      <c r="N540" s="83"/>
      <c r="O540" s="410"/>
      <c r="P540" s="98"/>
      <c r="Q540" s="83"/>
      <c r="R540" s="367"/>
    </row>
    <row r="541" spans="1:18" s="12" customFormat="1" ht="48">
      <c r="A541" s="172">
        <v>3000</v>
      </c>
      <c r="B541" s="501" t="s">
        <v>437</v>
      </c>
      <c r="C541" s="174">
        <v>15000</v>
      </c>
      <c r="D541" s="74">
        <f t="shared" si="57"/>
        <v>15000</v>
      </c>
      <c r="E541" s="89">
        <f>SUM(H541+K541+N541+Q541)</f>
        <v>0</v>
      </c>
      <c r="F541" s="468">
        <f>E541/D541*100</f>
        <v>0</v>
      </c>
      <c r="G541" s="174">
        <v>15000</v>
      </c>
      <c r="H541" s="75"/>
      <c r="I541" s="224">
        <f t="shared" si="61"/>
        <v>0</v>
      </c>
      <c r="J541" s="76"/>
      <c r="K541" s="75"/>
      <c r="L541" s="224"/>
      <c r="M541" s="75"/>
      <c r="N541" s="75"/>
      <c r="O541" s="401"/>
      <c r="P541" s="73"/>
      <c r="Q541" s="75"/>
      <c r="R541" s="361"/>
    </row>
    <row r="542" spans="1:18" ht="24.75" thickBot="1">
      <c r="A542" s="124">
        <v>6050</v>
      </c>
      <c r="B542" s="125" t="s">
        <v>537</v>
      </c>
      <c r="C542" s="88">
        <v>100000</v>
      </c>
      <c r="D542" s="74">
        <f t="shared" si="57"/>
        <v>100000</v>
      </c>
      <c r="E542" s="89">
        <f t="shared" si="62"/>
        <v>0</v>
      </c>
      <c r="F542" s="468">
        <f>E542/D542*100</f>
        <v>0</v>
      </c>
      <c r="G542" s="88">
        <v>100000</v>
      </c>
      <c r="H542" s="127"/>
      <c r="I542" s="224">
        <f t="shared" si="61"/>
        <v>0</v>
      </c>
      <c r="J542" s="153"/>
      <c r="K542" s="127"/>
      <c r="L542" s="224"/>
      <c r="M542" s="127"/>
      <c r="N542" s="127"/>
      <c r="O542" s="401"/>
      <c r="P542" s="505"/>
      <c r="Q542" s="127"/>
      <c r="R542" s="361"/>
    </row>
    <row r="543" spans="1:18" s="143" customFormat="1" ht="111.75" customHeight="1" thickBot="1" thickTop="1">
      <c r="A543" s="131">
        <v>756</v>
      </c>
      <c r="B543" s="265" t="s">
        <v>22</v>
      </c>
      <c r="C543" s="133">
        <f>C544</f>
        <v>512000</v>
      </c>
      <c r="D543" s="59">
        <f>G543</f>
        <v>517000</v>
      </c>
      <c r="E543" s="59">
        <f>H543</f>
        <v>239532</v>
      </c>
      <c r="F543" s="520">
        <f>E543/D543*100</f>
        <v>46.33114119922631</v>
      </c>
      <c r="G543" s="133">
        <f>G544</f>
        <v>517000</v>
      </c>
      <c r="H543" s="266">
        <f>H544</f>
        <v>239532</v>
      </c>
      <c r="I543" s="354">
        <f>H543/G543*100</f>
        <v>46.33114119922631</v>
      </c>
      <c r="J543" s="267"/>
      <c r="K543" s="266"/>
      <c r="L543" s="398"/>
      <c r="M543" s="266"/>
      <c r="N543" s="266"/>
      <c r="O543" s="411"/>
      <c r="P543" s="507"/>
      <c r="Q543" s="266"/>
      <c r="R543" s="379"/>
    </row>
    <row r="544" spans="1:18" ht="48.75" thickTop="1">
      <c r="A544" s="249">
        <v>75647</v>
      </c>
      <c r="B544" s="202" t="s">
        <v>23</v>
      </c>
      <c r="C544" s="203">
        <f>SUM(C545:C559)</f>
        <v>512000</v>
      </c>
      <c r="D544" s="122">
        <f aca="true" t="shared" si="63" ref="D544:D562">G544+J544+P544+M544</f>
        <v>517000</v>
      </c>
      <c r="E544" s="122">
        <f>H544+K544+Q544+N544</f>
        <v>239532</v>
      </c>
      <c r="F544" s="521">
        <f>E544/D544*100</f>
        <v>46.33114119922631</v>
      </c>
      <c r="G544" s="203">
        <f>SUM(G545:G559)</f>
        <v>517000</v>
      </c>
      <c r="H544" s="122">
        <f>SUM(H545:H559)</f>
        <v>239532</v>
      </c>
      <c r="I544" s="274">
        <f>H544/G544*100</f>
        <v>46.33114119922631</v>
      </c>
      <c r="J544" s="204"/>
      <c r="K544" s="122"/>
      <c r="L544" s="297"/>
      <c r="M544" s="122"/>
      <c r="N544" s="122"/>
      <c r="O544" s="389"/>
      <c r="P544" s="122"/>
      <c r="Q544" s="122"/>
      <c r="R544" s="297"/>
    </row>
    <row r="545" spans="1:18" s="12" customFormat="1" ht="36" hidden="1">
      <c r="A545" s="247">
        <v>4010</v>
      </c>
      <c r="B545" s="195" t="s">
        <v>24</v>
      </c>
      <c r="C545" s="102"/>
      <c r="D545" s="74">
        <f t="shared" si="63"/>
        <v>0</v>
      </c>
      <c r="E545" s="89">
        <f aca="true" t="shared" si="64" ref="E545:E562">SUM(H545+K545+N545+Q545)</f>
        <v>0</v>
      </c>
      <c r="F545" s="468" t="e">
        <f aca="true" t="shared" si="65" ref="F545:F562">E545/D545*100</f>
        <v>#DIV/0!</v>
      </c>
      <c r="G545" s="102"/>
      <c r="H545" s="103"/>
      <c r="I545" s="224" t="e">
        <f aca="true" t="shared" si="66" ref="I545:I562">H545/G545*100</f>
        <v>#DIV/0!</v>
      </c>
      <c r="J545" s="196"/>
      <c r="K545" s="103"/>
      <c r="L545" s="304"/>
      <c r="M545" s="103"/>
      <c r="N545" s="103"/>
      <c r="O545" s="388"/>
      <c r="P545" s="103"/>
      <c r="Q545" s="103"/>
      <c r="R545" s="304"/>
    </row>
    <row r="546" spans="1:18" ht="36">
      <c r="A546" s="184">
        <v>4100</v>
      </c>
      <c r="B546" s="128" t="s">
        <v>25</v>
      </c>
      <c r="C546" s="88">
        <v>100000</v>
      </c>
      <c r="D546" s="74">
        <f t="shared" si="63"/>
        <v>100000</v>
      </c>
      <c r="E546" s="89">
        <f t="shared" si="64"/>
        <v>60270</v>
      </c>
      <c r="F546" s="468">
        <f t="shared" si="65"/>
        <v>60.27</v>
      </c>
      <c r="G546" s="88">
        <v>100000</v>
      </c>
      <c r="H546" s="268">
        <v>60270</v>
      </c>
      <c r="I546" s="224">
        <f t="shared" si="66"/>
        <v>60.27</v>
      </c>
      <c r="J546" s="126"/>
      <c r="K546" s="89"/>
      <c r="L546" s="224"/>
      <c r="M546" s="89"/>
      <c r="N546" s="89"/>
      <c r="O546" s="368"/>
      <c r="P546" s="89"/>
      <c r="Q546" s="89"/>
      <c r="R546" s="224"/>
    </row>
    <row r="547" spans="1:18" ht="36">
      <c r="A547" s="184">
        <v>4100</v>
      </c>
      <c r="B547" s="128" t="s">
        <v>26</v>
      </c>
      <c r="C547" s="88">
        <v>35000</v>
      </c>
      <c r="D547" s="74">
        <f t="shared" si="63"/>
        <v>35000</v>
      </c>
      <c r="E547" s="89">
        <f t="shared" si="64"/>
        <v>10880</v>
      </c>
      <c r="F547" s="468">
        <f t="shared" si="65"/>
        <v>31.085714285714282</v>
      </c>
      <c r="G547" s="88">
        <v>35000</v>
      </c>
      <c r="H547" s="89">
        <v>10880</v>
      </c>
      <c r="I547" s="224">
        <f t="shared" si="66"/>
        <v>31.085714285714282</v>
      </c>
      <c r="J547" s="126"/>
      <c r="K547" s="89"/>
      <c r="L547" s="224"/>
      <c r="M547" s="89"/>
      <c r="N547" s="89"/>
      <c r="O547" s="368"/>
      <c r="P547" s="89"/>
      <c r="Q547" s="89"/>
      <c r="R547" s="224"/>
    </row>
    <row r="548" spans="1:18" ht="24">
      <c r="A548" s="124">
        <v>4110</v>
      </c>
      <c r="B548" s="128" t="s">
        <v>27</v>
      </c>
      <c r="C548" s="88">
        <v>10000</v>
      </c>
      <c r="D548" s="74">
        <f t="shared" si="63"/>
        <v>10000</v>
      </c>
      <c r="E548" s="89">
        <f t="shared" si="64"/>
        <v>1283</v>
      </c>
      <c r="F548" s="468">
        <f t="shared" si="65"/>
        <v>12.83</v>
      </c>
      <c r="G548" s="88">
        <v>10000</v>
      </c>
      <c r="H548" s="89">
        <v>1283</v>
      </c>
      <c r="I548" s="224">
        <f t="shared" si="66"/>
        <v>12.83</v>
      </c>
      <c r="J548" s="126"/>
      <c r="K548" s="89"/>
      <c r="L548" s="224"/>
      <c r="M548" s="89"/>
      <c r="N548" s="89"/>
      <c r="O548" s="368"/>
      <c r="P548" s="89"/>
      <c r="Q548" s="89"/>
      <c r="R548" s="224"/>
    </row>
    <row r="549" spans="1:18" ht="24">
      <c r="A549" s="124">
        <v>4110</v>
      </c>
      <c r="B549" s="128" t="s">
        <v>32</v>
      </c>
      <c r="C549" s="88">
        <v>17000</v>
      </c>
      <c r="D549" s="74">
        <f t="shared" si="63"/>
        <v>17000</v>
      </c>
      <c r="E549" s="89">
        <f t="shared" si="64"/>
        <v>3957</v>
      </c>
      <c r="F549" s="468">
        <f t="shared" si="65"/>
        <v>23.27647058823529</v>
      </c>
      <c r="G549" s="88">
        <v>17000</v>
      </c>
      <c r="H549" s="89">
        <v>3957</v>
      </c>
      <c r="I549" s="224">
        <f t="shared" si="66"/>
        <v>23.27647058823529</v>
      </c>
      <c r="J549" s="126"/>
      <c r="K549" s="89"/>
      <c r="L549" s="224"/>
      <c r="M549" s="89"/>
      <c r="N549" s="89"/>
      <c r="O549" s="368"/>
      <c r="P549" s="89"/>
      <c r="Q549" s="89"/>
      <c r="R549" s="224"/>
    </row>
    <row r="550" spans="1:18" ht="12.75">
      <c r="A550" s="124">
        <v>4120</v>
      </c>
      <c r="B550" s="128" t="s">
        <v>33</v>
      </c>
      <c r="C550" s="88">
        <v>1600</v>
      </c>
      <c r="D550" s="74">
        <f t="shared" si="63"/>
        <v>1600</v>
      </c>
      <c r="E550" s="89">
        <f t="shared" si="64"/>
        <v>220</v>
      </c>
      <c r="F550" s="468">
        <f t="shared" si="65"/>
        <v>13.750000000000002</v>
      </c>
      <c r="G550" s="88">
        <v>1600</v>
      </c>
      <c r="H550" s="89">
        <v>220</v>
      </c>
      <c r="I550" s="224">
        <f t="shared" si="66"/>
        <v>13.750000000000002</v>
      </c>
      <c r="J550" s="126"/>
      <c r="K550" s="89"/>
      <c r="L550" s="224"/>
      <c r="M550" s="89"/>
      <c r="N550" s="89"/>
      <c r="O550" s="368"/>
      <c r="P550" s="89"/>
      <c r="Q550" s="89"/>
      <c r="R550" s="224"/>
    </row>
    <row r="551" spans="1:18" ht="12.75">
      <c r="A551" s="124">
        <v>4120</v>
      </c>
      <c r="B551" s="128" t="s">
        <v>34</v>
      </c>
      <c r="C551" s="88">
        <v>2400</v>
      </c>
      <c r="D551" s="74">
        <f t="shared" si="63"/>
        <v>2400</v>
      </c>
      <c r="E551" s="89">
        <f t="shared" si="64"/>
        <v>639</v>
      </c>
      <c r="F551" s="468">
        <f t="shared" si="65"/>
        <v>26.625</v>
      </c>
      <c r="G551" s="88">
        <v>2400</v>
      </c>
      <c r="H551" s="89">
        <f>638+1</f>
        <v>639</v>
      </c>
      <c r="I551" s="224">
        <f t="shared" si="66"/>
        <v>26.625</v>
      </c>
      <c r="J551" s="126"/>
      <c r="K551" s="89"/>
      <c r="L551" s="224"/>
      <c r="M551" s="89"/>
      <c r="N551" s="89"/>
      <c r="O551" s="368"/>
      <c r="P551" s="89"/>
      <c r="Q551" s="89"/>
      <c r="R551" s="224"/>
    </row>
    <row r="552" spans="1:18" ht="24">
      <c r="A552" s="124">
        <v>4170</v>
      </c>
      <c r="B552" s="128" t="s">
        <v>35</v>
      </c>
      <c r="C552" s="88">
        <v>22000</v>
      </c>
      <c r="D552" s="74">
        <f t="shared" si="63"/>
        <v>22000</v>
      </c>
      <c r="E552" s="89">
        <f t="shared" si="64"/>
        <v>10309</v>
      </c>
      <c r="F552" s="468">
        <f t="shared" si="65"/>
        <v>46.85909090909091</v>
      </c>
      <c r="G552" s="88">
        <v>22000</v>
      </c>
      <c r="H552" s="89">
        <v>10309</v>
      </c>
      <c r="I552" s="224">
        <f t="shared" si="66"/>
        <v>46.85909090909091</v>
      </c>
      <c r="J552" s="126"/>
      <c r="K552" s="89"/>
      <c r="L552" s="224"/>
      <c r="M552" s="89"/>
      <c r="N552" s="89"/>
      <c r="O552" s="368"/>
      <c r="P552" s="89"/>
      <c r="Q552" s="89"/>
      <c r="R552" s="224"/>
    </row>
    <row r="553" spans="1:18" ht="24" hidden="1">
      <c r="A553" s="124">
        <v>4300</v>
      </c>
      <c r="B553" s="128" t="s">
        <v>36</v>
      </c>
      <c r="C553" s="88"/>
      <c r="D553" s="74">
        <f t="shared" si="63"/>
        <v>0</v>
      </c>
      <c r="E553" s="89">
        <f t="shared" si="64"/>
        <v>0</v>
      </c>
      <c r="F553" s="468" t="e">
        <f t="shared" si="65"/>
        <v>#DIV/0!</v>
      </c>
      <c r="G553" s="88"/>
      <c r="H553" s="89"/>
      <c r="I553" s="224" t="e">
        <f t="shared" si="66"/>
        <v>#DIV/0!</v>
      </c>
      <c r="J553" s="126"/>
      <c r="K553" s="89"/>
      <c r="L553" s="224"/>
      <c r="M553" s="89"/>
      <c r="N553" s="89"/>
      <c r="O553" s="368"/>
      <c r="P553" s="89"/>
      <c r="Q553" s="89"/>
      <c r="R553" s="224"/>
    </row>
    <row r="554" spans="1:18" ht="24">
      <c r="A554" s="124">
        <v>4300</v>
      </c>
      <c r="B554" s="128" t="s">
        <v>37</v>
      </c>
      <c r="C554" s="88">
        <v>250000</v>
      </c>
      <c r="D554" s="74">
        <f t="shared" si="63"/>
        <v>250000</v>
      </c>
      <c r="E554" s="89">
        <f t="shared" si="64"/>
        <v>134778</v>
      </c>
      <c r="F554" s="468">
        <f t="shared" si="65"/>
        <v>53.9112</v>
      </c>
      <c r="G554" s="88">
        <v>250000</v>
      </c>
      <c r="H554" s="89">
        <v>134778</v>
      </c>
      <c r="I554" s="224">
        <f t="shared" si="66"/>
        <v>53.9112</v>
      </c>
      <c r="J554" s="126"/>
      <c r="K554" s="89"/>
      <c r="L554" s="224"/>
      <c r="M554" s="89"/>
      <c r="N554" s="89"/>
      <c r="O554" s="368"/>
      <c r="P554" s="89"/>
      <c r="Q554" s="89"/>
      <c r="R554" s="224"/>
    </row>
    <row r="555" spans="1:18" ht="24" hidden="1">
      <c r="A555" s="124">
        <v>4430</v>
      </c>
      <c r="B555" s="128" t="s">
        <v>341</v>
      </c>
      <c r="C555" s="88"/>
      <c r="D555" s="74">
        <f t="shared" si="63"/>
        <v>0</v>
      </c>
      <c r="E555" s="89">
        <f t="shared" si="64"/>
        <v>0</v>
      </c>
      <c r="F555" s="468" t="e">
        <f t="shared" si="65"/>
        <v>#DIV/0!</v>
      </c>
      <c r="G555" s="88"/>
      <c r="H555" s="89"/>
      <c r="I555" s="224" t="e">
        <f t="shared" si="66"/>
        <v>#DIV/0!</v>
      </c>
      <c r="J555" s="126"/>
      <c r="K555" s="89"/>
      <c r="L555" s="224"/>
      <c r="M555" s="89"/>
      <c r="N555" s="89"/>
      <c r="O555" s="368"/>
      <c r="P555" s="89"/>
      <c r="Q555" s="89"/>
      <c r="R555" s="224"/>
    </row>
    <row r="556" spans="1:18" ht="24">
      <c r="A556" s="124">
        <v>4430</v>
      </c>
      <c r="B556" s="128" t="s">
        <v>463</v>
      </c>
      <c r="C556" s="88">
        <v>4000</v>
      </c>
      <c r="D556" s="74">
        <f t="shared" si="63"/>
        <v>4000</v>
      </c>
      <c r="E556" s="89">
        <f t="shared" si="64"/>
        <v>256</v>
      </c>
      <c r="F556" s="468">
        <f t="shared" si="65"/>
        <v>6.4</v>
      </c>
      <c r="G556" s="88">
        <v>4000</v>
      </c>
      <c r="H556" s="89">
        <v>256</v>
      </c>
      <c r="I556" s="224">
        <f t="shared" si="66"/>
        <v>6.4</v>
      </c>
      <c r="J556" s="126"/>
      <c r="K556" s="89"/>
      <c r="L556" s="224"/>
      <c r="M556" s="89"/>
      <c r="N556" s="89"/>
      <c r="O556" s="368"/>
      <c r="P556" s="89"/>
      <c r="Q556" s="89"/>
      <c r="R556" s="224"/>
    </row>
    <row r="557" spans="1:18" ht="24">
      <c r="A557" s="124">
        <v>4430</v>
      </c>
      <c r="B557" s="128" t="s">
        <v>341</v>
      </c>
      <c r="C557" s="88"/>
      <c r="D557" s="74">
        <f>G557+J557+P557+M557</f>
        <v>5000</v>
      </c>
      <c r="E557" s="89">
        <f>SUM(H557+K557+N557+Q557)</f>
        <v>642</v>
      </c>
      <c r="F557" s="468">
        <f>E557/D557*100</f>
        <v>12.839999999999998</v>
      </c>
      <c r="G557" s="88">
        <v>5000</v>
      </c>
      <c r="H557" s="89">
        <v>642</v>
      </c>
      <c r="I557" s="224">
        <f t="shared" si="66"/>
        <v>12.839999999999998</v>
      </c>
      <c r="J557" s="126"/>
      <c r="K557" s="89"/>
      <c r="L557" s="224"/>
      <c r="M557" s="89"/>
      <c r="N557" s="89"/>
      <c r="O557" s="368"/>
      <c r="P557" s="89"/>
      <c r="Q557" s="89"/>
      <c r="R557" s="224"/>
    </row>
    <row r="558" spans="1:18" ht="24">
      <c r="A558" s="124">
        <v>4510</v>
      </c>
      <c r="B558" s="128" t="s">
        <v>16</v>
      </c>
      <c r="C558" s="88"/>
      <c r="D558" s="74">
        <f>G558+J558+P558+M558</f>
        <v>3000</v>
      </c>
      <c r="E558" s="89">
        <f>SUM(H558+K558+N558+Q558)</f>
        <v>0</v>
      </c>
      <c r="F558" s="468">
        <f>E558/D558*100</f>
        <v>0</v>
      </c>
      <c r="G558" s="88">
        <v>3000</v>
      </c>
      <c r="H558" s="89"/>
      <c r="I558" s="224">
        <f t="shared" si="66"/>
        <v>0</v>
      </c>
      <c r="J558" s="126"/>
      <c r="K558" s="89"/>
      <c r="L558" s="224"/>
      <c r="M558" s="89"/>
      <c r="N558" s="89"/>
      <c r="O558" s="368"/>
      <c r="P558" s="89"/>
      <c r="Q558" s="89"/>
      <c r="R558" s="224"/>
    </row>
    <row r="559" spans="1:18" ht="36">
      <c r="A559" s="124">
        <v>4610</v>
      </c>
      <c r="B559" s="128" t="s">
        <v>573</v>
      </c>
      <c r="C559" s="88">
        <f>SUM(C560:C561)</f>
        <v>70000</v>
      </c>
      <c r="D559" s="74">
        <f t="shared" si="63"/>
        <v>67000</v>
      </c>
      <c r="E559" s="89">
        <f t="shared" si="64"/>
        <v>16298</v>
      </c>
      <c r="F559" s="468">
        <f t="shared" si="65"/>
        <v>24.325373134328355</v>
      </c>
      <c r="G559" s="88">
        <f>SUM(G560:G562)</f>
        <v>67000</v>
      </c>
      <c r="H559" s="89">
        <f>SUM(H560:H562)</f>
        <v>16298</v>
      </c>
      <c r="I559" s="224">
        <f t="shared" si="66"/>
        <v>24.325373134328355</v>
      </c>
      <c r="J559" s="126"/>
      <c r="K559" s="89"/>
      <c r="L559" s="224"/>
      <c r="M559" s="89"/>
      <c r="N559" s="89"/>
      <c r="O559" s="368"/>
      <c r="P559" s="89"/>
      <c r="Q559" s="89"/>
      <c r="R559" s="224"/>
    </row>
    <row r="560" spans="1:18" s="11" customFormat="1" ht="12.75">
      <c r="A560" s="164"/>
      <c r="B560" s="233" t="s">
        <v>464</v>
      </c>
      <c r="C560" s="166">
        <v>10000</v>
      </c>
      <c r="D560" s="167">
        <f t="shared" si="63"/>
        <v>7000</v>
      </c>
      <c r="E560" s="167">
        <f t="shared" si="64"/>
        <v>1783</v>
      </c>
      <c r="F560" s="468">
        <f t="shared" si="65"/>
        <v>25.47142857142857</v>
      </c>
      <c r="G560" s="166">
        <f>10000-3000</f>
        <v>7000</v>
      </c>
      <c r="H560" s="167">
        <v>1783</v>
      </c>
      <c r="I560" s="224">
        <f t="shared" si="66"/>
        <v>25.47142857142857</v>
      </c>
      <c r="J560" s="168"/>
      <c r="K560" s="167"/>
      <c r="L560" s="224"/>
      <c r="M560" s="167"/>
      <c r="N560" s="167"/>
      <c r="O560" s="391"/>
      <c r="P560" s="167"/>
      <c r="Q560" s="167"/>
      <c r="R560" s="224"/>
    </row>
    <row r="561" spans="1:18" s="11" customFormat="1" ht="13.5" thickBot="1">
      <c r="A561" s="164"/>
      <c r="B561" s="233" t="s">
        <v>599</v>
      </c>
      <c r="C561" s="166">
        <v>60000</v>
      </c>
      <c r="D561" s="167">
        <f>G561+J561+P561+M561</f>
        <v>60000</v>
      </c>
      <c r="E561" s="167">
        <f t="shared" si="64"/>
        <v>14515</v>
      </c>
      <c r="F561" s="468">
        <f t="shared" si="65"/>
        <v>24.191666666666666</v>
      </c>
      <c r="G561" s="166">
        <v>60000</v>
      </c>
      <c r="H561" s="167">
        <v>14515</v>
      </c>
      <c r="I561" s="224">
        <f t="shared" si="66"/>
        <v>24.191666666666666</v>
      </c>
      <c r="J561" s="168"/>
      <c r="K561" s="167"/>
      <c r="L561" s="224"/>
      <c r="M561" s="167"/>
      <c r="N561" s="167"/>
      <c r="O561" s="391"/>
      <c r="P561" s="167"/>
      <c r="Q561" s="167"/>
      <c r="R561" s="224"/>
    </row>
    <row r="562" spans="1:18" s="11" customFormat="1" ht="13.5" hidden="1" thickBot="1">
      <c r="A562" s="164"/>
      <c r="B562" s="233" t="s">
        <v>465</v>
      </c>
      <c r="C562" s="445"/>
      <c r="D562" s="167">
        <f t="shared" si="63"/>
        <v>0</v>
      </c>
      <c r="E562" s="167">
        <f t="shared" si="64"/>
        <v>0</v>
      </c>
      <c r="F562" s="468" t="e">
        <f t="shared" si="65"/>
        <v>#DIV/0!</v>
      </c>
      <c r="G562" s="445">
        <f>500-500</f>
        <v>0</v>
      </c>
      <c r="H562" s="446"/>
      <c r="I562" s="224" t="e">
        <f t="shared" si="66"/>
        <v>#DIV/0!</v>
      </c>
      <c r="J562" s="447"/>
      <c r="K562" s="446"/>
      <c r="L562" s="274"/>
      <c r="M562" s="446"/>
      <c r="N562" s="446"/>
      <c r="O562" s="415"/>
      <c r="P562" s="446"/>
      <c r="Q562" s="446"/>
      <c r="R562" s="274"/>
    </row>
    <row r="563" spans="1:18" s="118" customFormat="1" ht="27" customHeight="1" thickBot="1" thickTop="1">
      <c r="A563" s="114">
        <v>757</v>
      </c>
      <c r="B563" s="115" t="s">
        <v>38</v>
      </c>
      <c r="C563" s="116">
        <f>SUM(C564)</f>
        <v>3103000</v>
      </c>
      <c r="D563" s="59">
        <f>G563+J563+P563+M563</f>
        <v>3103000</v>
      </c>
      <c r="E563" s="107">
        <f>H563+K563+Q563+N563</f>
        <v>1471471</v>
      </c>
      <c r="F563" s="496">
        <f t="shared" si="60"/>
        <v>47.42091524331292</v>
      </c>
      <c r="G563" s="116">
        <f>SUM(G564)</f>
        <v>3103000</v>
      </c>
      <c r="H563" s="107">
        <f>SUM(H564)</f>
        <v>1471471</v>
      </c>
      <c r="I563" s="354">
        <f t="shared" si="61"/>
        <v>47.42091524331292</v>
      </c>
      <c r="J563" s="117"/>
      <c r="K563" s="107"/>
      <c r="L563" s="419"/>
      <c r="M563" s="107"/>
      <c r="N563" s="107"/>
      <c r="O563" s="390"/>
      <c r="P563" s="116"/>
      <c r="Q563" s="107"/>
      <c r="R563" s="373"/>
    </row>
    <row r="564" spans="1:18" ht="48.75" thickTop="1">
      <c r="A564" s="119">
        <v>75702</v>
      </c>
      <c r="B564" s="185" t="s">
        <v>210</v>
      </c>
      <c r="C564" s="121">
        <f>SUM(C565:C567)</f>
        <v>3103000</v>
      </c>
      <c r="D564" s="122">
        <f>G564+J564+P564+M564</f>
        <v>3103000</v>
      </c>
      <c r="E564" s="186">
        <f>H564+K564+Q564+N564</f>
        <v>1471471</v>
      </c>
      <c r="F564" s="469">
        <f t="shared" si="60"/>
        <v>47.42091524331292</v>
      </c>
      <c r="G564" s="121">
        <f>SUM(G565:G567)</f>
        <v>3103000</v>
      </c>
      <c r="H564" s="84">
        <f>SUM(H565:H567)</f>
        <v>1471471</v>
      </c>
      <c r="I564" s="274">
        <f t="shared" si="61"/>
        <v>47.42091524331292</v>
      </c>
      <c r="J564" s="123"/>
      <c r="K564" s="84"/>
      <c r="L564" s="417"/>
      <c r="M564" s="84"/>
      <c r="N564" s="84"/>
      <c r="O564" s="381"/>
      <c r="P564" s="121"/>
      <c r="Q564" s="84"/>
      <c r="R564" s="372"/>
    </row>
    <row r="565" spans="1:18" s="12" customFormat="1" ht="72">
      <c r="A565" s="144">
        <v>8070</v>
      </c>
      <c r="B565" s="581" t="s">
        <v>256</v>
      </c>
      <c r="C565" s="252">
        <v>3100000</v>
      </c>
      <c r="D565" s="147">
        <f aca="true" t="shared" si="67" ref="D565:D629">G565+J565+P565+M565</f>
        <v>3100000</v>
      </c>
      <c r="E565" s="149">
        <f>SUM(H565+K565+N565+Q565)</f>
        <v>1468843</v>
      </c>
      <c r="F565" s="467">
        <f t="shared" si="60"/>
        <v>47.38203225806451</v>
      </c>
      <c r="G565" s="252">
        <v>3100000</v>
      </c>
      <c r="H565" s="147">
        <v>1468843</v>
      </c>
      <c r="I565" s="316">
        <f t="shared" si="61"/>
        <v>47.38203225806451</v>
      </c>
      <c r="J565" s="539"/>
      <c r="K565" s="147"/>
      <c r="L565" s="406"/>
      <c r="M565" s="147"/>
      <c r="N565" s="147"/>
      <c r="O565" s="381"/>
      <c r="P565" s="252"/>
      <c r="Q565" s="147"/>
      <c r="R565" s="372"/>
    </row>
    <row r="566" spans="1:18" s="12" customFormat="1" ht="24" hidden="1">
      <c r="A566" s="124">
        <v>4300</v>
      </c>
      <c r="B566" s="291" t="s">
        <v>510</v>
      </c>
      <c r="C566" s="174"/>
      <c r="D566" s="74">
        <f t="shared" si="67"/>
        <v>0</v>
      </c>
      <c r="E566" s="89">
        <f>SUM(H566+K566+N566+Q566)</f>
        <v>0</v>
      </c>
      <c r="F566" s="468" t="e">
        <f>E566/D566*100</f>
        <v>#DIV/0!</v>
      </c>
      <c r="G566" s="174"/>
      <c r="H566" s="74"/>
      <c r="I566" s="224" t="e">
        <f t="shared" si="61"/>
        <v>#DIV/0!</v>
      </c>
      <c r="J566" s="175"/>
      <c r="K566" s="74"/>
      <c r="L566" s="391"/>
      <c r="M566" s="74"/>
      <c r="N566" s="74"/>
      <c r="O566" s="368"/>
      <c r="P566" s="174"/>
      <c r="Q566" s="74"/>
      <c r="R566" s="362"/>
    </row>
    <row r="567" spans="1:18" s="118" customFormat="1" ht="72.75" thickBot="1">
      <c r="A567" s="346">
        <v>8079</v>
      </c>
      <c r="B567" s="575" t="s">
        <v>256</v>
      </c>
      <c r="C567" s="129">
        <v>3000</v>
      </c>
      <c r="D567" s="130">
        <f t="shared" si="67"/>
        <v>3000</v>
      </c>
      <c r="E567" s="221">
        <f>SUM(H567+K567+N567+Q567)</f>
        <v>2628</v>
      </c>
      <c r="F567" s="522">
        <f t="shared" si="60"/>
        <v>87.6</v>
      </c>
      <c r="G567" s="129">
        <v>3000</v>
      </c>
      <c r="H567" s="221">
        <v>2628</v>
      </c>
      <c r="I567" s="441">
        <f t="shared" si="61"/>
        <v>87.6</v>
      </c>
      <c r="J567" s="576"/>
      <c r="K567" s="221"/>
      <c r="L567" s="577"/>
      <c r="M567" s="221"/>
      <c r="N567" s="221"/>
      <c r="O567" s="578"/>
      <c r="P567" s="129"/>
      <c r="Q567" s="221"/>
      <c r="R567" s="579"/>
    </row>
    <row r="568" spans="1:18" ht="19.5" customHeight="1" thickBot="1" thickTop="1">
      <c r="A568" s="114">
        <v>758</v>
      </c>
      <c r="B568" s="115" t="s">
        <v>39</v>
      </c>
      <c r="C568" s="116">
        <f>C571+C569</f>
        <v>5476618</v>
      </c>
      <c r="D568" s="59">
        <f t="shared" si="67"/>
        <v>4849631</v>
      </c>
      <c r="E568" s="107">
        <f>E571+E569</f>
        <v>771814</v>
      </c>
      <c r="F568" s="496">
        <f t="shared" si="60"/>
        <v>15.914901566737758</v>
      </c>
      <c r="G568" s="222">
        <f>G571+G569</f>
        <v>3306013</v>
      </c>
      <c r="H568" s="107">
        <f>H571+H569</f>
        <v>0</v>
      </c>
      <c r="I568" s="354">
        <f t="shared" si="61"/>
        <v>0</v>
      </c>
      <c r="J568" s="117"/>
      <c r="K568" s="107"/>
      <c r="L568" s="419"/>
      <c r="M568" s="107">
        <f>M569</f>
        <v>1543618</v>
      </c>
      <c r="N568" s="107">
        <f>N569</f>
        <v>771814</v>
      </c>
      <c r="O568" s="390">
        <f>N568/M568*100</f>
        <v>50.00032391433632</v>
      </c>
      <c r="P568" s="116"/>
      <c r="Q568" s="107"/>
      <c r="R568" s="373"/>
    </row>
    <row r="569" spans="1:18" ht="36.75" thickTop="1">
      <c r="A569" s="255">
        <v>75832</v>
      </c>
      <c r="B569" s="256" t="s">
        <v>40</v>
      </c>
      <c r="C569" s="257">
        <f>C570</f>
        <v>1543618</v>
      </c>
      <c r="D569" s="67">
        <f t="shared" si="67"/>
        <v>1543618</v>
      </c>
      <c r="E569" s="186">
        <f>E570</f>
        <v>771814</v>
      </c>
      <c r="F569" s="518">
        <f t="shared" si="60"/>
        <v>50.00032391433632</v>
      </c>
      <c r="G569" s="257"/>
      <c r="H569" s="269"/>
      <c r="I569" s="355"/>
      <c r="J569" s="269"/>
      <c r="K569" s="186"/>
      <c r="L569" s="420"/>
      <c r="M569" s="186">
        <f>M570</f>
        <v>1543618</v>
      </c>
      <c r="N569" s="186">
        <f>N570</f>
        <v>771814</v>
      </c>
      <c r="O569" s="465">
        <f>N569/M569*100</f>
        <v>50.00032391433632</v>
      </c>
      <c r="P569" s="257"/>
      <c r="Q569" s="186"/>
      <c r="R569" s="380"/>
    </row>
    <row r="570" spans="1:18" s="12" customFormat="1" ht="36">
      <c r="A570" s="172">
        <v>2930</v>
      </c>
      <c r="B570" s="206" t="s">
        <v>41</v>
      </c>
      <c r="C570" s="174">
        <v>1543618</v>
      </c>
      <c r="D570" s="161">
        <f t="shared" si="67"/>
        <v>1543618</v>
      </c>
      <c r="E570" s="104">
        <f aca="true" t="shared" si="68" ref="E570:E575">SUM(H570+K570+N570+Q570)</f>
        <v>771814</v>
      </c>
      <c r="F570" s="469">
        <f t="shared" si="60"/>
        <v>50.00032391433632</v>
      </c>
      <c r="G570" s="174"/>
      <c r="H570" s="74"/>
      <c r="I570" s="274"/>
      <c r="J570" s="175"/>
      <c r="K570" s="74"/>
      <c r="L570" s="391"/>
      <c r="M570" s="74">
        <v>1543618</v>
      </c>
      <c r="N570" s="74">
        <f>128644+128634+128634+128634+128634+128634</f>
        <v>771814</v>
      </c>
      <c r="O570" s="466">
        <f>N570/M570*100</f>
        <v>50.00032391433632</v>
      </c>
      <c r="P570" s="174"/>
      <c r="Q570" s="74"/>
      <c r="R570" s="362"/>
    </row>
    <row r="571" spans="1:18" ht="24">
      <c r="A571" s="119">
        <v>75818</v>
      </c>
      <c r="B571" s="185" t="s">
        <v>42</v>
      </c>
      <c r="C571" s="121">
        <f>SUM(C572:C575)</f>
        <v>3933000</v>
      </c>
      <c r="D571" s="122">
        <f t="shared" si="67"/>
        <v>3306013</v>
      </c>
      <c r="E571" s="512">
        <f t="shared" si="68"/>
        <v>0</v>
      </c>
      <c r="F571" s="469">
        <f t="shared" si="60"/>
        <v>0</v>
      </c>
      <c r="G571" s="121">
        <f>SUM(G572:G575)</f>
        <v>3306013</v>
      </c>
      <c r="H571" s="123">
        <f>SUM(H572:H575)</f>
        <v>0</v>
      </c>
      <c r="I571" s="274">
        <f t="shared" si="61"/>
        <v>0</v>
      </c>
      <c r="J571" s="123"/>
      <c r="K571" s="84"/>
      <c r="L571" s="417"/>
      <c r="M571" s="84"/>
      <c r="N571" s="84"/>
      <c r="O571" s="381"/>
      <c r="P571" s="121"/>
      <c r="Q571" s="84"/>
      <c r="R571" s="372"/>
    </row>
    <row r="572" spans="1:18" s="12" customFormat="1" ht="48">
      <c r="A572" s="194">
        <v>4810</v>
      </c>
      <c r="B572" s="195" t="s">
        <v>440</v>
      </c>
      <c r="C572" s="102">
        <v>2250000</v>
      </c>
      <c r="D572" s="103">
        <f t="shared" si="67"/>
        <v>1707960</v>
      </c>
      <c r="E572" s="103">
        <f t="shared" si="68"/>
        <v>0</v>
      </c>
      <c r="F572" s="470">
        <f t="shared" si="60"/>
        <v>0</v>
      </c>
      <c r="G572" s="102">
        <f>2250000-37440-104600-400000</f>
        <v>1707960</v>
      </c>
      <c r="H572" s="103"/>
      <c r="I572" s="304">
        <f t="shared" si="61"/>
        <v>0</v>
      </c>
      <c r="J572" s="196"/>
      <c r="K572" s="103"/>
      <c r="L572" s="414"/>
      <c r="M572" s="103"/>
      <c r="N572" s="103"/>
      <c r="O572" s="388"/>
      <c r="P572" s="102"/>
      <c r="Q572" s="103"/>
      <c r="R572" s="365"/>
    </row>
    <row r="573" spans="1:18" s="12" customFormat="1" ht="36">
      <c r="A573" s="172">
        <v>4810</v>
      </c>
      <c r="B573" s="337" t="s">
        <v>441</v>
      </c>
      <c r="C573" s="174">
        <v>83000</v>
      </c>
      <c r="D573" s="74">
        <f t="shared" si="67"/>
        <v>0</v>
      </c>
      <c r="E573" s="89">
        <f>SUM(H573+K573+N573+Q573)</f>
        <v>0</v>
      </c>
      <c r="F573" s="468"/>
      <c r="G573" s="174">
        <f>83000-83000</f>
        <v>0</v>
      </c>
      <c r="H573" s="74"/>
      <c r="I573" s="224"/>
      <c r="J573" s="175"/>
      <c r="K573" s="74"/>
      <c r="L573" s="391"/>
      <c r="M573" s="74"/>
      <c r="N573" s="74"/>
      <c r="O573" s="368"/>
      <c r="P573" s="174"/>
      <c r="Q573" s="74"/>
      <c r="R573" s="362"/>
    </row>
    <row r="574" spans="1:18" s="12" customFormat="1" ht="36">
      <c r="A574" s="172">
        <v>6800</v>
      </c>
      <c r="B574" s="206" t="s">
        <v>442</v>
      </c>
      <c r="C574" s="174">
        <v>100000</v>
      </c>
      <c r="D574" s="74">
        <f t="shared" si="67"/>
        <v>98053</v>
      </c>
      <c r="E574" s="89">
        <f t="shared" si="68"/>
        <v>0</v>
      </c>
      <c r="F574" s="468">
        <f t="shared" si="60"/>
        <v>0</v>
      </c>
      <c r="G574" s="174">
        <f>100000-1947</f>
        <v>98053</v>
      </c>
      <c r="H574" s="74"/>
      <c r="I574" s="224">
        <f t="shared" si="61"/>
        <v>0</v>
      </c>
      <c r="J574" s="175"/>
      <c r="K574" s="74"/>
      <c r="L574" s="391"/>
      <c r="M574" s="74"/>
      <c r="N574" s="74"/>
      <c r="O574" s="368"/>
      <c r="P574" s="174"/>
      <c r="Q574" s="74"/>
      <c r="R574" s="362"/>
    </row>
    <row r="575" spans="1:18" ht="24.75" thickBot="1">
      <c r="A575" s="124">
        <v>4810</v>
      </c>
      <c r="B575" s="128" t="s">
        <v>43</v>
      </c>
      <c r="C575" s="88">
        <v>1500000</v>
      </c>
      <c r="D575" s="74">
        <f t="shared" si="67"/>
        <v>1500000</v>
      </c>
      <c r="E575" s="89">
        <f t="shared" si="68"/>
        <v>0</v>
      </c>
      <c r="F575" s="468">
        <f t="shared" si="60"/>
        <v>0</v>
      </c>
      <c r="G575" s="88">
        <v>1500000</v>
      </c>
      <c r="H575" s="89"/>
      <c r="I575" s="224">
        <f t="shared" si="61"/>
        <v>0</v>
      </c>
      <c r="J575" s="126"/>
      <c r="K575" s="89"/>
      <c r="L575" s="391"/>
      <c r="M575" s="89"/>
      <c r="N575" s="89"/>
      <c r="O575" s="368"/>
      <c r="P575" s="88"/>
      <c r="Q575" s="89"/>
      <c r="R575" s="362"/>
    </row>
    <row r="576" spans="1:18" s="118" customFormat="1" ht="27" customHeight="1" thickBot="1" thickTop="1">
      <c r="A576" s="114">
        <v>801</v>
      </c>
      <c r="B576" s="115" t="s">
        <v>44</v>
      </c>
      <c r="C576" s="116">
        <f>C577+C607+C644+C665+C693+C736+C765+C787+C819+C840+C865+C868+C884+C648+C632+C715</f>
        <v>111632500</v>
      </c>
      <c r="D576" s="59">
        <f t="shared" si="67"/>
        <v>119025621</v>
      </c>
      <c r="E576" s="59">
        <f>H576+K576+Q576+N576</f>
        <v>61707933</v>
      </c>
      <c r="F576" s="496">
        <f t="shared" si="60"/>
        <v>51.84424368598758</v>
      </c>
      <c r="G576" s="116">
        <f>G577+G607+G644+G665+G693+G736+G765+G787+G819+G840+G865+G868+G884+G648+G632+G715</f>
        <v>72662256</v>
      </c>
      <c r="H576" s="107">
        <f>H577+H607+H644+H665+H693+H736+H765+H787+H819+H840+H865+H868+H884+H648+H632+H715</f>
        <v>36629127</v>
      </c>
      <c r="I576" s="463">
        <f t="shared" si="61"/>
        <v>50.41011525983999</v>
      </c>
      <c r="J576" s="107">
        <f>J884</f>
        <v>10000</v>
      </c>
      <c r="K576" s="107">
        <f>K884</f>
        <v>0</v>
      </c>
      <c r="L576" s="354">
        <f>K576/J576*100</f>
        <v>0</v>
      </c>
      <c r="M576" s="107">
        <f>M577+M607+M644+M665+M693+M736+M765+M787+M819+M840+M865+M868+M884+M648</f>
        <v>46353365</v>
      </c>
      <c r="N576" s="107">
        <f>N577+N607+N644+N665+N693+N736+N765+N787+N819+N840+N865+N868+N884+N648</f>
        <v>25078806</v>
      </c>
      <c r="O576" s="354">
        <f>N576/M576*100</f>
        <v>54.10352840619015</v>
      </c>
      <c r="P576" s="116"/>
      <c r="Q576" s="107"/>
      <c r="R576" s="373"/>
    </row>
    <row r="577" spans="1:18" ht="18.75" customHeight="1" thickTop="1">
      <c r="A577" s="119">
        <v>80101</v>
      </c>
      <c r="B577" s="185" t="s">
        <v>45</v>
      </c>
      <c r="C577" s="121">
        <f>SUM(C578:C606)</f>
        <v>29545200</v>
      </c>
      <c r="D577" s="122">
        <f t="shared" si="67"/>
        <v>33808217</v>
      </c>
      <c r="E577" s="186">
        <f>H577+K577+Q577+N577</f>
        <v>15851146</v>
      </c>
      <c r="F577" s="469">
        <f t="shared" si="60"/>
        <v>46.885483490596386</v>
      </c>
      <c r="G577" s="121">
        <f>SUM(G578:G606)</f>
        <v>33808217</v>
      </c>
      <c r="H577" s="84">
        <f>SUM(H578:H606)</f>
        <v>15851146</v>
      </c>
      <c r="I577" s="462">
        <f t="shared" si="61"/>
        <v>46.885483490596386</v>
      </c>
      <c r="J577" s="84"/>
      <c r="K577" s="84"/>
      <c r="L577" s="274"/>
      <c r="M577" s="84"/>
      <c r="N577" s="84"/>
      <c r="O577" s="381"/>
      <c r="P577" s="121"/>
      <c r="Q577" s="84"/>
      <c r="R577" s="372"/>
    </row>
    <row r="578" spans="1:18" ht="48">
      <c r="A578" s="124">
        <v>2540</v>
      </c>
      <c r="B578" s="128" t="s">
        <v>46</v>
      </c>
      <c r="C578" s="88">
        <v>625000</v>
      </c>
      <c r="D578" s="74">
        <f t="shared" si="67"/>
        <v>685000</v>
      </c>
      <c r="E578" s="89">
        <f>SUM(H578+K578+N578+Q578)</f>
        <v>347354</v>
      </c>
      <c r="F578" s="468">
        <f t="shared" si="60"/>
        <v>50.70861313868613</v>
      </c>
      <c r="G578" s="88">
        <f>625000+60000</f>
        <v>685000</v>
      </c>
      <c r="H578" s="89">
        <v>347354</v>
      </c>
      <c r="I578" s="442">
        <f t="shared" si="61"/>
        <v>50.70861313868613</v>
      </c>
      <c r="J578" s="126"/>
      <c r="K578" s="89"/>
      <c r="L578" s="391"/>
      <c r="M578" s="89"/>
      <c r="N578" s="89"/>
      <c r="O578" s="368"/>
      <c r="P578" s="88"/>
      <c r="Q578" s="89"/>
      <c r="R578" s="362"/>
    </row>
    <row r="579" spans="1:18" ht="36">
      <c r="A579" s="124">
        <v>3020</v>
      </c>
      <c r="B579" s="128" t="s">
        <v>257</v>
      </c>
      <c r="C579" s="88">
        <v>93300</v>
      </c>
      <c r="D579" s="74">
        <f t="shared" si="67"/>
        <v>92300</v>
      </c>
      <c r="E579" s="89">
        <f aca="true" t="shared" si="69" ref="E579:E592">SUM(H579+K579+N579+Q579)</f>
        <v>25976</v>
      </c>
      <c r="F579" s="468">
        <f t="shared" si="60"/>
        <v>28.143011917659805</v>
      </c>
      <c r="G579" s="88">
        <f>93300-1000</f>
        <v>92300</v>
      </c>
      <c r="H579" s="89">
        <v>25976</v>
      </c>
      <c r="I579" s="442">
        <f t="shared" si="61"/>
        <v>28.143011917659805</v>
      </c>
      <c r="J579" s="126"/>
      <c r="K579" s="89"/>
      <c r="L579" s="391"/>
      <c r="M579" s="89"/>
      <c r="N579" s="89"/>
      <c r="O579" s="368"/>
      <c r="P579" s="88"/>
      <c r="Q579" s="89"/>
      <c r="R579" s="362"/>
    </row>
    <row r="580" spans="1:18" ht="24.75" customHeight="1">
      <c r="A580" s="124">
        <v>4010</v>
      </c>
      <c r="B580" s="128" t="s">
        <v>492</v>
      </c>
      <c r="C580" s="88">
        <v>18268700</v>
      </c>
      <c r="D580" s="74">
        <f t="shared" si="67"/>
        <v>18475226</v>
      </c>
      <c r="E580" s="89">
        <f t="shared" si="69"/>
        <v>9431864</v>
      </c>
      <c r="F580" s="468">
        <f t="shared" si="60"/>
        <v>51.05141339001753</v>
      </c>
      <c r="G580" s="88">
        <f>18268700+209068-2542</f>
        <v>18475226</v>
      </c>
      <c r="H580" s="89">
        <v>9431864</v>
      </c>
      <c r="I580" s="442">
        <f t="shared" si="61"/>
        <v>51.05141339001753</v>
      </c>
      <c r="J580" s="126"/>
      <c r="K580" s="89"/>
      <c r="L580" s="391"/>
      <c r="M580" s="89"/>
      <c r="N580" s="89"/>
      <c r="O580" s="368"/>
      <c r="P580" s="88"/>
      <c r="Q580" s="89"/>
      <c r="R580" s="362"/>
    </row>
    <row r="581" spans="1:18" ht="24.75" customHeight="1">
      <c r="A581" s="158">
        <v>4040</v>
      </c>
      <c r="B581" s="159" t="s">
        <v>541</v>
      </c>
      <c r="C581" s="160">
        <v>1490600</v>
      </c>
      <c r="D581" s="161">
        <f t="shared" si="67"/>
        <v>1407410</v>
      </c>
      <c r="E581" s="155">
        <f t="shared" si="69"/>
        <v>1407342</v>
      </c>
      <c r="F581" s="469">
        <f t="shared" si="60"/>
        <v>99.9951684299529</v>
      </c>
      <c r="G581" s="160">
        <f>1490600-103930+20740</f>
        <v>1407410</v>
      </c>
      <c r="H581" s="155">
        <f>1407202+140</f>
        <v>1407342</v>
      </c>
      <c r="I581" s="462">
        <f t="shared" si="61"/>
        <v>99.9951684299529</v>
      </c>
      <c r="J581" s="162"/>
      <c r="K581" s="155"/>
      <c r="L581" s="415"/>
      <c r="M581" s="155"/>
      <c r="N581" s="155"/>
      <c r="O581" s="387"/>
      <c r="P581" s="160"/>
      <c r="Q581" s="155"/>
      <c r="R581" s="366"/>
    </row>
    <row r="582" spans="1:18" ht="23.25" customHeight="1">
      <c r="A582" s="124">
        <v>4110</v>
      </c>
      <c r="B582" s="128" t="s">
        <v>498</v>
      </c>
      <c r="C582" s="88">
        <v>3150000</v>
      </c>
      <c r="D582" s="74">
        <f t="shared" si="67"/>
        <v>3179270</v>
      </c>
      <c r="E582" s="89">
        <f>SUM(H582+K582+N582+Q582)</f>
        <v>1600917</v>
      </c>
      <c r="F582" s="468">
        <f t="shared" si="60"/>
        <v>50.35486133609288</v>
      </c>
      <c r="G582" s="88">
        <f>3150000+29270</f>
        <v>3179270</v>
      </c>
      <c r="H582" s="89">
        <v>1600917</v>
      </c>
      <c r="I582" s="442">
        <f t="shared" si="61"/>
        <v>50.35486133609288</v>
      </c>
      <c r="J582" s="126"/>
      <c r="K582" s="89"/>
      <c r="L582" s="391"/>
      <c r="M582" s="89"/>
      <c r="N582" s="89"/>
      <c r="O582" s="368"/>
      <c r="P582" s="88"/>
      <c r="Q582" s="89"/>
      <c r="R582" s="362"/>
    </row>
    <row r="583" spans="1:18" ht="15" customHeight="1">
      <c r="A583" s="124">
        <v>4120</v>
      </c>
      <c r="B583" s="128" t="s">
        <v>571</v>
      </c>
      <c r="C583" s="88">
        <v>483000</v>
      </c>
      <c r="D583" s="74">
        <f t="shared" si="67"/>
        <v>488122</v>
      </c>
      <c r="E583" s="89">
        <f>SUM(H583+K583+N583+Q583)</f>
        <v>253082</v>
      </c>
      <c r="F583" s="468">
        <f t="shared" si="60"/>
        <v>51.84810354788352</v>
      </c>
      <c r="G583" s="88">
        <f>483000+5122</f>
        <v>488122</v>
      </c>
      <c r="H583" s="89">
        <v>253082</v>
      </c>
      <c r="I583" s="442">
        <f t="shared" si="61"/>
        <v>51.84810354788352</v>
      </c>
      <c r="J583" s="126"/>
      <c r="K583" s="89"/>
      <c r="L583" s="391"/>
      <c r="M583" s="89"/>
      <c r="N583" s="89"/>
      <c r="O583" s="368"/>
      <c r="P583" s="88"/>
      <c r="Q583" s="89"/>
      <c r="R583" s="362"/>
    </row>
    <row r="584" spans="1:18" ht="15" customHeight="1">
      <c r="A584" s="124">
        <v>4140</v>
      </c>
      <c r="B584" s="128" t="s">
        <v>544</v>
      </c>
      <c r="C584" s="88">
        <v>84000</v>
      </c>
      <c r="D584" s="74">
        <f t="shared" si="67"/>
        <v>97300</v>
      </c>
      <c r="E584" s="89">
        <f>SUM(H584+K584+N584+Q584)</f>
        <v>48901</v>
      </c>
      <c r="F584" s="468">
        <f t="shared" si="60"/>
        <v>50.25796505652621</v>
      </c>
      <c r="G584" s="88">
        <f>84000+8200+5100</f>
        <v>97300</v>
      </c>
      <c r="H584" s="89">
        <v>48901</v>
      </c>
      <c r="I584" s="442">
        <f t="shared" si="61"/>
        <v>50.25796505652621</v>
      </c>
      <c r="J584" s="126"/>
      <c r="K584" s="89"/>
      <c r="L584" s="391"/>
      <c r="M584" s="89"/>
      <c r="N584" s="89"/>
      <c r="O584" s="368"/>
      <c r="P584" s="88"/>
      <c r="Q584" s="89"/>
      <c r="R584" s="362"/>
    </row>
    <row r="585" spans="1:18" ht="24">
      <c r="A585" s="124">
        <v>4170</v>
      </c>
      <c r="B585" s="128" t="s">
        <v>536</v>
      </c>
      <c r="C585" s="88">
        <v>7300</v>
      </c>
      <c r="D585" s="74">
        <f t="shared" si="67"/>
        <v>7500</v>
      </c>
      <c r="E585" s="89">
        <f>SUM(H585+K585+N585+Q585)</f>
        <v>2357</v>
      </c>
      <c r="F585" s="468">
        <f t="shared" si="60"/>
        <v>31.42666666666667</v>
      </c>
      <c r="G585" s="88">
        <f>7300-800+1000</f>
        <v>7500</v>
      </c>
      <c r="H585" s="89">
        <v>2357</v>
      </c>
      <c r="I585" s="442">
        <f t="shared" si="61"/>
        <v>31.42666666666667</v>
      </c>
      <c r="J585" s="126"/>
      <c r="K585" s="89"/>
      <c r="L585" s="391"/>
      <c r="M585" s="89"/>
      <c r="N585" s="89"/>
      <c r="O585" s="368"/>
      <c r="P585" s="88"/>
      <c r="Q585" s="89"/>
      <c r="R585" s="362"/>
    </row>
    <row r="586" spans="1:18" ht="24" customHeight="1">
      <c r="A586" s="124">
        <v>4210</v>
      </c>
      <c r="B586" s="128" t="s">
        <v>502</v>
      </c>
      <c r="C586" s="88">
        <v>582200</v>
      </c>
      <c r="D586" s="74">
        <f t="shared" si="67"/>
        <v>602700</v>
      </c>
      <c r="E586" s="89">
        <f t="shared" si="69"/>
        <v>290287</v>
      </c>
      <c r="F586" s="468">
        <f t="shared" si="60"/>
        <v>48.16442674630828</v>
      </c>
      <c r="G586" s="88">
        <f>582200+23500-3000</f>
        <v>602700</v>
      </c>
      <c r="H586" s="89">
        <v>290287</v>
      </c>
      <c r="I586" s="442">
        <f t="shared" si="61"/>
        <v>48.16442674630828</v>
      </c>
      <c r="J586" s="126"/>
      <c r="K586" s="89"/>
      <c r="L586" s="224"/>
      <c r="M586" s="89"/>
      <c r="N586" s="89"/>
      <c r="O586" s="368"/>
      <c r="P586" s="88"/>
      <c r="Q586" s="89"/>
      <c r="R586" s="362"/>
    </row>
    <row r="587" spans="1:18" ht="23.25" customHeight="1">
      <c r="A587" s="124">
        <v>4240</v>
      </c>
      <c r="B587" s="128" t="s">
        <v>47</v>
      </c>
      <c r="C587" s="88">
        <v>70000</v>
      </c>
      <c r="D587" s="74">
        <f t="shared" si="67"/>
        <v>92400</v>
      </c>
      <c r="E587" s="89">
        <f>SUM(H587+K587+N587+Q587)</f>
        <v>39753</v>
      </c>
      <c r="F587" s="468">
        <f t="shared" si="60"/>
        <v>43.02272727272727</v>
      </c>
      <c r="G587" s="88">
        <f>70000+5000+17400</f>
        <v>92400</v>
      </c>
      <c r="H587" s="89">
        <v>39753</v>
      </c>
      <c r="I587" s="442">
        <f t="shared" si="61"/>
        <v>43.02272727272727</v>
      </c>
      <c r="J587" s="126"/>
      <c r="K587" s="89"/>
      <c r="L587" s="391"/>
      <c r="M587" s="89"/>
      <c r="N587" s="89"/>
      <c r="O587" s="368"/>
      <c r="P587" s="88"/>
      <c r="Q587" s="89"/>
      <c r="R587" s="362"/>
    </row>
    <row r="588" spans="1:18" ht="15" customHeight="1">
      <c r="A588" s="124">
        <v>4260</v>
      </c>
      <c r="B588" s="205" t="s">
        <v>506</v>
      </c>
      <c r="C588" s="88">
        <v>1616900</v>
      </c>
      <c r="D588" s="74">
        <f t="shared" si="67"/>
        <v>1616900</v>
      </c>
      <c r="E588" s="89">
        <f t="shared" si="69"/>
        <v>1072338</v>
      </c>
      <c r="F588" s="468">
        <f t="shared" si="60"/>
        <v>66.32061351969818</v>
      </c>
      <c r="G588" s="88">
        <v>1616900</v>
      </c>
      <c r="H588" s="89">
        <v>1072338</v>
      </c>
      <c r="I588" s="442">
        <f t="shared" si="61"/>
        <v>66.32061351969818</v>
      </c>
      <c r="J588" s="126"/>
      <c r="K588" s="89"/>
      <c r="L588" s="391"/>
      <c r="M588" s="89"/>
      <c r="N588" s="89"/>
      <c r="O588" s="368"/>
      <c r="P588" s="88"/>
      <c r="Q588" s="89"/>
      <c r="R588" s="362"/>
    </row>
    <row r="589" spans="1:18" ht="15" customHeight="1">
      <c r="A589" s="124">
        <v>4270</v>
      </c>
      <c r="B589" s="128" t="s">
        <v>508</v>
      </c>
      <c r="C589" s="88">
        <v>49800</v>
      </c>
      <c r="D589" s="74">
        <f t="shared" si="67"/>
        <v>115220</v>
      </c>
      <c r="E589" s="89">
        <f t="shared" si="69"/>
        <v>26333</v>
      </c>
      <c r="F589" s="468">
        <f t="shared" si="60"/>
        <v>22.85453914250998</v>
      </c>
      <c r="G589" s="88">
        <f>49800+9620+46700+9100</f>
        <v>115220</v>
      </c>
      <c r="H589" s="89">
        <v>26333</v>
      </c>
      <c r="I589" s="442">
        <f t="shared" si="61"/>
        <v>22.85453914250998</v>
      </c>
      <c r="J589" s="126"/>
      <c r="K589" s="89"/>
      <c r="L589" s="391"/>
      <c r="M589" s="89"/>
      <c r="N589" s="89"/>
      <c r="O589" s="368"/>
      <c r="P589" s="88"/>
      <c r="Q589" s="89"/>
      <c r="R589" s="362"/>
    </row>
    <row r="590" spans="1:18" ht="15" customHeight="1">
      <c r="A590" s="124">
        <v>4280</v>
      </c>
      <c r="B590" s="128" t="s">
        <v>545</v>
      </c>
      <c r="C590" s="88">
        <v>26400</v>
      </c>
      <c r="D590" s="74">
        <f t="shared" si="67"/>
        <v>25800</v>
      </c>
      <c r="E590" s="89">
        <f t="shared" si="69"/>
        <v>6851</v>
      </c>
      <c r="F590" s="468">
        <f t="shared" si="60"/>
        <v>26.55426356589147</v>
      </c>
      <c r="G590" s="88">
        <f>26400-600</f>
        <v>25800</v>
      </c>
      <c r="H590" s="89">
        <v>6851</v>
      </c>
      <c r="I590" s="442">
        <f t="shared" si="61"/>
        <v>26.55426356589147</v>
      </c>
      <c r="J590" s="126"/>
      <c r="K590" s="89"/>
      <c r="L590" s="391"/>
      <c r="M590" s="89"/>
      <c r="N590" s="89"/>
      <c r="O590" s="368"/>
      <c r="P590" s="88"/>
      <c r="Q590" s="89"/>
      <c r="R590" s="362"/>
    </row>
    <row r="591" spans="1:18" ht="14.25" customHeight="1">
      <c r="A591" s="124">
        <v>4300</v>
      </c>
      <c r="B591" s="128" t="s">
        <v>510</v>
      </c>
      <c r="C591" s="88">
        <v>397800</v>
      </c>
      <c r="D591" s="74">
        <f t="shared" si="67"/>
        <v>396800</v>
      </c>
      <c r="E591" s="89">
        <f t="shared" si="69"/>
        <v>227125</v>
      </c>
      <c r="F591" s="468">
        <f t="shared" si="60"/>
        <v>57.239163306451616</v>
      </c>
      <c r="G591" s="88">
        <f>397800-1000</f>
        <v>396800</v>
      </c>
      <c r="H591" s="89">
        <v>227125</v>
      </c>
      <c r="I591" s="442">
        <f t="shared" si="61"/>
        <v>57.239163306451616</v>
      </c>
      <c r="J591" s="126"/>
      <c r="K591" s="89"/>
      <c r="L591" s="391"/>
      <c r="M591" s="89"/>
      <c r="N591" s="89"/>
      <c r="O591" s="368"/>
      <c r="P591" s="88"/>
      <c r="Q591" s="89"/>
      <c r="R591" s="362"/>
    </row>
    <row r="592" spans="1:18" ht="24">
      <c r="A592" s="124">
        <v>4350</v>
      </c>
      <c r="B592" s="128" t="s">
        <v>48</v>
      </c>
      <c r="C592" s="88">
        <v>30200</v>
      </c>
      <c r="D592" s="74">
        <f t="shared" si="67"/>
        <v>32400</v>
      </c>
      <c r="E592" s="89">
        <f t="shared" si="69"/>
        <v>12750</v>
      </c>
      <c r="F592" s="468">
        <f t="shared" si="60"/>
        <v>39.351851851851855</v>
      </c>
      <c r="G592" s="88">
        <f>30200+3700-1500</f>
        <v>32400</v>
      </c>
      <c r="H592" s="89">
        <v>12750</v>
      </c>
      <c r="I592" s="442">
        <f t="shared" si="61"/>
        <v>39.351851851851855</v>
      </c>
      <c r="J592" s="126"/>
      <c r="K592" s="89"/>
      <c r="L592" s="391"/>
      <c r="M592" s="89"/>
      <c r="N592" s="89"/>
      <c r="O592" s="368"/>
      <c r="P592" s="88"/>
      <c r="Q592" s="89"/>
      <c r="R592" s="362"/>
    </row>
    <row r="593" spans="1:18" ht="48">
      <c r="A593" s="172">
        <v>4360</v>
      </c>
      <c r="B593" s="337" t="s">
        <v>297</v>
      </c>
      <c r="C593" s="88">
        <v>1600</v>
      </c>
      <c r="D593" s="74">
        <f t="shared" si="67"/>
        <v>2400</v>
      </c>
      <c r="E593" s="89">
        <f>SUM(H593+K593+N593+Q593)</f>
        <v>1448</v>
      </c>
      <c r="F593" s="468">
        <f aca="true" t="shared" si="70" ref="F593:F657">E593/D593*100</f>
        <v>60.333333333333336</v>
      </c>
      <c r="G593" s="88">
        <f>1600+800</f>
        <v>2400</v>
      </c>
      <c r="H593" s="89">
        <v>1448</v>
      </c>
      <c r="I593" s="442">
        <f aca="true" t="shared" si="71" ref="I593:I606">H593/G593*100</f>
        <v>60.333333333333336</v>
      </c>
      <c r="J593" s="126"/>
      <c r="K593" s="89"/>
      <c r="L593" s="391"/>
      <c r="M593" s="89"/>
      <c r="N593" s="89"/>
      <c r="O593" s="368"/>
      <c r="P593" s="88"/>
      <c r="Q593" s="89"/>
      <c r="R593" s="362"/>
    </row>
    <row r="594" spans="1:18" ht="48">
      <c r="A594" s="172">
        <v>4370</v>
      </c>
      <c r="B594" s="337" t="s">
        <v>298</v>
      </c>
      <c r="C594" s="88">
        <v>71300</v>
      </c>
      <c r="D594" s="74">
        <f t="shared" si="67"/>
        <v>70300</v>
      </c>
      <c r="E594" s="89">
        <f>SUM(H594+K594+N594+Q594)</f>
        <v>30689</v>
      </c>
      <c r="F594" s="468">
        <f t="shared" si="70"/>
        <v>43.65433854907539</v>
      </c>
      <c r="G594" s="88">
        <f>71300-1000</f>
        <v>70300</v>
      </c>
      <c r="H594" s="89">
        <v>30689</v>
      </c>
      <c r="I594" s="442">
        <f t="shared" si="71"/>
        <v>43.65433854907539</v>
      </c>
      <c r="J594" s="126"/>
      <c r="K594" s="89"/>
      <c r="L594" s="391"/>
      <c r="M594" s="89"/>
      <c r="N594" s="89"/>
      <c r="O594" s="368"/>
      <c r="P594" s="88"/>
      <c r="Q594" s="89"/>
      <c r="R594" s="362"/>
    </row>
    <row r="595" spans="1:18" ht="36" hidden="1">
      <c r="A595" s="124">
        <v>4380</v>
      </c>
      <c r="B595" s="128" t="s">
        <v>299</v>
      </c>
      <c r="C595" s="88"/>
      <c r="D595" s="74">
        <f t="shared" si="67"/>
        <v>0</v>
      </c>
      <c r="E595" s="89">
        <f>SUM(H595+K595+N595+Q595)</f>
        <v>0</v>
      </c>
      <c r="F595" s="468" t="e">
        <f t="shared" si="70"/>
        <v>#DIV/0!</v>
      </c>
      <c r="G595" s="88"/>
      <c r="H595" s="89"/>
      <c r="I595" s="442"/>
      <c r="J595" s="126"/>
      <c r="K595" s="89"/>
      <c r="L595" s="391"/>
      <c r="M595" s="89"/>
      <c r="N595" s="89"/>
      <c r="O595" s="368"/>
      <c r="P595" s="88"/>
      <c r="Q595" s="89"/>
      <c r="R595" s="362"/>
    </row>
    <row r="596" spans="1:18" ht="36">
      <c r="A596" s="124">
        <v>4390</v>
      </c>
      <c r="B596" s="206" t="s">
        <v>268</v>
      </c>
      <c r="C596" s="88">
        <v>72200</v>
      </c>
      <c r="D596" s="74">
        <f t="shared" si="67"/>
        <v>70700</v>
      </c>
      <c r="E596" s="89">
        <f>SUM(H596+K596+N596+Q596)</f>
        <v>18288</v>
      </c>
      <c r="F596" s="468">
        <f t="shared" si="70"/>
        <v>25.867043847241867</v>
      </c>
      <c r="G596" s="88">
        <f>72200-1500</f>
        <v>70700</v>
      </c>
      <c r="H596" s="89">
        <v>18288</v>
      </c>
      <c r="I596" s="442">
        <f t="shared" si="71"/>
        <v>25.867043847241867</v>
      </c>
      <c r="J596" s="126"/>
      <c r="K596" s="89"/>
      <c r="L596" s="391"/>
      <c r="M596" s="89"/>
      <c r="N596" s="89"/>
      <c r="O596" s="368"/>
      <c r="P596" s="88"/>
      <c r="Q596" s="89"/>
      <c r="R596" s="362"/>
    </row>
    <row r="597" spans="1:18" ht="13.5" customHeight="1">
      <c r="A597" s="124">
        <v>4410</v>
      </c>
      <c r="B597" s="128" t="s">
        <v>484</v>
      </c>
      <c r="C597" s="88">
        <v>28200</v>
      </c>
      <c r="D597" s="74">
        <f t="shared" si="67"/>
        <v>28200</v>
      </c>
      <c r="E597" s="89">
        <f>SUM(H597+K597+N597+Q597)</f>
        <v>11484</v>
      </c>
      <c r="F597" s="468">
        <f t="shared" si="70"/>
        <v>40.72340425531915</v>
      </c>
      <c r="G597" s="88">
        <v>28200</v>
      </c>
      <c r="H597" s="89">
        <v>11484</v>
      </c>
      <c r="I597" s="442">
        <f t="shared" si="71"/>
        <v>40.72340425531915</v>
      </c>
      <c r="J597" s="126"/>
      <c r="K597" s="89"/>
      <c r="L597" s="391"/>
      <c r="M597" s="89"/>
      <c r="N597" s="89"/>
      <c r="O597" s="368"/>
      <c r="P597" s="88"/>
      <c r="Q597" s="89"/>
      <c r="R597" s="362"/>
    </row>
    <row r="598" spans="1:18" ht="23.25" customHeight="1">
      <c r="A598" s="124">
        <v>4420</v>
      </c>
      <c r="B598" s="128" t="s">
        <v>556</v>
      </c>
      <c r="C598" s="88">
        <v>2100</v>
      </c>
      <c r="D598" s="74">
        <f t="shared" si="67"/>
        <v>2100</v>
      </c>
      <c r="E598" s="74">
        <f>H598+K598+Q598+N598</f>
        <v>0</v>
      </c>
      <c r="F598" s="468">
        <f t="shared" si="70"/>
        <v>0</v>
      </c>
      <c r="G598" s="88">
        <v>2100</v>
      </c>
      <c r="H598" s="89"/>
      <c r="I598" s="442">
        <f t="shared" si="71"/>
        <v>0</v>
      </c>
      <c r="J598" s="126"/>
      <c r="K598" s="89"/>
      <c r="L598" s="391"/>
      <c r="M598" s="89"/>
      <c r="N598" s="89"/>
      <c r="O598" s="368"/>
      <c r="P598" s="88"/>
      <c r="Q598" s="89"/>
      <c r="R598" s="362"/>
    </row>
    <row r="599" spans="1:18" ht="12.75">
      <c r="A599" s="124">
        <v>4430</v>
      </c>
      <c r="B599" s="128" t="s">
        <v>512</v>
      </c>
      <c r="C599" s="88">
        <v>600</v>
      </c>
      <c r="D599" s="74">
        <f t="shared" si="67"/>
        <v>600</v>
      </c>
      <c r="E599" s="74">
        <f>H599+K599+Q599+N599</f>
        <v>304</v>
      </c>
      <c r="F599" s="468">
        <f t="shared" si="70"/>
        <v>50.66666666666667</v>
      </c>
      <c r="G599" s="88">
        <v>600</v>
      </c>
      <c r="H599" s="89">
        <v>304</v>
      </c>
      <c r="I599" s="442">
        <f t="shared" si="71"/>
        <v>50.66666666666667</v>
      </c>
      <c r="J599" s="126"/>
      <c r="K599" s="89"/>
      <c r="L599" s="391"/>
      <c r="M599" s="89"/>
      <c r="N599" s="89"/>
      <c r="O599" s="368"/>
      <c r="P599" s="88"/>
      <c r="Q599" s="89"/>
      <c r="R599" s="362"/>
    </row>
    <row r="600" spans="1:18" ht="12.75" customHeight="1">
      <c r="A600" s="124">
        <v>4440</v>
      </c>
      <c r="B600" s="128" t="s">
        <v>514</v>
      </c>
      <c r="C600" s="88">
        <v>1067000</v>
      </c>
      <c r="D600" s="74">
        <f t="shared" si="67"/>
        <v>1122680</v>
      </c>
      <c r="E600" s="89">
        <f aca="true" t="shared" si="72" ref="E600:E606">SUM(H600+K600+N600+Q600)</f>
        <v>864568</v>
      </c>
      <c r="F600" s="468">
        <f t="shared" si="70"/>
        <v>77.00929917696939</v>
      </c>
      <c r="G600" s="88">
        <f>1067000+55680</f>
        <v>1122680</v>
      </c>
      <c r="H600" s="89">
        <v>864568</v>
      </c>
      <c r="I600" s="442">
        <f t="shared" si="71"/>
        <v>77.00929917696939</v>
      </c>
      <c r="J600" s="126"/>
      <c r="K600" s="89"/>
      <c r="L600" s="391"/>
      <c r="M600" s="89"/>
      <c r="N600" s="89"/>
      <c r="O600" s="368"/>
      <c r="P600" s="88"/>
      <c r="Q600" s="89"/>
      <c r="R600" s="362"/>
    </row>
    <row r="601" spans="1:18" ht="12.75" customHeight="1">
      <c r="A601" s="124">
        <v>4580</v>
      </c>
      <c r="B601" s="128" t="s">
        <v>549</v>
      </c>
      <c r="C601" s="88"/>
      <c r="D601" s="74">
        <f>G601+J601+P601+M601</f>
        <v>342</v>
      </c>
      <c r="E601" s="89">
        <f>SUM(H601+K601+N601+Q601)</f>
        <v>0</v>
      </c>
      <c r="F601" s="468">
        <f>E601/D601*100</f>
        <v>0</v>
      </c>
      <c r="G601" s="88">
        <v>342</v>
      </c>
      <c r="H601" s="89"/>
      <c r="I601" s="442">
        <f t="shared" si="71"/>
        <v>0</v>
      </c>
      <c r="J601" s="126"/>
      <c r="K601" s="89"/>
      <c r="L601" s="391"/>
      <c r="M601" s="89"/>
      <c r="N601" s="89"/>
      <c r="O601" s="368"/>
      <c r="P601" s="88"/>
      <c r="Q601" s="89"/>
      <c r="R601" s="362"/>
    </row>
    <row r="602" spans="1:18" ht="36">
      <c r="A602" s="172">
        <v>4700</v>
      </c>
      <c r="B602" s="337" t="s">
        <v>285</v>
      </c>
      <c r="C602" s="88">
        <v>28400</v>
      </c>
      <c r="D602" s="74">
        <f t="shared" si="67"/>
        <v>29400</v>
      </c>
      <c r="E602" s="89">
        <f t="shared" si="72"/>
        <v>13692</v>
      </c>
      <c r="F602" s="468">
        <f t="shared" si="70"/>
        <v>46.57142857142857</v>
      </c>
      <c r="G602" s="88">
        <f>28400+1000</f>
        <v>29400</v>
      </c>
      <c r="H602" s="89">
        <v>13692</v>
      </c>
      <c r="I602" s="442">
        <f t="shared" si="71"/>
        <v>46.57142857142857</v>
      </c>
      <c r="J602" s="126"/>
      <c r="K602" s="89"/>
      <c r="L602" s="391"/>
      <c r="M602" s="89"/>
      <c r="N602" s="89"/>
      <c r="O602" s="368"/>
      <c r="P602" s="88"/>
      <c r="Q602" s="89"/>
      <c r="R602" s="362"/>
    </row>
    <row r="603" spans="1:18" ht="60">
      <c r="A603" s="197">
        <v>4740</v>
      </c>
      <c r="B603" s="198" t="s">
        <v>290</v>
      </c>
      <c r="C603" s="160">
        <v>29700</v>
      </c>
      <c r="D603" s="161">
        <f t="shared" si="67"/>
        <v>27700</v>
      </c>
      <c r="E603" s="155">
        <f t="shared" si="72"/>
        <v>5962</v>
      </c>
      <c r="F603" s="469">
        <f t="shared" si="70"/>
        <v>21.52346570397112</v>
      </c>
      <c r="G603" s="160">
        <f>29700-2000</f>
        <v>27700</v>
      </c>
      <c r="H603" s="155">
        <v>5962</v>
      </c>
      <c r="I603" s="462">
        <f t="shared" si="71"/>
        <v>21.52346570397112</v>
      </c>
      <c r="J603" s="162"/>
      <c r="K603" s="155"/>
      <c r="L603" s="415"/>
      <c r="M603" s="155"/>
      <c r="N603" s="155"/>
      <c r="O603" s="387"/>
      <c r="P603" s="160"/>
      <c r="Q603" s="155"/>
      <c r="R603" s="366"/>
    </row>
    <row r="604" spans="1:18" ht="36">
      <c r="A604" s="172">
        <v>4750</v>
      </c>
      <c r="B604" s="337" t="s">
        <v>291</v>
      </c>
      <c r="C604" s="88">
        <v>50000</v>
      </c>
      <c r="D604" s="74">
        <f t="shared" si="67"/>
        <v>48050</v>
      </c>
      <c r="E604" s="89">
        <f t="shared" si="72"/>
        <v>24631</v>
      </c>
      <c r="F604" s="468">
        <f t="shared" si="70"/>
        <v>51.26118626430801</v>
      </c>
      <c r="G604" s="88">
        <f>50000-1950</f>
        <v>48050</v>
      </c>
      <c r="H604" s="89">
        <v>24631</v>
      </c>
      <c r="I604" s="442">
        <f t="shared" si="71"/>
        <v>51.26118626430801</v>
      </c>
      <c r="J604" s="126"/>
      <c r="K604" s="89"/>
      <c r="L604" s="391"/>
      <c r="M604" s="89"/>
      <c r="N604" s="89"/>
      <c r="O604" s="368"/>
      <c r="P604" s="88"/>
      <c r="Q604" s="89"/>
      <c r="R604" s="362"/>
    </row>
    <row r="605" spans="1:18" ht="72">
      <c r="A605" s="124">
        <v>6050</v>
      </c>
      <c r="B605" s="128" t="s">
        <v>333</v>
      </c>
      <c r="C605" s="88">
        <v>1211400</v>
      </c>
      <c r="D605" s="74">
        <f t="shared" si="67"/>
        <v>5073397</v>
      </c>
      <c r="E605" s="89">
        <f t="shared" si="72"/>
        <v>86850</v>
      </c>
      <c r="F605" s="468">
        <f t="shared" si="70"/>
        <v>1.7118707643024982</v>
      </c>
      <c r="G605" s="88">
        <f>1211400+20000+400000+13200+3300000+134860-15063+9000</f>
        <v>5073397</v>
      </c>
      <c r="H605" s="89">
        <v>86850</v>
      </c>
      <c r="I605" s="442">
        <f t="shared" si="71"/>
        <v>1.7118707643024982</v>
      </c>
      <c r="J605" s="126"/>
      <c r="K605" s="89"/>
      <c r="L605" s="391"/>
      <c r="M605" s="89"/>
      <c r="N605" s="89"/>
      <c r="O605" s="368"/>
      <c r="P605" s="88"/>
      <c r="Q605" s="89"/>
      <c r="R605" s="362"/>
    </row>
    <row r="606" spans="1:18" ht="36">
      <c r="A606" s="124">
        <v>6060</v>
      </c>
      <c r="B606" s="128" t="s">
        <v>49</v>
      </c>
      <c r="C606" s="88">
        <v>7500</v>
      </c>
      <c r="D606" s="74">
        <f t="shared" si="67"/>
        <v>18000</v>
      </c>
      <c r="E606" s="89">
        <f t="shared" si="72"/>
        <v>0</v>
      </c>
      <c r="F606" s="468">
        <f t="shared" si="70"/>
        <v>0</v>
      </c>
      <c r="G606" s="88">
        <f>7500+10500</f>
        <v>18000</v>
      </c>
      <c r="H606" s="89"/>
      <c r="I606" s="442">
        <f t="shared" si="71"/>
        <v>0</v>
      </c>
      <c r="J606" s="126"/>
      <c r="K606" s="89"/>
      <c r="L606" s="391"/>
      <c r="M606" s="89"/>
      <c r="N606" s="89"/>
      <c r="O606" s="368"/>
      <c r="P606" s="88"/>
      <c r="Q606" s="89"/>
      <c r="R606" s="362"/>
    </row>
    <row r="607" spans="1:18" s="118" customFormat="1" ht="24">
      <c r="A607" s="119">
        <v>80102</v>
      </c>
      <c r="B607" s="185" t="s">
        <v>50</v>
      </c>
      <c r="C607" s="121">
        <f>SUM(C608:C630)</f>
        <v>2144700</v>
      </c>
      <c r="D607" s="95">
        <f t="shared" si="67"/>
        <v>2182980</v>
      </c>
      <c r="E607" s="84">
        <f>H607+K607+Q607+N607</f>
        <v>1256392</v>
      </c>
      <c r="F607" s="467">
        <f t="shared" si="70"/>
        <v>57.55398583587573</v>
      </c>
      <c r="G607" s="146"/>
      <c r="H607" s="149"/>
      <c r="I607" s="489"/>
      <c r="J607" s="148"/>
      <c r="K607" s="149"/>
      <c r="L607" s="406"/>
      <c r="M607" s="84">
        <f>SUM(M608:M631)</f>
        <v>2182980</v>
      </c>
      <c r="N607" s="84">
        <f>SUM(N608:N631)</f>
        <v>1256392</v>
      </c>
      <c r="O607" s="316">
        <f aca="true" t="shared" si="73" ref="O607:O630">N607/M607*100</f>
        <v>57.55398583587573</v>
      </c>
      <c r="P607" s="121"/>
      <c r="Q607" s="84"/>
      <c r="R607" s="372"/>
    </row>
    <row r="608" spans="1:18" s="118" customFormat="1" ht="36">
      <c r="A608" s="124">
        <v>3020</v>
      </c>
      <c r="B608" s="128" t="s">
        <v>257</v>
      </c>
      <c r="C608" s="88">
        <v>6000</v>
      </c>
      <c r="D608" s="74">
        <f t="shared" si="67"/>
        <v>6000</v>
      </c>
      <c r="E608" s="89">
        <f aca="true" t="shared" si="74" ref="E608:E631">SUM(H608+K608+N608+Q608)</f>
        <v>2434</v>
      </c>
      <c r="F608" s="468">
        <f t="shared" si="70"/>
        <v>40.56666666666667</v>
      </c>
      <c r="G608" s="88"/>
      <c r="H608" s="89"/>
      <c r="I608" s="466"/>
      <c r="J608" s="126"/>
      <c r="K608" s="89"/>
      <c r="L608" s="391"/>
      <c r="M608" s="88">
        <v>6000</v>
      </c>
      <c r="N608" s="104">
        <v>2434</v>
      </c>
      <c r="O608" s="442">
        <f t="shared" si="73"/>
        <v>40.56666666666667</v>
      </c>
      <c r="P608" s="88"/>
      <c r="Q608" s="89"/>
      <c r="R608" s="362"/>
    </row>
    <row r="609" spans="1:18" s="118" customFormat="1" ht="12.75">
      <c r="A609" s="124">
        <v>3110</v>
      </c>
      <c r="B609" s="128" t="s">
        <v>98</v>
      </c>
      <c r="C609" s="88">
        <v>1900</v>
      </c>
      <c r="D609" s="74">
        <f>G609+J609+P609+M609</f>
        <v>2300</v>
      </c>
      <c r="E609" s="89">
        <f>SUM(H609+K609+N609+Q609)</f>
        <v>2300</v>
      </c>
      <c r="F609" s="468">
        <f>E609/D609*100</f>
        <v>100</v>
      </c>
      <c r="G609" s="88"/>
      <c r="H609" s="89"/>
      <c r="I609" s="466"/>
      <c r="J609" s="126"/>
      <c r="K609" s="89"/>
      <c r="L609" s="391"/>
      <c r="M609" s="88">
        <f>1900+400</f>
        <v>2300</v>
      </c>
      <c r="N609" s="89">
        <v>2300</v>
      </c>
      <c r="O609" s="442">
        <f t="shared" si="73"/>
        <v>100</v>
      </c>
      <c r="P609" s="88"/>
      <c r="Q609" s="89"/>
      <c r="R609" s="362"/>
    </row>
    <row r="610" spans="1:18" s="118" customFormat="1" ht="24">
      <c r="A610" s="124">
        <v>4010</v>
      </c>
      <c r="B610" s="128" t="s">
        <v>492</v>
      </c>
      <c r="C610" s="88">
        <v>1460000</v>
      </c>
      <c r="D610" s="74">
        <f t="shared" si="67"/>
        <v>1466300</v>
      </c>
      <c r="E610" s="89">
        <f t="shared" si="74"/>
        <v>800935</v>
      </c>
      <c r="F610" s="468">
        <f t="shared" si="70"/>
        <v>54.62286026051968</v>
      </c>
      <c r="G610" s="88"/>
      <c r="H610" s="89"/>
      <c r="I610" s="466"/>
      <c r="J610" s="126"/>
      <c r="K610" s="89"/>
      <c r="L610" s="391"/>
      <c r="M610" s="88">
        <f>1460000+6300</f>
        <v>1466300</v>
      </c>
      <c r="N610" s="89">
        <v>800935</v>
      </c>
      <c r="O610" s="442">
        <f t="shared" si="73"/>
        <v>54.62286026051968</v>
      </c>
      <c r="P610" s="88"/>
      <c r="Q610" s="89"/>
      <c r="R610" s="362"/>
    </row>
    <row r="611" spans="1:18" s="118" customFormat="1" ht="24">
      <c r="A611" s="124">
        <v>4040</v>
      </c>
      <c r="B611" s="128" t="s">
        <v>496</v>
      </c>
      <c r="C611" s="88">
        <v>122200</v>
      </c>
      <c r="D611" s="74">
        <f t="shared" si="67"/>
        <v>122940</v>
      </c>
      <c r="E611" s="89">
        <f t="shared" si="74"/>
        <v>122940</v>
      </c>
      <c r="F611" s="468">
        <f t="shared" si="70"/>
        <v>100</v>
      </c>
      <c r="G611" s="88"/>
      <c r="H611" s="89"/>
      <c r="I611" s="466"/>
      <c r="J611" s="126"/>
      <c r="K611" s="89"/>
      <c r="L611" s="391"/>
      <c r="M611" s="88">
        <f>122200+740</f>
        <v>122940</v>
      </c>
      <c r="N611" s="89">
        <v>122940</v>
      </c>
      <c r="O611" s="442">
        <f t="shared" si="73"/>
        <v>100</v>
      </c>
      <c r="P611" s="88"/>
      <c r="Q611" s="89"/>
      <c r="R611" s="362"/>
    </row>
    <row r="612" spans="1:18" s="118" customFormat="1" ht="24">
      <c r="A612" s="124">
        <v>4110</v>
      </c>
      <c r="B612" s="128" t="s">
        <v>498</v>
      </c>
      <c r="C612" s="88">
        <v>263400</v>
      </c>
      <c r="D612" s="74">
        <f t="shared" si="67"/>
        <v>264400</v>
      </c>
      <c r="E612" s="89">
        <f t="shared" si="74"/>
        <v>139428</v>
      </c>
      <c r="F612" s="468">
        <f t="shared" si="70"/>
        <v>52.73373676248109</v>
      </c>
      <c r="G612" s="88"/>
      <c r="H612" s="89"/>
      <c r="I612" s="466"/>
      <c r="J612" s="126"/>
      <c r="K612" s="89"/>
      <c r="L612" s="391"/>
      <c r="M612" s="88">
        <f>263400+1000</f>
        <v>264400</v>
      </c>
      <c r="N612" s="89">
        <v>139428</v>
      </c>
      <c r="O612" s="442">
        <f t="shared" si="73"/>
        <v>52.73373676248109</v>
      </c>
      <c r="P612" s="88"/>
      <c r="Q612" s="89"/>
      <c r="R612" s="362"/>
    </row>
    <row r="613" spans="1:18" s="118" customFormat="1" ht="15" customHeight="1">
      <c r="A613" s="124">
        <v>4120</v>
      </c>
      <c r="B613" s="128" t="s">
        <v>571</v>
      </c>
      <c r="C613" s="88">
        <v>38600</v>
      </c>
      <c r="D613" s="74">
        <f t="shared" si="67"/>
        <v>38800</v>
      </c>
      <c r="E613" s="89">
        <f t="shared" si="74"/>
        <v>22372</v>
      </c>
      <c r="F613" s="468">
        <f t="shared" si="70"/>
        <v>57.659793814432994</v>
      </c>
      <c r="G613" s="88"/>
      <c r="H613" s="89"/>
      <c r="I613" s="466"/>
      <c r="J613" s="126"/>
      <c r="K613" s="89"/>
      <c r="L613" s="391"/>
      <c r="M613" s="88">
        <f>38600+200</f>
        <v>38800</v>
      </c>
      <c r="N613" s="89">
        <v>22372</v>
      </c>
      <c r="O613" s="442">
        <f t="shared" si="73"/>
        <v>57.659793814432994</v>
      </c>
      <c r="P613" s="88"/>
      <c r="Q613" s="89"/>
      <c r="R613" s="362"/>
    </row>
    <row r="614" spans="1:18" s="118" customFormat="1" ht="24" hidden="1">
      <c r="A614" s="124">
        <v>4130</v>
      </c>
      <c r="B614" s="128" t="s">
        <v>51</v>
      </c>
      <c r="C614" s="88"/>
      <c r="D614" s="74">
        <f t="shared" si="67"/>
        <v>0</v>
      </c>
      <c r="E614" s="89">
        <f t="shared" si="74"/>
        <v>0</v>
      </c>
      <c r="F614" s="468" t="e">
        <f t="shared" si="70"/>
        <v>#DIV/0!</v>
      </c>
      <c r="G614" s="88"/>
      <c r="H614" s="89"/>
      <c r="I614" s="466"/>
      <c r="J614" s="126"/>
      <c r="K614" s="89"/>
      <c r="L614" s="391"/>
      <c r="M614" s="88"/>
      <c r="N614" s="89"/>
      <c r="O614" s="442" t="e">
        <f t="shared" si="73"/>
        <v>#DIV/0!</v>
      </c>
      <c r="P614" s="88"/>
      <c r="Q614" s="89"/>
      <c r="R614" s="362"/>
    </row>
    <row r="615" spans="1:18" s="118" customFormat="1" ht="24">
      <c r="A615" s="124">
        <v>4210</v>
      </c>
      <c r="B615" s="128" t="s">
        <v>502</v>
      </c>
      <c r="C615" s="88">
        <v>30000</v>
      </c>
      <c r="D615" s="74">
        <f t="shared" si="67"/>
        <v>42640</v>
      </c>
      <c r="E615" s="89">
        <f t="shared" si="74"/>
        <v>23445</v>
      </c>
      <c r="F615" s="468">
        <f t="shared" si="70"/>
        <v>54.98358348968105</v>
      </c>
      <c r="G615" s="88"/>
      <c r="H615" s="89"/>
      <c r="I615" s="466"/>
      <c r="J615" s="126"/>
      <c r="K615" s="89"/>
      <c r="L615" s="391"/>
      <c r="M615" s="88">
        <f>30000+4000+8000+640</f>
        <v>42640</v>
      </c>
      <c r="N615" s="89">
        <v>23445</v>
      </c>
      <c r="O615" s="442">
        <f t="shared" si="73"/>
        <v>54.98358348968105</v>
      </c>
      <c r="P615" s="88"/>
      <c r="Q615" s="89"/>
      <c r="R615" s="362"/>
    </row>
    <row r="616" spans="1:18" s="118" customFormat="1" ht="36">
      <c r="A616" s="124">
        <v>4240</v>
      </c>
      <c r="B616" s="128" t="s">
        <v>563</v>
      </c>
      <c r="C616" s="88">
        <v>6800</v>
      </c>
      <c r="D616" s="74">
        <f t="shared" si="67"/>
        <v>6800</v>
      </c>
      <c r="E616" s="89">
        <f t="shared" si="74"/>
        <v>5713</v>
      </c>
      <c r="F616" s="468">
        <f t="shared" si="70"/>
        <v>84.01470588235294</v>
      </c>
      <c r="G616" s="88"/>
      <c r="H616" s="89"/>
      <c r="I616" s="466"/>
      <c r="J616" s="126"/>
      <c r="K616" s="89"/>
      <c r="L616" s="391"/>
      <c r="M616" s="88">
        <v>6800</v>
      </c>
      <c r="N616" s="89">
        <v>5713</v>
      </c>
      <c r="O616" s="442">
        <f t="shared" si="73"/>
        <v>84.01470588235294</v>
      </c>
      <c r="P616" s="88"/>
      <c r="Q616" s="89"/>
      <c r="R616" s="362"/>
    </row>
    <row r="617" spans="1:18" s="118" customFormat="1" ht="13.5" customHeight="1">
      <c r="A617" s="124">
        <v>4260</v>
      </c>
      <c r="B617" s="128" t="s">
        <v>506</v>
      </c>
      <c r="C617" s="88">
        <v>80000</v>
      </c>
      <c r="D617" s="74">
        <f t="shared" si="67"/>
        <v>80000</v>
      </c>
      <c r="E617" s="89">
        <f t="shared" si="74"/>
        <v>37217</v>
      </c>
      <c r="F617" s="468">
        <f t="shared" si="70"/>
        <v>46.521249999999995</v>
      </c>
      <c r="G617" s="88"/>
      <c r="H617" s="89"/>
      <c r="I617" s="466"/>
      <c r="J617" s="126"/>
      <c r="K617" s="89"/>
      <c r="L617" s="391"/>
      <c r="M617" s="88">
        <v>80000</v>
      </c>
      <c r="N617" s="89">
        <v>37217</v>
      </c>
      <c r="O617" s="442">
        <f t="shared" si="73"/>
        <v>46.521249999999995</v>
      </c>
      <c r="P617" s="88"/>
      <c r="Q617" s="89"/>
      <c r="R617" s="362"/>
    </row>
    <row r="618" spans="1:18" s="118" customFormat="1" ht="13.5" customHeight="1">
      <c r="A618" s="124">
        <v>4270</v>
      </c>
      <c r="B618" s="128" t="s">
        <v>508</v>
      </c>
      <c r="C618" s="88">
        <v>3800</v>
      </c>
      <c r="D618" s="74">
        <f t="shared" si="67"/>
        <v>3800</v>
      </c>
      <c r="E618" s="89">
        <f t="shared" si="74"/>
        <v>3361</v>
      </c>
      <c r="F618" s="468">
        <f t="shared" si="70"/>
        <v>88.44736842105263</v>
      </c>
      <c r="G618" s="88"/>
      <c r="H618" s="89"/>
      <c r="I618" s="466"/>
      <c r="J618" s="126"/>
      <c r="K618" s="89"/>
      <c r="L618" s="391"/>
      <c r="M618" s="88">
        <v>3800</v>
      </c>
      <c r="N618" s="89">
        <v>3361</v>
      </c>
      <c r="O618" s="442">
        <f t="shared" si="73"/>
        <v>88.44736842105263</v>
      </c>
      <c r="P618" s="88"/>
      <c r="Q618" s="89"/>
      <c r="R618" s="362"/>
    </row>
    <row r="619" spans="1:18" s="118" customFormat="1" ht="13.5" customHeight="1">
      <c r="A619" s="124">
        <v>4280</v>
      </c>
      <c r="B619" s="128" t="s">
        <v>545</v>
      </c>
      <c r="C619" s="88">
        <v>1900</v>
      </c>
      <c r="D619" s="74">
        <f t="shared" si="67"/>
        <v>1900</v>
      </c>
      <c r="E619" s="89">
        <f t="shared" si="74"/>
        <v>828</v>
      </c>
      <c r="F619" s="468">
        <f t="shared" si="70"/>
        <v>43.57894736842105</v>
      </c>
      <c r="G619" s="88"/>
      <c r="H619" s="89"/>
      <c r="I619" s="466"/>
      <c r="J619" s="126"/>
      <c r="K619" s="89"/>
      <c r="L619" s="391"/>
      <c r="M619" s="88">
        <v>1900</v>
      </c>
      <c r="N619" s="89">
        <v>828</v>
      </c>
      <c r="O619" s="442">
        <f t="shared" si="73"/>
        <v>43.57894736842105</v>
      </c>
      <c r="P619" s="88"/>
      <c r="Q619" s="89"/>
      <c r="R619" s="362"/>
    </row>
    <row r="620" spans="1:18" s="118" customFormat="1" ht="16.5" customHeight="1">
      <c r="A620" s="124">
        <v>4300</v>
      </c>
      <c r="B620" s="128" t="s">
        <v>510</v>
      </c>
      <c r="C620" s="88">
        <v>43000</v>
      </c>
      <c r="D620" s="74">
        <f t="shared" si="67"/>
        <v>47300</v>
      </c>
      <c r="E620" s="89">
        <f t="shared" si="74"/>
        <v>26548</v>
      </c>
      <c r="F620" s="468">
        <f t="shared" si="70"/>
        <v>56.12684989429175</v>
      </c>
      <c r="G620" s="88"/>
      <c r="H620" s="89"/>
      <c r="I620" s="466"/>
      <c r="J620" s="126"/>
      <c r="K620" s="89"/>
      <c r="L620" s="391"/>
      <c r="M620" s="88">
        <f>43000+4300</f>
        <v>47300</v>
      </c>
      <c r="N620" s="89">
        <v>26548</v>
      </c>
      <c r="O620" s="442">
        <f t="shared" si="73"/>
        <v>56.12684989429175</v>
      </c>
      <c r="P620" s="88"/>
      <c r="Q620" s="89"/>
      <c r="R620" s="362"/>
    </row>
    <row r="621" spans="1:18" s="118" customFormat="1" ht="24">
      <c r="A621" s="124">
        <v>4350</v>
      </c>
      <c r="B621" s="128" t="s">
        <v>48</v>
      </c>
      <c r="C621" s="88">
        <v>1200</v>
      </c>
      <c r="D621" s="74">
        <f t="shared" si="67"/>
        <v>1200</v>
      </c>
      <c r="E621" s="89">
        <f t="shared" si="74"/>
        <v>495</v>
      </c>
      <c r="F621" s="468">
        <f t="shared" si="70"/>
        <v>41.25</v>
      </c>
      <c r="G621" s="88"/>
      <c r="H621" s="89"/>
      <c r="I621" s="466"/>
      <c r="J621" s="126"/>
      <c r="K621" s="89"/>
      <c r="L621" s="391"/>
      <c r="M621" s="88">
        <v>1200</v>
      </c>
      <c r="N621" s="89">
        <v>495</v>
      </c>
      <c r="O621" s="442">
        <f t="shared" si="73"/>
        <v>41.25</v>
      </c>
      <c r="P621" s="88"/>
      <c r="Q621" s="89"/>
      <c r="R621" s="362"/>
    </row>
    <row r="622" spans="1:18" s="118" customFormat="1" ht="48">
      <c r="A622" s="197">
        <v>4360</v>
      </c>
      <c r="B622" s="198" t="s">
        <v>297</v>
      </c>
      <c r="C622" s="160">
        <v>600</v>
      </c>
      <c r="D622" s="161">
        <f t="shared" si="67"/>
        <v>700</v>
      </c>
      <c r="E622" s="155">
        <f>SUM(H622+K622+N622+Q622)</f>
        <v>300</v>
      </c>
      <c r="F622" s="469">
        <f>E622/D622*100</f>
        <v>42.857142857142854</v>
      </c>
      <c r="G622" s="160"/>
      <c r="H622" s="155"/>
      <c r="I622" s="479"/>
      <c r="J622" s="162"/>
      <c r="K622" s="155"/>
      <c r="L622" s="415"/>
      <c r="M622" s="160">
        <f>600+100</f>
        <v>700</v>
      </c>
      <c r="N622" s="155">
        <v>300</v>
      </c>
      <c r="O622" s="462">
        <f t="shared" si="73"/>
        <v>42.857142857142854</v>
      </c>
      <c r="P622" s="160"/>
      <c r="Q622" s="155"/>
      <c r="R622" s="366"/>
    </row>
    <row r="623" spans="1:18" s="118" customFormat="1" ht="48">
      <c r="A623" s="172">
        <v>4370</v>
      </c>
      <c r="B623" s="337" t="s">
        <v>298</v>
      </c>
      <c r="C623" s="88">
        <v>1900</v>
      </c>
      <c r="D623" s="74">
        <f t="shared" si="67"/>
        <v>1900</v>
      </c>
      <c r="E623" s="89">
        <f>SUM(H623+K623+N623+Q623)</f>
        <v>622</v>
      </c>
      <c r="F623" s="468">
        <f>E623/D623*100</f>
        <v>32.73684210526316</v>
      </c>
      <c r="G623" s="88"/>
      <c r="H623" s="89"/>
      <c r="I623" s="466"/>
      <c r="J623" s="126"/>
      <c r="K623" s="89"/>
      <c r="L623" s="391"/>
      <c r="M623" s="88">
        <v>1900</v>
      </c>
      <c r="N623" s="89">
        <v>622</v>
      </c>
      <c r="O623" s="442">
        <f t="shared" si="73"/>
        <v>32.73684210526316</v>
      </c>
      <c r="P623" s="88"/>
      <c r="Q623" s="89"/>
      <c r="R623" s="362"/>
    </row>
    <row r="624" spans="1:18" s="118" customFormat="1" ht="36">
      <c r="A624" s="124">
        <v>4390</v>
      </c>
      <c r="B624" s="206" t="s">
        <v>268</v>
      </c>
      <c r="C624" s="88">
        <v>2400</v>
      </c>
      <c r="D624" s="74">
        <f t="shared" si="67"/>
        <v>3500</v>
      </c>
      <c r="E624" s="89">
        <f>SUM(H624+K624+N624+Q624)</f>
        <v>1281</v>
      </c>
      <c r="F624" s="468">
        <f>E624/D624*100</f>
        <v>36.6</v>
      </c>
      <c r="G624" s="88"/>
      <c r="H624" s="89"/>
      <c r="I624" s="466"/>
      <c r="J624" s="126"/>
      <c r="K624" s="89"/>
      <c r="L624" s="391"/>
      <c r="M624" s="88">
        <f>2400+1100</f>
        <v>3500</v>
      </c>
      <c r="N624" s="89">
        <v>1281</v>
      </c>
      <c r="O624" s="442">
        <f t="shared" si="73"/>
        <v>36.6</v>
      </c>
      <c r="P624" s="88"/>
      <c r="Q624" s="89"/>
      <c r="R624" s="362"/>
    </row>
    <row r="625" spans="1:18" s="118" customFormat="1" ht="18" customHeight="1">
      <c r="A625" s="124">
        <v>4410</v>
      </c>
      <c r="B625" s="128" t="s">
        <v>484</v>
      </c>
      <c r="C625" s="88">
        <v>1100</v>
      </c>
      <c r="D625" s="74">
        <f t="shared" si="67"/>
        <v>4100</v>
      </c>
      <c r="E625" s="89">
        <f t="shared" si="74"/>
        <v>1817</v>
      </c>
      <c r="F625" s="468">
        <f t="shared" si="70"/>
        <v>44.31707317073171</v>
      </c>
      <c r="G625" s="88"/>
      <c r="H625" s="89"/>
      <c r="I625" s="466"/>
      <c r="J625" s="126"/>
      <c r="K625" s="89"/>
      <c r="L625" s="391"/>
      <c r="M625" s="88">
        <f>1100+3000</f>
        <v>4100</v>
      </c>
      <c r="N625" s="89">
        <v>1817</v>
      </c>
      <c r="O625" s="442">
        <f t="shared" si="73"/>
        <v>44.31707317073171</v>
      </c>
      <c r="P625" s="88"/>
      <c r="Q625" s="89"/>
      <c r="R625" s="362"/>
    </row>
    <row r="626" spans="1:18" s="118" customFormat="1" ht="12.75">
      <c r="A626" s="124">
        <v>4440</v>
      </c>
      <c r="B626" s="128" t="s">
        <v>514</v>
      </c>
      <c r="C626" s="88">
        <v>71200</v>
      </c>
      <c r="D626" s="74">
        <f t="shared" si="67"/>
        <v>81800</v>
      </c>
      <c r="E626" s="89">
        <f t="shared" si="74"/>
        <v>62100</v>
      </c>
      <c r="F626" s="468">
        <f t="shared" si="70"/>
        <v>75.91687041564792</v>
      </c>
      <c r="G626" s="88"/>
      <c r="H626" s="89"/>
      <c r="I626" s="466"/>
      <c r="J626" s="126"/>
      <c r="K626" s="89"/>
      <c r="L626" s="391"/>
      <c r="M626" s="88">
        <f>71200+3600+7000</f>
        <v>81800</v>
      </c>
      <c r="N626" s="89">
        <v>62100</v>
      </c>
      <c r="O626" s="442">
        <f t="shared" si="73"/>
        <v>75.91687041564792</v>
      </c>
      <c r="P626" s="88"/>
      <c r="Q626" s="89"/>
      <c r="R626" s="362"/>
    </row>
    <row r="627" spans="1:18" s="118" customFormat="1" ht="36">
      <c r="A627" s="172">
        <v>4700</v>
      </c>
      <c r="B627" s="337" t="s">
        <v>285</v>
      </c>
      <c r="C627" s="88">
        <v>1700</v>
      </c>
      <c r="D627" s="74">
        <f t="shared" si="67"/>
        <v>1700</v>
      </c>
      <c r="E627" s="89">
        <f>SUM(H627+K627+N627+Q627)</f>
        <v>564</v>
      </c>
      <c r="F627" s="468">
        <f>E627/D627*100</f>
        <v>33.1764705882353</v>
      </c>
      <c r="G627" s="88"/>
      <c r="H627" s="89"/>
      <c r="I627" s="466"/>
      <c r="J627" s="126"/>
      <c r="K627" s="89"/>
      <c r="L627" s="391"/>
      <c r="M627" s="88">
        <v>1700</v>
      </c>
      <c r="N627" s="89">
        <v>564</v>
      </c>
      <c r="O627" s="442">
        <f t="shared" si="73"/>
        <v>33.1764705882353</v>
      </c>
      <c r="P627" s="88"/>
      <c r="Q627" s="89"/>
      <c r="R627" s="362"/>
    </row>
    <row r="628" spans="1:18" s="118" customFormat="1" ht="60">
      <c r="A628" s="172">
        <v>4740</v>
      </c>
      <c r="B628" s="337" t="s">
        <v>290</v>
      </c>
      <c r="C628" s="88">
        <v>1100</v>
      </c>
      <c r="D628" s="74">
        <f t="shared" si="67"/>
        <v>1100</v>
      </c>
      <c r="E628" s="89">
        <f>SUM(H628+K628+N628+Q628)</f>
        <v>160</v>
      </c>
      <c r="F628" s="468">
        <f>E628/D628*100</f>
        <v>14.545454545454545</v>
      </c>
      <c r="G628" s="88"/>
      <c r="H628" s="89"/>
      <c r="I628" s="466"/>
      <c r="J628" s="126"/>
      <c r="K628" s="89"/>
      <c r="L628" s="391"/>
      <c r="M628" s="88">
        <v>1100</v>
      </c>
      <c r="N628" s="89">
        <v>160</v>
      </c>
      <c r="O628" s="442">
        <f t="shared" si="73"/>
        <v>14.545454545454545</v>
      </c>
      <c r="P628" s="88"/>
      <c r="Q628" s="89"/>
      <c r="R628" s="362"/>
    </row>
    <row r="629" spans="1:18" s="118" customFormat="1" ht="36">
      <c r="A629" s="172">
        <v>4750</v>
      </c>
      <c r="B629" s="337" t="s">
        <v>291</v>
      </c>
      <c r="C629" s="88">
        <v>5900</v>
      </c>
      <c r="D629" s="74">
        <f t="shared" si="67"/>
        <v>3800</v>
      </c>
      <c r="E629" s="89">
        <f>SUM(H629+K629+N629+Q629)</f>
        <v>1532</v>
      </c>
      <c r="F629" s="468">
        <f>E629/D629*100</f>
        <v>40.31578947368421</v>
      </c>
      <c r="G629" s="88"/>
      <c r="H629" s="89"/>
      <c r="I629" s="466"/>
      <c r="J629" s="126"/>
      <c r="K629" s="89"/>
      <c r="L629" s="391"/>
      <c r="M629" s="88">
        <f>5900-2100</f>
        <v>3800</v>
      </c>
      <c r="N629" s="89">
        <v>1532</v>
      </c>
      <c r="O629" s="442">
        <f t="shared" si="73"/>
        <v>40.31578947368421</v>
      </c>
      <c r="P629" s="88"/>
      <c r="Q629" s="89"/>
      <c r="R629" s="362"/>
    </row>
    <row r="630" spans="1:18" s="118" customFormat="1" ht="24" hidden="1">
      <c r="A630" s="124">
        <v>6050</v>
      </c>
      <c r="B630" s="128" t="s">
        <v>574</v>
      </c>
      <c r="C630" s="88"/>
      <c r="D630" s="74">
        <f aca="true" t="shared" si="75" ref="D630:D693">G630+J630+P630+M630</f>
        <v>0</v>
      </c>
      <c r="E630" s="89">
        <f t="shared" si="74"/>
        <v>0</v>
      </c>
      <c r="F630" s="468" t="e">
        <f t="shared" si="70"/>
        <v>#DIV/0!</v>
      </c>
      <c r="G630" s="88"/>
      <c r="H630" s="89"/>
      <c r="I630" s="466"/>
      <c r="J630" s="126"/>
      <c r="K630" s="89"/>
      <c r="L630" s="391"/>
      <c r="M630" s="88"/>
      <c r="N630" s="89"/>
      <c r="O630" s="442" t="e">
        <f t="shared" si="73"/>
        <v>#DIV/0!</v>
      </c>
      <c r="P630" s="88"/>
      <c r="Q630" s="89"/>
      <c r="R630" s="362"/>
    </row>
    <row r="631" spans="1:18" s="118" customFormat="1" ht="36" hidden="1">
      <c r="A631" s="124">
        <v>6060</v>
      </c>
      <c r="B631" s="128" t="s">
        <v>49</v>
      </c>
      <c r="C631" s="88"/>
      <c r="D631" s="161">
        <f t="shared" si="75"/>
        <v>0</v>
      </c>
      <c r="E631" s="155">
        <f t="shared" si="74"/>
        <v>0</v>
      </c>
      <c r="F631" s="469" t="e">
        <f>E631/D631*100</f>
        <v>#DIV/0!</v>
      </c>
      <c r="G631" s="88"/>
      <c r="H631" s="89"/>
      <c r="I631" s="466"/>
      <c r="J631" s="126"/>
      <c r="K631" s="89"/>
      <c r="L631" s="391"/>
      <c r="M631" s="88"/>
      <c r="N631" s="89"/>
      <c r="O631" s="442" t="e">
        <f>N631/M631*100</f>
        <v>#DIV/0!</v>
      </c>
      <c r="P631" s="88"/>
      <c r="Q631" s="89"/>
      <c r="R631" s="362"/>
    </row>
    <row r="632" spans="1:18" s="118" customFormat="1" ht="36">
      <c r="A632" s="150">
        <v>80103</v>
      </c>
      <c r="B632" s="187" t="s">
        <v>52</v>
      </c>
      <c r="C632" s="94">
        <f>SUM(C633:C643)</f>
        <v>732600</v>
      </c>
      <c r="D632" s="95">
        <f t="shared" si="75"/>
        <v>751238</v>
      </c>
      <c r="E632" s="95">
        <f>SUM(H632+K632+N632+Q632)</f>
        <v>391567</v>
      </c>
      <c r="F632" s="467">
        <f>E632/D632*100</f>
        <v>52.122895806655144</v>
      </c>
      <c r="G632" s="94">
        <f>SUM(G633:G643)</f>
        <v>751238</v>
      </c>
      <c r="H632" s="95">
        <f>SUM(H633:H643)</f>
        <v>391567</v>
      </c>
      <c r="I632" s="489">
        <f>H632/G632*100</f>
        <v>52.122895806655144</v>
      </c>
      <c r="J632" s="171"/>
      <c r="K632" s="95"/>
      <c r="L632" s="417"/>
      <c r="M632" s="219"/>
      <c r="N632" s="95"/>
      <c r="O632" s="271"/>
      <c r="P632" s="94"/>
      <c r="Q632" s="95"/>
      <c r="R632" s="370"/>
    </row>
    <row r="633" spans="1:18" s="118" customFormat="1" ht="48">
      <c r="A633" s="184">
        <v>2540</v>
      </c>
      <c r="B633" s="128" t="s">
        <v>46</v>
      </c>
      <c r="C633" s="174">
        <v>47200</v>
      </c>
      <c r="D633" s="74">
        <f t="shared" si="75"/>
        <v>66248</v>
      </c>
      <c r="E633" s="89">
        <f aca="true" t="shared" si="76" ref="E633:E643">SUM(H633+K633+N633+Q633)</f>
        <v>38048</v>
      </c>
      <c r="F633" s="468">
        <f t="shared" si="70"/>
        <v>57.43267721289699</v>
      </c>
      <c r="G633" s="174">
        <f>47200+9048+10000-1120+1120</f>
        <v>66248</v>
      </c>
      <c r="H633" s="89">
        <v>38048</v>
      </c>
      <c r="I633" s="466">
        <f>H633/G633*100</f>
        <v>57.43267721289699</v>
      </c>
      <c r="J633" s="175"/>
      <c r="K633" s="74"/>
      <c r="L633" s="391"/>
      <c r="M633" s="223"/>
      <c r="N633" s="74"/>
      <c r="O633" s="224"/>
      <c r="P633" s="174"/>
      <c r="Q633" s="74"/>
      <c r="R633" s="362"/>
    </row>
    <row r="634" spans="1:18" s="118" customFormat="1" ht="36">
      <c r="A634" s="272">
        <v>3020</v>
      </c>
      <c r="B634" s="128" t="s">
        <v>257</v>
      </c>
      <c r="C634" s="174">
        <v>700</v>
      </c>
      <c r="D634" s="74">
        <f t="shared" si="75"/>
        <v>700</v>
      </c>
      <c r="E634" s="89">
        <f t="shared" si="76"/>
        <v>243</v>
      </c>
      <c r="F634" s="468">
        <f>E634/D634*100</f>
        <v>34.714285714285715</v>
      </c>
      <c r="G634" s="174">
        <v>700</v>
      </c>
      <c r="H634" s="74">
        <v>243</v>
      </c>
      <c r="I634" s="466">
        <f>H634/G634*100</f>
        <v>34.714285714285715</v>
      </c>
      <c r="J634" s="175"/>
      <c r="K634" s="74"/>
      <c r="L634" s="391"/>
      <c r="M634" s="223"/>
      <c r="N634" s="74"/>
      <c r="O634" s="224"/>
      <c r="P634" s="174"/>
      <c r="Q634" s="74"/>
      <c r="R634" s="362"/>
    </row>
    <row r="635" spans="1:18" s="118" customFormat="1" ht="24">
      <c r="A635" s="272">
        <v>4010</v>
      </c>
      <c r="B635" s="128" t="s">
        <v>492</v>
      </c>
      <c r="C635" s="174">
        <v>500100</v>
      </c>
      <c r="D635" s="74">
        <f t="shared" si="75"/>
        <v>500100</v>
      </c>
      <c r="E635" s="89">
        <f t="shared" si="76"/>
        <v>245154</v>
      </c>
      <c r="F635" s="468">
        <f t="shared" si="70"/>
        <v>49.020995800839835</v>
      </c>
      <c r="G635" s="174">
        <v>500100</v>
      </c>
      <c r="H635" s="89">
        <v>245154</v>
      </c>
      <c r="I635" s="466">
        <f aca="true" t="shared" si="77" ref="I635:I691">H635/G635*100</f>
        <v>49.020995800839835</v>
      </c>
      <c r="J635" s="175"/>
      <c r="K635" s="74"/>
      <c r="L635" s="391"/>
      <c r="M635" s="223"/>
      <c r="N635" s="74"/>
      <c r="O635" s="224"/>
      <c r="P635" s="174"/>
      <c r="Q635" s="74"/>
      <c r="R635" s="362"/>
    </row>
    <row r="636" spans="1:18" s="118" customFormat="1" ht="24">
      <c r="A636" s="272">
        <v>4040</v>
      </c>
      <c r="B636" s="128" t="s">
        <v>541</v>
      </c>
      <c r="C636" s="174">
        <v>28900</v>
      </c>
      <c r="D636" s="74">
        <f t="shared" si="75"/>
        <v>27440</v>
      </c>
      <c r="E636" s="89">
        <f t="shared" si="76"/>
        <v>27417</v>
      </c>
      <c r="F636" s="468">
        <f t="shared" si="70"/>
        <v>99.91618075801749</v>
      </c>
      <c r="G636" s="174">
        <f>28900-1760+300</f>
        <v>27440</v>
      </c>
      <c r="H636" s="89">
        <f>27416+1</f>
        <v>27417</v>
      </c>
      <c r="I636" s="466">
        <f t="shared" si="77"/>
        <v>99.91618075801749</v>
      </c>
      <c r="J636" s="175"/>
      <c r="K636" s="74"/>
      <c r="L636" s="391"/>
      <c r="M636" s="223"/>
      <c r="N636" s="74"/>
      <c r="O636" s="224"/>
      <c r="P636" s="174"/>
      <c r="Q636" s="74"/>
      <c r="R636" s="362"/>
    </row>
    <row r="637" spans="1:18" s="118" customFormat="1" ht="24">
      <c r="A637" s="272">
        <v>4110</v>
      </c>
      <c r="B637" s="128" t="s">
        <v>498</v>
      </c>
      <c r="C637" s="174">
        <v>89400</v>
      </c>
      <c r="D637" s="74">
        <f t="shared" si="75"/>
        <v>89400</v>
      </c>
      <c r="E637" s="89">
        <f t="shared" si="76"/>
        <v>41192</v>
      </c>
      <c r="F637" s="468">
        <f t="shared" si="70"/>
        <v>46.07606263982103</v>
      </c>
      <c r="G637" s="174">
        <v>89400</v>
      </c>
      <c r="H637" s="89">
        <v>41192</v>
      </c>
      <c r="I637" s="466">
        <f t="shared" si="77"/>
        <v>46.07606263982103</v>
      </c>
      <c r="J637" s="175"/>
      <c r="K637" s="74"/>
      <c r="L637" s="391"/>
      <c r="M637" s="223"/>
      <c r="N637" s="74"/>
      <c r="O637" s="224"/>
      <c r="P637" s="174"/>
      <c r="Q637" s="74"/>
      <c r="R637" s="362"/>
    </row>
    <row r="638" spans="1:18" s="118" customFormat="1" ht="12.75" customHeight="1">
      <c r="A638" s="272">
        <v>4120</v>
      </c>
      <c r="B638" s="128" t="s">
        <v>571</v>
      </c>
      <c r="C638" s="174">
        <v>12800</v>
      </c>
      <c r="D638" s="74">
        <f t="shared" si="75"/>
        <v>12800</v>
      </c>
      <c r="E638" s="89">
        <f t="shared" si="76"/>
        <v>6379</v>
      </c>
      <c r="F638" s="468">
        <f t="shared" si="70"/>
        <v>49.8359375</v>
      </c>
      <c r="G638" s="174">
        <v>12800</v>
      </c>
      <c r="H638" s="89">
        <v>6379</v>
      </c>
      <c r="I638" s="466">
        <f t="shared" si="77"/>
        <v>49.8359375</v>
      </c>
      <c r="J638" s="175"/>
      <c r="K638" s="74"/>
      <c r="L638" s="391"/>
      <c r="M638" s="223"/>
      <c r="N638" s="74"/>
      <c r="O638" s="224"/>
      <c r="P638" s="174"/>
      <c r="Q638" s="74"/>
      <c r="R638" s="362"/>
    </row>
    <row r="639" spans="1:18" s="118" customFormat="1" ht="12.75" customHeight="1">
      <c r="A639" s="272">
        <v>4140</v>
      </c>
      <c r="B639" s="128" t="s">
        <v>544</v>
      </c>
      <c r="C639" s="174">
        <v>1100</v>
      </c>
      <c r="D639" s="74">
        <f t="shared" si="75"/>
        <v>1100</v>
      </c>
      <c r="E639" s="89">
        <f t="shared" si="76"/>
        <v>611</v>
      </c>
      <c r="F639" s="468">
        <f t="shared" si="70"/>
        <v>55.54545454545454</v>
      </c>
      <c r="G639" s="174">
        <v>1100</v>
      </c>
      <c r="H639" s="89">
        <v>611</v>
      </c>
      <c r="I639" s="466">
        <f t="shared" si="77"/>
        <v>55.54545454545454</v>
      </c>
      <c r="J639" s="175"/>
      <c r="K639" s="74"/>
      <c r="L639" s="391"/>
      <c r="M639" s="223"/>
      <c r="N639" s="74"/>
      <c r="O639" s="224"/>
      <c r="P639" s="174"/>
      <c r="Q639" s="74"/>
      <c r="R639" s="362"/>
    </row>
    <row r="640" spans="1:18" s="118" customFormat="1" ht="24">
      <c r="A640" s="124">
        <v>4210</v>
      </c>
      <c r="B640" s="128" t="s">
        <v>502</v>
      </c>
      <c r="C640" s="174">
        <v>12000</v>
      </c>
      <c r="D640" s="74">
        <f t="shared" si="75"/>
        <v>12000</v>
      </c>
      <c r="E640" s="89">
        <f>SUM(H640+K640+N640+Q640)</f>
        <v>1999</v>
      </c>
      <c r="F640" s="468">
        <f>E640/D640*100</f>
        <v>16.658333333333335</v>
      </c>
      <c r="G640" s="174">
        <v>12000</v>
      </c>
      <c r="H640" s="89">
        <v>1999</v>
      </c>
      <c r="I640" s="466">
        <f t="shared" si="77"/>
        <v>16.658333333333335</v>
      </c>
      <c r="J640" s="175"/>
      <c r="K640" s="74"/>
      <c r="L640" s="391"/>
      <c r="M640" s="223"/>
      <c r="N640" s="74"/>
      <c r="O640" s="224"/>
      <c r="P640" s="174"/>
      <c r="Q640" s="74"/>
      <c r="R640" s="362"/>
    </row>
    <row r="641" spans="1:18" s="118" customFormat="1" ht="36">
      <c r="A641" s="158">
        <v>4240</v>
      </c>
      <c r="B641" s="159" t="s">
        <v>563</v>
      </c>
      <c r="C641" s="176">
        <v>8000</v>
      </c>
      <c r="D641" s="161">
        <f t="shared" si="75"/>
        <v>8000</v>
      </c>
      <c r="E641" s="155">
        <f>SUM(H641+K641+N641+Q641)</f>
        <v>2784</v>
      </c>
      <c r="F641" s="469">
        <f>E641/D641*100</f>
        <v>34.8</v>
      </c>
      <c r="G641" s="176">
        <v>8000</v>
      </c>
      <c r="H641" s="155">
        <v>2784</v>
      </c>
      <c r="I641" s="479">
        <f t="shared" si="77"/>
        <v>34.8</v>
      </c>
      <c r="J641" s="177"/>
      <c r="K641" s="161"/>
      <c r="L641" s="415"/>
      <c r="M641" s="273"/>
      <c r="N641" s="161"/>
      <c r="O641" s="274"/>
      <c r="P641" s="176"/>
      <c r="Q641" s="161"/>
      <c r="R641" s="366"/>
    </row>
    <row r="642" spans="1:18" s="118" customFormat="1" ht="24" hidden="1">
      <c r="A642" s="124">
        <v>4270</v>
      </c>
      <c r="B642" s="128" t="s">
        <v>508</v>
      </c>
      <c r="C642" s="174"/>
      <c r="D642" s="74">
        <f>G642+J642+P642+M642</f>
        <v>0</v>
      </c>
      <c r="E642" s="89">
        <f>SUM(H642+K642+N642+Q642)</f>
        <v>0</v>
      </c>
      <c r="F642" s="468" t="e">
        <f>E642/D642*100</f>
        <v>#DIV/0!</v>
      </c>
      <c r="G642" s="174"/>
      <c r="H642" s="89"/>
      <c r="I642" s="466" t="e">
        <f>H642/G642*100</f>
        <v>#DIV/0!</v>
      </c>
      <c r="J642" s="175"/>
      <c r="K642" s="74"/>
      <c r="L642" s="391"/>
      <c r="M642" s="223"/>
      <c r="N642" s="74"/>
      <c r="O642" s="224"/>
      <c r="P642" s="174"/>
      <c r="Q642" s="74"/>
      <c r="R642" s="362"/>
    </row>
    <row r="643" spans="1:18" s="118" customFormat="1" ht="12.75" customHeight="1">
      <c r="A643" s="270">
        <v>4440</v>
      </c>
      <c r="B643" s="159" t="s">
        <v>514</v>
      </c>
      <c r="C643" s="176">
        <v>32400</v>
      </c>
      <c r="D643" s="74">
        <f t="shared" si="75"/>
        <v>33450</v>
      </c>
      <c r="E643" s="89">
        <f t="shared" si="76"/>
        <v>27740</v>
      </c>
      <c r="F643" s="468">
        <f t="shared" si="70"/>
        <v>82.92974588938714</v>
      </c>
      <c r="G643" s="176">
        <f>32400+1350-300</f>
        <v>33450</v>
      </c>
      <c r="H643" s="155">
        <v>27740</v>
      </c>
      <c r="I643" s="466">
        <f t="shared" si="77"/>
        <v>82.92974588938714</v>
      </c>
      <c r="J643" s="177"/>
      <c r="K643" s="161"/>
      <c r="L643" s="415"/>
      <c r="M643" s="273"/>
      <c r="N643" s="161"/>
      <c r="O643" s="274"/>
      <c r="P643" s="176"/>
      <c r="Q643" s="161"/>
      <c r="R643" s="366"/>
    </row>
    <row r="644" spans="1:18" ht="12.75">
      <c r="A644" s="275">
        <v>80104</v>
      </c>
      <c r="B644" s="185" t="s">
        <v>54</v>
      </c>
      <c r="C644" s="121">
        <f>SUM(C645:C647)</f>
        <v>11655500</v>
      </c>
      <c r="D644" s="95">
        <f t="shared" si="75"/>
        <v>12803500</v>
      </c>
      <c r="E644" s="84">
        <f>H644+K644+Q644+N644</f>
        <v>7291316</v>
      </c>
      <c r="F644" s="467">
        <f t="shared" si="70"/>
        <v>56.94783457648299</v>
      </c>
      <c r="G644" s="121">
        <f>SUM(G645:G647)</f>
        <v>12803500</v>
      </c>
      <c r="H644" s="84">
        <f>SUM(H645:H647)</f>
        <v>7291316</v>
      </c>
      <c r="I644" s="448">
        <f t="shared" si="77"/>
        <v>56.94783457648299</v>
      </c>
      <c r="J644" s="123"/>
      <c r="K644" s="84"/>
      <c r="L644" s="417"/>
      <c r="M644" s="84"/>
      <c r="N644" s="84"/>
      <c r="O644" s="381"/>
      <c r="P644" s="121"/>
      <c r="Q644" s="84"/>
      <c r="R644" s="372"/>
    </row>
    <row r="645" spans="1:18" s="118" customFormat="1" ht="36">
      <c r="A645" s="272">
        <v>2510</v>
      </c>
      <c r="B645" s="128" t="s">
        <v>559</v>
      </c>
      <c r="C645" s="88">
        <v>11429000</v>
      </c>
      <c r="D645" s="74">
        <f t="shared" si="75"/>
        <v>11697000</v>
      </c>
      <c r="E645" s="89">
        <f>SUM(H645+K645+N645+Q645)</f>
        <v>7025000</v>
      </c>
      <c r="F645" s="468">
        <f t="shared" si="70"/>
        <v>60.05813456441823</v>
      </c>
      <c r="G645" s="88">
        <f>11429000+58000+210000</f>
        <v>11697000</v>
      </c>
      <c r="H645" s="89">
        <v>7025000</v>
      </c>
      <c r="I645" s="442">
        <f t="shared" si="77"/>
        <v>60.05813456441823</v>
      </c>
      <c r="J645" s="126"/>
      <c r="K645" s="89"/>
      <c r="L645" s="391"/>
      <c r="M645" s="89"/>
      <c r="N645" s="89"/>
      <c r="O645" s="368"/>
      <c r="P645" s="88"/>
      <c r="Q645" s="89"/>
      <c r="R645" s="362"/>
    </row>
    <row r="646" spans="1:18" s="118" customFormat="1" ht="48">
      <c r="A646" s="124">
        <v>2540</v>
      </c>
      <c r="B646" s="128" t="s">
        <v>46</v>
      </c>
      <c r="C646" s="88">
        <v>226500</v>
      </c>
      <c r="D646" s="74">
        <f>G646+J646+P646+M646</f>
        <v>276500</v>
      </c>
      <c r="E646" s="89">
        <f>SUM(H646+K646+N646+Q646)</f>
        <v>146316</v>
      </c>
      <c r="F646" s="468">
        <f>E646/D646*100</f>
        <v>52.91717902350814</v>
      </c>
      <c r="G646" s="126">
        <f>226500+50000</f>
        <v>276500</v>
      </c>
      <c r="H646" s="126">
        <v>146316</v>
      </c>
      <c r="I646" s="442">
        <f t="shared" si="77"/>
        <v>52.91717902350814</v>
      </c>
      <c r="J646" s="126"/>
      <c r="K646" s="89"/>
      <c r="L646" s="391"/>
      <c r="M646" s="89"/>
      <c r="N646" s="89"/>
      <c r="O646" s="368"/>
      <c r="P646" s="126"/>
      <c r="Q646" s="89"/>
      <c r="R646" s="362"/>
    </row>
    <row r="647" spans="1:18" s="118" customFormat="1" ht="84">
      <c r="A647" s="272">
        <v>6210</v>
      </c>
      <c r="B647" s="128" t="s">
        <v>560</v>
      </c>
      <c r="C647" s="88"/>
      <c r="D647" s="74">
        <f>G647+J647+P647+M647</f>
        <v>830000</v>
      </c>
      <c r="E647" s="89">
        <f>SUM(H647+K647+N647+Q647)</f>
        <v>120000</v>
      </c>
      <c r="F647" s="468">
        <f>E647/D647*100</f>
        <v>14.457831325301203</v>
      </c>
      <c r="G647" s="126">
        <f>750000+80000</f>
        <v>830000</v>
      </c>
      <c r="H647" s="126">
        <v>120000</v>
      </c>
      <c r="I647" s="442">
        <f t="shared" si="77"/>
        <v>14.457831325301203</v>
      </c>
      <c r="J647" s="126"/>
      <c r="K647" s="89"/>
      <c r="L647" s="391"/>
      <c r="M647" s="89"/>
      <c r="N647" s="89"/>
      <c r="O647" s="368"/>
      <c r="P647" s="126"/>
      <c r="Q647" s="89"/>
      <c r="R647" s="362"/>
    </row>
    <row r="648" spans="1:18" s="118" customFormat="1" ht="15" customHeight="1">
      <c r="A648" s="119">
        <v>80105</v>
      </c>
      <c r="B648" s="276" t="s">
        <v>55</v>
      </c>
      <c r="C648" s="121">
        <f>SUM(C649:C664)</f>
        <v>557100</v>
      </c>
      <c r="D648" s="95">
        <f t="shared" si="75"/>
        <v>559600</v>
      </c>
      <c r="E648" s="84">
        <f>H648+K648+Q648+N648</f>
        <v>328629</v>
      </c>
      <c r="F648" s="467">
        <f t="shared" si="70"/>
        <v>58.72569692637598</v>
      </c>
      <c r="G648" s="84"/>
      <c r="H648" s="123"/>
      <c r="I648" s="489"/>
      <c r="J648" s="123"/>
      <c r="K648" s="84"/>
      <c r="L648" s="417"/>
      <c r="M648" s="84">
        <f>SUM(M649:M664)</f>
        <v>559600</v>
      </c>
      <c r="N648" s="84">
        <f>SUM(N649:N664)</f>
        <v>328629</v>
      </c>
      <c r="O648" s="316">
        <f aca="true" t="shared" si="78" ref="O648:O664">N648/M648*100</f>
        <v>58.72569692637598</v>
      </c>
      <c r="P648" s="84"/>
      <c r="Q648" s="84"/>
      <c r="R648" s="372"/>
    </row>
    <row r="649" spans="1:18" s="118" customFormat="1" ht="36">
      <c r="A649" s="124">
        <v>3020</v>
      </c>
      <c r="B649" s="128" t="s">
        <v>257</v>
      </c>
      <c r="C649" s="88">
        <v>1600</v>
      </c>
      <c r="D649" s="74">
        <f t="shared" si="75"/>
        <v>1600</v>
      </c>
      <c r="E649" s="89">
        <f aca="true" t="shared" si="79" ref="E649:E659">SUM(H649+K649+N649+Q649)</f>
        <v>0</v>
      </c>
      <c r="F649" s="468">
        <f t="shared" si="70"/>
        <v>0</v>
      </c>
      <c r="G649" s="89"/>
      <c r="H649" s="126"/>
      <c r="I649" s="466"/>
      <c r="J649" s="126"/>
      <c r="K649" s="89"/>
      <c r="L649" s="391"/>
      <c r="M649" s="88">
        <v>1600</v>
      </c>
      <c r="N649" s="104"/>
      <c r="O649" s="442">
        <f t="shared" si="78"/>
        <v>0</v>
      </c>
      <c r="P649" s="89"/>
      <c r="Q649" s="89"/>
      <c r="R649" s="362"/>
    </row>
    <row r="650" spans="1:18" s="118" customFormat="1" ht="24">
      <c r="A650" s="124">
        <v>4010</v>
      </c>
      <c r="B650" s="277" t="s">
        <v>492</v>
      </c>
      <c r="C650" s="88">
        <v>390000</v>
      </c>
      <c r="D650" s="74">
        <f t="shared" si="75"/>
        <v>390000</v>
      </c>
      <c r="E650" s="89">
        <f t="shared" si="79"/>
        <v>213773</v>
      </c>
      <c r="F650" s="468">
        <f t="shared" si="70"/>
        <v>54.813589743589745</v>
      </c>
      <c r="G650" s="89"/>
      <c r="H650" s="126"/>
      <c r="I650" s="466"/>
      <c r="J650" s="126"/>
      <c r="K650" s="89"/>
      <c r="L650" s="391"/>
      <c r="M650" s="88">
        <v>390000</v>
      </c>
      <c r="N650" s="89">
        <v>213773</v>
      </c>
      <c r="O650" s="442">
        <f t="shared" si="78"/>
        <v>54.813589743589745</v>
      </c>
      <c r="P650" s="89"/>
      <c r="Q650" s="89"/>
      <c r="R650" s="362"/>
    </row>
    <row r="651" spans="1:18" s="118" customFormat="1" ht="24">
      <c r="A651" s="124">
        <v>4040</v>
      </c>
      <c r="B651" s="277" t="s">
        <v>496</v>
      </c>
      <c r="C651" s="88">
        <v>31000</v>
      </c>
      <c r="D651" s="74">
        <f t="shared" si="75"/>
        <v>31000</v>
      </c>
      <c r="E651" s="89">
        <f t="shared" si="79"/>
        <v>31000</v>
      </c>
      <c r="F651" s="468">
        <f t="shared" si="70"/>
        <v>100</v>
      </c>
      <c r="G651" s="89"/>
      <c r="H651" s="126"/>
      <c r="I651" s="466"/>
      <c r="J651" s="126"/>
      <c r="K651" s="89"/>
      <c r="L651" s="391"/>
      <c r="M651" s="88">
        <v>31000</v>
      </c>
      <c r="N651" s="89">
        <v>31000</v>
      </c>
      <c r="O651" s="442">
        <f t="shared" si="78"/>
        <v>100</v>
      </c>
      <c r="P651" s="89"/>
      <c r="Q651" s="89"/>
      <c r="R651" s="362"/>
    </row>
    <row r="652" spans="1:18" s="118" customFormat="1" ht="24">
      <c r="A652" s="124">
        <v>4110</v>
      </c>
      <c r="B652" s="277" t="s">
        <v>498</v>
      </c>
      <c r="C652" s="88">
        <v>74000</v>
      </c>
      <c r="D652" s="74">
        <f t="shared" si="75"/>
        <v>74000</v>
      </c>
      <c r="E652" s="89">
        <f t="shared" si="79"/>
        <v>39628</v>
      </c>
      <c r="F652" s="468">
        <f t="shared" si="70"/>
        <v>53.55135135135135</v>
      </c>
      <c r="G652" s="89"/>
      <c r="H652" s="126"/>
      <c r="I652" s="466"/>
      <c r="J652" s="126"/>
      <c r="K652" s="89"/>
      <c r="L652" s="391"/>
      <c r="M652" s="88">
        <v>74000</v>
      </c>
      <c r="N652" s="89">
        <v>39628</v>
      </c>
      <c r="O652" s="442">
        <f t="shared" si="78"/>
        <v>53.55135135135135</v>
      </c>
      <c r="P652" s="89"/>
      <c r="Q652" s="89"/>
      <c r="R652" s="362"/>
    </row>
    <row r="653" spans="1:18" s="118" customFormat="1" ht="12.75">
      <c r="A653" s="124">
        <v>4120</v>
      </c>
      <c r="B653" s="277" t="s">
        <v>571</v>
      </c>
      <c r="C653" s="88">
        <v>10000</v>
      </c>
      <c r="D653" s="74">
        <f t="shared" si="75"/>
        <v>10000</v>
      </c>
      <c r="E653" s="89">
        <f t="shared" si="79"/>
        <v>6099</v>
      </c>
      <c r="F653" s="468">
        <f t="shared" si="70"/>
        <v>60.99</v>
      </c>
      <c r="G653" s="89"/>
      <c r="H653" s="126"/>
      <c r="I653" s="466"/>
      <c r="J653" s="126"/>
      <c r="K653" s="89"/>
      <c r="L653" s="391"/>
      <c r="M653" s="88">
        <v>10000</v>
      </c>
      <c r="N653" s="89">
        <v>6099</v>
      </c>
      <c r="O653" s="442">
        <f t="shared" si="78"/>
        <v>60.99</v>
      </c>
      <c r="P653" s="89"/>
      <c r="Q653" s="89"/>
      <c r="R653" s="362"/>
    </row>
    <row r="654" spans="1:18" s="118" customFormat="1" ht="24">
      <c r="A654" s="124">
        <v>4210</v>
      </c>
      <c r="B654" s="277" t="s">
        <v>502</v>
      </c>
      <c r="C654" s="88">
        <v>7000</v>
      </c>
      <c r="D654" s="74">
        <f t="shared" si="75"/>
        <v>7000</v>
      </c>
      <c r="E654" s="89">
        <f t="shared" si="79"/>
        <v>3265</v>
      </c>
      <c r="F654" s="468">
        <f t="shared" si="70"/>
        <v>46.64285714285714</v>
      </c>
      <c r="G654" s="89"/>
      <c r="H654" s="126"/>
      <c r="I654" s="466"/>
      <c r="J654" s="126"/>
      <c r="K654" s="89"/>
      <c r="L654" s="391"/>
      <c r="M654" s="88">
        <v>7000</v>
      </c>
      <c r="N654" s="89">
        <v>3265</v>
      </c>
      <c r="O654" s="442">
        <f t="shared" si="78"/>
        <v>46.64285714285714</v>
      </c>
      <c r="P654" s="89"/>
      <c r="Q654" s="89"/>
      <c r="R654" s="362"/>
    </row>
    <row r="655" spans="1:18" s="118" customFormat="1" ht="36">
      <c r="A655" s="124">
        <v>4240</v>
      </c>
      <c r="B655" s="277" t="s">
        <v>563</v>
      </c>
      <c r="C655" s="88">
        <v>1000</v>
      </c>
      <c r="D655" s="74">
        <f t="shared" si="75"/>
        <v>1000</v>
      </c>
      <c r="E655" s="89">
        <f t="shared" si="79"/>
        <v>35</v>
      </c>
      <c r="F655" s="468">
        <f t="shared" si="70"/>
        <v>3.5000000000000004</v>
      </c>
      <c r="G655" s="89"/>
      <c r="H655" s="126"/>
      <c r="I655" s="466"/>
      <c r="J655" s="126"/>
      <c r="K655" s="89"/>
      <c r="L655" s="391"/>
      <c r="M655" s="88">
        <v>1000</v>
      </c>
      <c r="N655" s="89">
        <v>35</v>
      </c>
      <c r="O655" s="442">
        <f t="shared" si="78"/>
        <v>3.5000000000000004</v>
      </c>
      <c r="P655" s="89"/>
      <c r="Q655" s="89"/>
      <c r="R655" s="362"/>
    </row>
    <row r="656" spans="1:18" s="118" customFormat="1" ht="12.75">
      <c r="A656" s="124">
        <v>4260</v>
      </c>
      <c r="B656" s="277" t="s">
        <v>506</v>
      </c>
      <c r="C656" s="88">
        <v>18000</v>
      </c>
      <c r="D656" s="74">
        <f t="shared" si="75"/>
        <v>18000</v>
      </c>
      <c r="E656" s="89">
        <f t="shared" si="79"/>
        <v>15718</v>
      </c>
      <c r="F656" s="468">
        <f t="shared" si="70"/>
        <v>87.32222222222222</v>
      </c>
      <c r="G656" s="89"/>
      <c r="H656" s="126"/>
      <c r="I656" s="466"/>
      <c r="J656" s="126"/>
      <c r="K656" s="89"/>
      <c r="L656" s="391"/>
      <c r="M656" s="88">
        <v>18000</v>
      </c>
      <c r="N656" s="89">
        <v>15718</v>
      </c>
      <c r="O656" s="442">
        <f t="shared" si="78"/>
        <v>87.32222222222222</v>
      </c>
      <c r="P656" s="89"/>
      <c r="Q656" s="89"/>
      <c r="R656" s="362"/>
    </row>
    <row r="657" spans="1:18" s="118" customFormat="1" ht="15" customHeight="1">
      <c r="A657" s="124">
        <v>4270</v>
      </c>
      <c r="B657" s="277" t="s">
        <v>508</v>
      </c>
      <c r="C657" s="88">
        <v>2000</v>
      </c>
      <c r="D657" s="74">
        <f t="shared" si="75"/>
        <v>2000</v>
      </c>
      <c r="E657" s="89">
        <f t="shared" si="79"/>
        <v>2000</v>
      </c>
      <c r="F657" s="468">
        <f t="shared" si="70"/>
        <v>100</v>
      </c>
      <c r="G657" s="89"/>
      <c r="H657" s="126"/>
      <c r="I657" s="466"/>
      <c r="J657" s="126"/>
      <c r="K657" s="89"/>
      <c r="L657" s="391"/>
      <c r="M657" s="88">
        <v>2000</v>
      </c>
      <c r="N657" s="89">
        <v>2000</v>
      </c>
      <c r="O657" s="442">
        <f t="shared" si="78"/>
        <v>100</v>
      </c>
      <c r="P657" s="89"/>
      <c r="Q657" s="89"/>
      <c r="R657" s="362"/>
    </row>
    <row r="658" spans="1:18" s="118" customFormat="1" ht="15" customHeight="1">
      <c r="A658" s="124">
        <v>4280</v>
      </c>
      <c r="B658" s="128" t="s">
        <v>545</v>
      </c>
      <c r="C658" s="88">
        <v>500</v>
      </c>
      <c r="D658" s="74">
        <f t="shared" si="75"/>
        <v>500</v>
      </c>
      <c r="E658" s="89">
        <f t="shared" si="79"/>
        <v>0</v>
      </c>
      <c r="F658" s="468">
        <f aca="true" t="shared" si="80" ref="F658:F721">E658/D658*100</f>
        <v>0</v>
      </c>
      <c r="G658" s="89"/>
      <c r="H658" s="126"/>
      <c r="I658" s="466"/>
      <c r="J658" s="126"/>
      <c r="K658" s="89"/>
      <c r="L658" s="391"/>
      <c r="M658" s="88">
        <v>500</v>
      </c>
      <c r="N658" s="89"/>
      <c r="O658" s="442">
        <f t="shared" si="78"/>
        <v>0</v>
      </c>
      <c r="P658" s="89"/>
      <c r="Q658" s="89"/>
      <c r="R658" s="362"/>
    </row>
    <row r="659" spans="1:18" s="118" customFormat="1" ht="15" customHeight="1">
      <c r="A659" s="124">
        <v>4300</v>
      </c>
      <c r="B659" s="277" t="s">
        <v>510</v>
      </c>
      <c r="C659" s="88">
        <v>2500</v>
      </c>
      <c r="D659" s="74">
        <f t="shared" si="75"/>
        <v>2500</v>
      </c>
      <c r="E659" s="89">
        <f t="shared" si="79"/>
        <v>2161</v>
      </c>
      <c r="F659" s="468">
        <f t="shared" si="80"/>
        <v>86.44</v>
      </c>
      <c r="G659" s="89"/>
      <c r="H659" s="126"/>
      <c r="I659" s="466"/>
      <c r="J659" s="126"/>
      <c r="K659" s="89"/>
      <c r="L659" s="391"/>
      <c r="M659" s="88">
        <v>2500</v>
      </c>
      <c r="N659" s="89">
        <v>2161</v>
      </c>
      <c r="O659" s="442">
        <f t="shared" si="78"/>
        <v>86.44</v>
      </c>
      <c r="P659" s="89"/>
      <c r="Q659" s="89"/>
      <c r="R659" s="362"/>
    </row>
    <row r="660" spans="1:18" s="118" customFormat="1" ht="48">
      <c r="A660" s="172">
        <v>4370</v>
      </c>
      <c r="B660" s="337" t="s">
        <v>298</v>
      </c>
      <c r="C660" s="88">
        <v>1000</v>
      </c>
      <c r="D660" s="74">
        <f t="shared" si="75"/>
        <v>1000</v>
      </c>
      <c r="E660" s="89">
        <f>SUM(H660+K660+N660+Q660)</f>
        <v>0</v>
      </c>
      <c r="F660" s="468">
        <f t="shared" si="80"/>
        <v>0</v>
      </c>
      <c r="G660" s="89"/>
      <c r="H660" s="126"/>
      <c r="I660" s="466"/>
      <c r="J660" s="126"/>
      <c r="K660" s="89"/>
      <c r="L660" s="391"/>
      <c r="M660" s="88">
        <v>1000</v>
      </c>
      <c r="N660" s="89"/>
      <c r="O660" s="442">
        <f t="shared" si="78"/>
        <v>0</v>
      </c>
      <c r="P660" s="89"/>
      <c r="Q660" s="89"/>
      <c r="R660" s="362"/>
    </row>
    <row r="661" spans="1:18" s="118" customFormat="1" ht="15" customHeight="1">
      <c r="A661" s="158">
        <v>4440</v>
      </c>
      <c r="B661" s="350" t="s">
        <v>514</v>
      </c>
      <c r="C661" s="160">
        <v>16700</v>
      </c>
      <c r="D661" s="161">
        <f t="shared" si="75"/>
        <v>19200</v>
      </c>
      <c r="E661" s="155">
        <f>SUM(H661+K661+N661+Q661)</f>
        <v>14700</v>
      </c>
      <c r="F661" s="469">
        <f t="shared" si="80"/>
        <v>76.5625</v>
      </c>
      <c r="G661" s="155"/>
      <c r="H661" s="162"/>
      <c r="I661" s="479"/>
      <c r="J661" s="162"/>
      <c r="K661" s="155"/>
      <c r="L661" s="415"/>
      <c r="M661" s="160">
        <f>16700+2500</f>
        <v>19200</v>
      </c>
      <c r="N661" s="155">
        <v>14700</v>
      </c>
      <c r="O661" s="462">
        <f t="shared" si="78"/>
        <v>76.5625</v>
      </c>
      <c r="P661" s="155"/>
      <c r="Q661" s="155"/>
      <c r="R661" s="366"/>
    </row>
    <row r="662" spans="1:18" s="118" customFormat="1" ht="36">
      <c r="A662" s="172">
        <v>4700</v>
      </c>
      <c r="B662" s="337" t="s">
        <v>285</v>
      </c>
      <c r="C662" s="88">
        <v>800</v>
      </c>
      <c r="D662" s="74">
        <f t="shared" si="75"/>
        <v>800</v>
      </c>
      <c r="E662" s="89">
        <f>SUM(H662+K662+N662+Q662)</f>
        <v>250</v>
      </c>
      <c r="F662" s="468">
        <f t="shared" si="80"/>
        <v>31.25</v>
      </c>
      <c r="G662" s="89"/>
      <c r="H662" s="126"/>
      <c r="I662" s="466"/>
      <c r="J662" s="126"/>
      <c r="K662" s="89"/>
      <c r="L662" s="391"/>
      <c r="M662" s="88">
        <v>800</v>
      </c>
      <c r="N662" s="89">
        <v>250</v>
      </c>
      <c r="O662" s="442">
        <f t="shared" si="78"/>
        <v>31.25</v>
      </c>
      <c r="P662" s="89"/>
      <c r="Q662" s="89"/>
      <c r="R662" s="362"/>
    </row>
    <row r="663" spans="1:18" s="118" customFormat="1" ht="60">
      <c r="A663" s="172">
        <v>4740</v>
      </c>
      <c r="B663" s="337" t="s">
        <v>290</v>
      </c>
      <c r="C663" s="88">
        <v>500</v>
      </c>
      <c r="D663" s="74">
        <f>G663+J663+P663+M663</f>
        <v>500</v>
      </c>
      <c r="E663" s="89">
        <f>SUM(H663+K663+N663+Q663)</f>
        <v>0</v>
      </c>
      <c r="F663" s="468">
        <f>E663/D663*100</f>
        <v>0</v>
      </c>
      <c r="G663" s="89"/>
      <c r="H663" s="126"/>
      <c r="I663" s="466"/>
      <c r="J663" s="126"/>
      <c r="K663" s="89"/>
      <c r="L663" s="391"/>
      <c r="M663" s="88">
        <v>500</v>
      </c>
      <c r="N663" s="89"/>
      <c r="O663" s="442">
        <f t="shared" si="78"/>
        <v>0</v>
      </c>
      <c r="P663" s="89"/>
      <c r="Q663" s="89"/>
      <c r="R663" s="362"/>
    </row>
    <row r="664" spans="1:18" s="118" customFormat="1" ht="36">
      <c r="A664" s="172">
        <v>4750</v>
      </c>
      <c r="B664" s="337" t="s">
        <v>291</v>
      </c>
      <c r="C664" s="160">
        <v>500</v>
      </c>
      <c r="D664" s="161">
        <f t="shared" si="75"/>
        <v>500</v>
      </c>
      <c r="E664" s="155">
        <f>SUM(H664+K664+N664+Q664)</f>
        <v>0</v>
      </c>
      <c r="F664" s="469">
        <f t="shared" si="80"/>
        <v>0</v>
      </c>
      <c r="G664" s="155"/>
      <c r="H664" s="162"/>
      <c r="I664" s="479"/>
      <c r="J664" s="162"/>
      <c r="K664" s="155"/>
      <c r="L664" s="415"/>
      <c r="M664" s="160">
        <v>500</v>
      </c>
      <c r="N664" s="155"/>
      <c r="O664" s="442">
        <f t="shared" si="78"/>
        <v>0</v>
      </c>
      <c r="P664" s="155"/>
      <c r="Q664" s="155"/>
      <c r="R664" s="366"/>
    </row>
    <row r="665" spans="1:18" ht="12.75">
      <c r="A665" s="119">
        <v>80110</v>
      </c>
      <c r="B665" s="185" t="s">
        <v>57</v>
      </c>
      <c r="C665" s="121">
        <f>SUM(C666:C692)</f>
        <v>19570400</v>
      </c>
      <c r="D665" s="95">
        <f t="shared" si="75"/>
        <v>19729233</v>
      </c>
      <c r="E665" s="95">
        <f>H665+K665+Q665+N665</f>
        <v>10660543</v>
      </c>
      <c r="F665" s="523">
        <f t="shared" si="80"/>
        <v>54.03424958283984</v>
      </c>
      <c r="G665" s="121">
        <f>SUM(G666:G692)</f>
        <v>19729233</v>
      </c>
      <c r="H665" s="123">
        <f>SUM(H666:H692)</f>
        <v>10660543</v>
      </c>
      <c r="I665" s="448">
        <f t="shared" si="77"/>
        <v>54.03424958283984</v>
      </c>
      <c r="J665" s="123"/>
      <c r="K665" s="84"/>
      <c r="L665" s="417"/>
      <c r="M665" s="84"/>
      <c r="N665" s="84"/>
      <c r="O665" s="381"/>
      <c r="P665" s="121"/>
      <c r="Q665" s="84"/>
      <c r="R665" s="372"/>
    </row>
    <row r="666" spans="1:18" s="118" customFormat="1" ht="48">
      <c r="A666" s="124">
        <v>2540</v>
      </c>
      <c r="B666" s="128" t="s">
        <v>46</v>
      </c>
      <c r="C666" s="88">
        <v>368000</v>
      </c>
      <c r="D666" s="74">
        <f t="shared" si="75"/>
        <v>428000</v>
      </c>
      <c r="E666" s="89">
        <f>SUM(H666+K666+N666+Q666)</f>
        <v>221177</v>
      </c>
      <c r="F666" s="468">
        <f t="shared" si="80"/>
        <v>51.6768691588785</v>
      </c>
      <c r="G666" s="88">
        <f>368000+60000</f>
        <v>428000</v>
      </c>
      <c r="H666" s="89">
        <v>221177</v>
      </c>
      <c r="I666" s="442">
        <f t="shared" si="77"/>
        <v>51.6768691588785</v>
      </c>
      <c r="J666" s="126"/>
      <c r="K666" s="89"/>
      <c r="L666" s="391"/>
      <c r="M666" s="89"/>
      <c r="N666" s="89"/>
      <c r="O666" s="368"/>
      <c r="P666" s="88"/>
      <c r="Q666" s="89"/>
      <c r="R666" s="362"/>
    </row>
    <row r="667" spans="1:18" ht="36">
      <c r="A667" s="124">
        <v>3020</v>
      </c>
      <c r="B667" s="128" t="s">
        <v>257</v>
      </c>
      <c r="C667" s="88">
        <v>74900</v>
      </c>
      <c r="D667" s="74">
        <f t="shared" si="75"/>
        <v>74800</v>
      </c>
      <c r="E667" s="89">
        <f>SUM(H667+K667+N667+Q667)</f>
        <v>14465</v>
      </c>
      <c r="F667" s="468">
        <f t="shared" si="80"/>
        <v>19.33823529411765</v>
      </c>
      <c r="G667" s="88">
        <f>74900+900-1000</f>
        <v>74800</v>
      </c>
      <c r="H667" s="89">
        <v>14465</v>
      </c>
      <c r="I667" s="442">
        <f t="shared" si="77"/>
        <v>19.33823529411765</v>
      </c>
      <c r="J667" s="126"/>
      <c r="K667" s="89"/>
      <c r="L667" s="391"/>
      <c r="M667" s="89"/>
      <c r="N667" s="89"/>
      <c r="O667" s="368"/>
      <c r="P667" s="88"/>
      <c r="Q667" s="89"/>
      <c r="R667" s="362"/>
    </row>
    <row r="668" spans="1:18" ht="24">
      <c r="A668" s="124">
        <v>4010</v>
      </c>
      <c r="B668" s="128" t="s">
        <v>492</v>
      </c>
      <c r="C668" s="88">
        <v>12728700</v>
      </c>
      <c r="D668" s="74">
        <f t="shared" si="75"/>
        <v>12728700</v>
      </c>
      <c r="E668" s="89">
        <f>SUM(H668+K668+N668+Q668)</f>
        <v>6505573</v>
      </c>
      <c r="F668" s="468">
        <f t="shared" si="80"/>
        <v>51.10948486491158</v>
      </c>
      <c r="G668" s="88">
        <v>12728700</v>
      </c>
      <c r="H668" s="89">
        <v>6505573</v>
      </c>
      <c r="I668" s="442">
        <f t="shared" si="77"/>
        <v>51.10948486491158</v>
      </c>
      <c r="J668" s="126"/>
      <c r="K668" s="89"/>
      <c r="L668" s="391"/>
      <c r="M668" s="89"/>
      <c r="N668" s="89"/>
      <c r="O668" s="368"/>
      <c r="P668" s="88"/>
      <c r="Q668" s="89"/>
      <c r="R668" s="362"/>
    </row>
    <row r="669" spans="1:18" ht="25.5" customHeight="1">
      <c r="A669" s="124">
        <v>4040</v>
      </c>
      <c r="B669" s="128" t="s">
        <v>541</v>
      </c>
      <c r="C669" s="88">
        <v>1024700</v>
      </c>
      <c r="D669" s="74">
        <f t="shared" si="75"/>
        <v>953660</v>
      </c>
      <c r="E669" s="89">
        <f>SUM(H669+K669+N669+Q669)</f>
        <v>953610</v>
      </c>
      <c r="F669" s="468">
        <f t="shared" si="80"/>
        <v>99.99475704129355</v>
      </c>
      <c r="G669" s="88">
        <f>1024700-87450+16410</f>
        <v>953660</v>
      </c>
      <c r="H669" s="89">
        <v>953610</v>
      </c>
      <c r="I669" s="442">
        <f t="shared" si="77"/>
        <v>99.99475704129355</v>
      </c>
      <c r="J669" s="126"/>
      <c r="K669" s="89"/>
      <c r="L669" s="391"/>
      <c r="M669" s="89"/>
      <c r="N669" s="89"/>
      <c r="O669" s="368"/>
      <c r="P669" s="88"/>
      <c r="Q669" s="89"/>
      <c r="R669" s="362"/>
    </row>
    <row r="670" spans="1:18" ht="24">
      <c r="A670" s="124">
        <v>4110</v>
      </c>
      <c r="B670" s="128" t="s">
        <v>498</v>
      </c>
      <c r="C670" s="88">
        <v>2199600</v>
      </c>
      <c r="D670" s="74">
        <f t="shared" si="75"/>
        <v>2199600</v>
      </c>
      <c r="E670" s="89">
        <f aca="true" t="shared" si="81" ref="E670:E691">SUM(H670+K670+N670+Q670)</f>
        <v>1032971</v>
      </c>
      <c r="F670" s="468">
        <f t="shared" si="80"/>
        <v>46.961765775595566</v>
      </c>
      <c r="G670" s="88">
        <v>2199600</v>
      </c>
      <c r="H670" s="89">
        <v>1032971</v>
      </c>
      <c r="I670" s="442">
        <f t="shared" si="77"/>
        <v>46.961765775595566</v>
      </c>
      <c r="J670" s="126"/>
      <c r="K670" s="89"/>
      <c r="L670" s="391"/>
      <c r="M670" s="89"/>
      <c r="N670" s="89"/>
      <c r="O670" s="368"/>
      <c r="P670" s="88"/>
      <c r="Q670" s="89"/>
      <c r="R670" s="362"/>
    </row>
    <row r="671" spans="1:18" ht="12.75">
      <c r="A671" s="124">
        <v>4120</v>
      </c>
      <c r="B671" s="128" t="s">
        <v>571</v>
      </c>
      <c r="C671" s="88">
        <v>335400</v>
      </c>
      <c r="D671" s="74">
        <f t="shared" si="75"/>
        <v>335400</v>
      </c>
      <c r="E671" s="74">
        <f t="shared" si="81"/>
        <v>168456</v>
      </c>
      <c r="F671" s="468">
        <f t="shared" si="80"/>
        <v>50.22540250447227</v>
      </c>
      <c r="G671" s="88">
        <v>335400</v>
      </c>
      <c r="H671" s="89">
        <v>168456</v>
      </c>
      <c r="I671" s="442">
        <f t="shared" si="77"/>
        <v>50.22540250447227</v>
      </c>
      <c r="J671" s="126"/>
      <c r="K671" s="89"/>
      <c r="L671" s="391"/>
      <c r="M671" s="89"/>
      <c r="N671" s="89"/>
      <c r="O671" s="368"/>
      <c r="P671" s="88"/>
      <c r="Q671" s="89"/>
      <c r="R671" s="362"/>
    </row>
    <row r="672" spans="1:18" s="118" customFormat="1" ht="12.75">
      <c r="A672" s="124">
        <v>4140</v>
      </c>
      <c r="B672" s="128" t="s">
        <v>544</v>
      </c>
      <c r="C672" s="88">
        <v>51400</v>
      </c>
      <c r="D672" s="74">
        <f t="shared" si="75"/>
        <v>54500</v>
      </c>
      <c r="E672" s="74">
        <f t="shared" si="81"/>
        <v>27537</v>
      </c>
      <c r="F672" s="468">
        <f t="shared" si="80"/>
        <v>50.52660550458715</v>
      </c>
      <c r="G672" s="88">
        <f>51400+3100</f>
        <v>54500</v>
      </c>
      <c r="H672" s="89">
        <v>27537</v>
      </c>
      <c r="I672" s="442">
        <f t="shared" si="77"/>
        <v>50.52660550458715</v>
      </c>
      <c r="J672" s="126"/>
      <c r="K672" s="89"/>
      <c r="L672" s="391"/>
      <c r="M672" s="89"/>
      <c r="N672" s="89"/>
      <c r="O672" s="368"/>
      <c r="P672" s="88"/>
      <c r="Q672" s="89"/>
      <c r="R672" s="362"/>
    </row>
    <row r="673" spans="1:18" s="118" customFormat="1" ht="24">
      <c r="A673" s="124">
        <v>4170</v>
      </c>
      <c r="B673" s="128" t="s">
        <v>536</v>
      </c>
      <c r="C673" s="88">
        <v>7700</v>
      </c>
      <c r="D673" s="74">
        <f t="shared" si="75"/>
        <v>7700</v>
      </c>
      <c r="E673" s="74">
        <f>SUM(H673+K673+N673+Q673)</f>
        <v>2431</v>
      </c>
      <c r="F673" s="468">
        <f t="shared" si="80"/>
        <v>31.571428571428573</v>
      </c>
      <c r="G673" s="88">
        <v>7700</v>
      </c>
      <c r="H673" s="89">
        <v>2431</v>
      </c>
      <c r="I673" s="442">
        <f t="shared" si="77"/>
        <v>31.571428571428573</v>
      </c>
      <c r="J673" s="126"/>
      <c r="K673" s="89"/>
      <c r="L673" s="391"/>
      <c r="M673" s="89"/>
      <c r="N673" s="89"/>
      <c r="O673" s="368"/>
      <c r="P673" s="88"/>
      <c r="Q673" s="89"/>
      <c r="R673" s="362"/>
    </row>
    <row r="674" spans="1:18" ht="24">
      <c r="A674" s="124">
        <v>4210</v>
      </c>
      <c r="B674" s="128" t="s">
        <v>502</v>
      </c>
      <c r="C674" s="88">
        <v>342300</v>
      </c>
      <c r="D674" s="74">
        <f t="shared" si="75"/>
        <v>344800</v>
      </c>
      <c r="E674" s="89">
        <f t="shared" si="81"/>
        <v>187789</v>
      </c>
      <c r="F674" s="468">
        <f t="shared" si="80"/>
        <v>54.46316705336427</v>
      </c>
      <c r="G674" s="88">
        <f>342300+1000+1500</f>
        <v>344800</v>
      </c>
      <c r="H674" s="89">
        <v>187789</v>
      </c>
      <c r="I674" s="442">
        <f t="shared" si="77"/>
        <v>54.46316705336427</v>
      </c>
      <c r="J674" s="126"/>
      <c r="K674" s="89"/>
      <c r="L674" s="391"/>
      <c r="M674" s="89"/>
      <c r="N674" s="89"/>
      <c r="O674" s="368"/>
      <c r="P674" s="88"/>
      <c r="Q674" s="89"/>
      <c r="R674" s="362"/>
    </row>
    <row r="675" spans="1:18" ht="36">
      <c r="A675" s="124">
        <v>4240</v>
      </c>
      <c r="B675" s="128" t="s">
        <v>47</v>
      </c>
      <c r="C675" s="88">
        <v>45300</v>
      </c>
      <c r="D675" s="74">
        <f t="shared" si="75"/>
        <v>49500</v>
      </c>
      <c r="E675" s="89">
        <f t="shared" si="81"/>
        <v>24727</v>
      </c>
      <c r="F675" s="468">
        <f t="shared" si="80"/>
        <v>49.95353535353536</v>
      </c>
      <c r="G675" s="88">
        <f>45300+4200</f>
        <v>49500</v>
      </c>
      <c r="H675" s="89">
        <v>24727</v>
      </c>
      <c r="I675" s="442">
        <f t="shared" si="77"/>
        <v>49.95353535353536</v>
      </c>
      <c r="J675" s="126"/>
      <c r="K675" s="89"/>
      <c r="L675" s="391"/>
      <c r="M675" s="89"/>
      <c r="N675" s="89"/>
      <c r="O675" s="368"/>
      <c r="P675" s="88"/>
      <c r="Q675" s="89"/>
      <c r="R675" s="362"/>
    </row>
    <row r="676" spans="1:18" ht="12.75">
      <c r="A676" s="124">
        <v>4260</v>
      </c>
      <c r="B676" s="205" t="s">
        <v>506</v>
      </c>
      <c r="C676" s="88">
        <v>932900</v>
      </c>
      <c r="D676" s="74">
        <f t="shared" si="75"/>
        <v>933900</v>
      </c>
      <c r="E676" s="89">
        <f t="shared" si="81"/>
        <v>604173</v>
      </c>
      <c r="F676" s="468">
        <f t="shared" si="80"/>
        <v>64.6935432059107</v>
      </c>
      <c r="G676" s="88">
        <f>932900+1000</f>
        <v>933900</v>
      </c>
      <c r="H676" s="89">
        <v>604173</v>
      </c>
      <c r="I676" s="442">
        <f t="shared" si="77"/>
        <v>64.6935432059107</v>
      </c>
      <c r="J676" s="126"/>
      <c r="K676" s="89"/>
      <c r="L676" s="391"/>
      <c r="M676" s="89"/>
      <c r="N676" s="89"/>
      <c r="O676" s="368"/>
      <c r="P676" s="88"/>
      <c r="Q676" s="89"/>
      <c r="R676" s="362"/>
    </row>
    <row r="677" spans="1:18" ht="24">
      <c r="A677" s="124">
        <v>4270</v>
      </c>
      <c r="B677" s="128" t="s">
        <v>508</v>
      </c>
      <c r="C677" s="88">
        <v>34500</v>
      </c>
      <c r="D677" s="74">
        <f t="shared" si="75"/>
        <v>75280</v>
      </c>
      <c r="E677" s="89">
        <f t="shared" si="81"/>
        <v>24742</v>
      </c>
      <c r="F677" s="468">
        <f t="shared" si="80"/>
        <v>32.86663124335813</v>
      </c>
      <c r="G677" s="88">
        <f>34500+5180+29000+6600</f>
        <v>75280</v>
      </c>
      <c r="H677" s="89">
        <v>24742</v>
      </c>
      <c r="I677" s="442">
        <f t="shared" si="77"/>
        <v>32.86663124335813</v>
      </c>
      <c r="J677" s="126"/>
      <c r="K677" s="89"/>
      <c r="L677" s="391"/>
      <c r="M677" s="89"/>
      <c r="N677" s="89"/>
      <c r="O677" s="368"/>
      <c r="P677" s="88"/>
      <c r="Q677" s="89"/>
      <c r="R677" s="362"/>
    </row>
    <row r="678" spans="1:18" ht="24">
      <c r="A678" s="124">
        <v>4280</v>
      </c>
      <c r="B678" s="128" t="s">
        <v>545</v>
      </c>
      <c r="C678" s="88">
        <v>17200</v>
      </c>
      <c r="D678" s="74">
        <f t="shared" si="75"/>
        <v>17000</v>
      </c>
      <c r="E678" s="89">
        <f t="shared" si="81"/>
        <v>1724</v>
      </c>
      <c r="F678" s="468">
        <f t="shared" si="80"/>
        <v>10.141176470588235</v>
      </c>
      <c r="G678" s="88">
        <f>17200-200</f>
        <v>17000</v>
      </c>
      <c r="H678" s="89">
        <v>1724</v>
      </c>
      <c r="I678" s="442">
        <f t="shared" si="77"/>
        <v>10.141176470588235</v>
      </c>
      <c r="J678" s="126"/>
      <c r="K678" s="89"/>
      <c r="L678" s="391"/>
      <c r="M678" s="89"/>
      <c r="N678" s="89"/>
      <c r="O678" s="368"/>
      <c r="P678" s="88"/>
      <c r="Q678" s="89"/>
      <c r="R678" s="362"/>
    </row>
    <row r="679" spans="1:18" ht="24">
      <c r="A679" s="124">
        <v>4300</v>
      </c>
      <c r="B679" s="128" t="s">
        <v>510</v>
      </c>
      <c r="C679" s="88">
        <v>291800</v>
      </c>
      <c r="D679" s="74">
        <f t="shared" si="75"/>
        <v>312100</v>
      </c>
      <c r="E679" s="89">
        <f t="shared" si="81"/>
        <v>160764</v>
      </c>
      <c r="F679" s="468">
        <f t="shared" si="80"/>
        <v>51.5104133290612</v>
      </c>
      <c r="G679" s="88">
        <f>291800+8300+12000</f>
        <v>312100</v>
      </c>
      <c r="H679" s="89">
        <v>160764</v>
      </c>
      <c r="I679" s="442">
        <f t="shared" si="77"/>
        <v>51.5104133290612</v>
      </c>
      <c r="J679" s="126"/>
      <c r="K679" s="89"/>
      <c r="L679" s="391"/>
      <c r="M679" s="89"/>
      <c r="N679" s="89"/>
      <c r="O679" s="368"/>
      <c r="P679" s="88"/>
      <c r="Q679" s="89"/>
      <c r="R679" s="362"/>
    </row>
    <row r="680" spans="1:18" ht="24">
      <c r="A680" s="158">
        <v>4350</v>
      </c>
      <c r="B680" s="159" t="s">
        <v>48</v>
      </c>
      <c r="C680" s="160">
        <v>9900</v>
      </c>
      <c r="D680" s="161">
        <f t="shared" si="75"/>
        <v>9600</v>
      </c>
      <c r="E680" s="155">
        <f t="shared" si="81"/>
        <v>2696</v>
      </c>
      <c r="F680" s="469">
        <f t="shared" si="80"/>
        <v>28.083333333333332</v>
      </c>
      <c r="G680" s="160">
        <f>9900-300</f>
        <v>9600</v>
      </c>
      <c r="H680" s="155">
        <v>2696</v>
      </c>
      <c r="I680" s="462">
        <f t="shared" si="77"/>
        <v>28.083333333333332</v>
      </c>
      <c r="J680" s="162"/>
      <c r="K680" s="155"/>
      <c r="L680" s="415"/>
      <c r="M680" s="155"/>
      <c r="N680" s="155"/>
      <c r="O680" s="387"/>
      <c r="P680" s="160"/>
      <c r="Q680" s="155"/>
      <c r="R680" s="366"/>
    </row>
    <row r="681" spans="1:18" ht="48">
      <c r="A681" s="172">
        <v>4360</v>
      </c>
      <c r="B681" s="337" t="s">
        <v>297</v>
      </c>
      <c r="C681" s="88">
        <v>1200</v>
      </c>
      <c r="D681" s="74">
        <f t="shared" si="75"/>
        <v>1200</v>
      </c>
      <c r="E681" s="89">
        <f>SUM(H681+K681+N681+Q681)</f>
        <v>391</v>
      </c>
      <c r="F681" s="468">
        <f>E681/D681*100</f>
        <v>32.58333333333333</v>
      </c>
      <c r="G681" s="88">
        <v>1200</v>
      </c>
      <c r="H681" s="89">
        <v>391</v>
      </c>
      <c r="I681" s="442">
        <f t="shared" si="77"/>
        <v>32.58333333333333</v>
      </c>
      <c r="J681" s="126"/>
      <c r="K681" s="89"/>
      <c r="L681" s="391"/>
      <c r="M681" s="89"/>
      <c r="N681" s="89"/>
      <c r="O681" s="368"/>
      <c r="P681" s="88"/>
      <c r="Q681" s="89"/>
      <c r="R681" s="362"/>
    </row>
    <row r="682" spans="1:18" ht="48">
      <c r="A682" s="172">
        <v>4370</v>
      </c>
      <c r="B682" s="337" t="s">
        <v>298</v>
      </c>
      <c r="C682" s="88">
        <v>48600</v>
      </c>
      <c r="D682" s="74">
        <f t="shared" si="75"/>
        <v>47800</v>
      </c>
      <c r="E682" s="89">
        <f>SUM(H682+K682+N682+Q682)</f>
        <v>19301</v>
      </c>
      <c r="F682" s="468">
        <f>E682/D682*100</f>
        <v>40.37866108786611</v>
      </c>
      <c r="G682" s="88">
        <f>48600-800</f>
        <v>47800</v>
      </c>
      <c r="H682" s="89">
        <v>19301</v>
      </c>
      <c r="I682" s="442">
        <f t="shared" si="77"/>
        <v>40.37866108786611</v>
      </c>
      <c r="J682" s="126"/>
      <c r="K682" s="89"/>
      <c r="L682" s="391"/>
      <c r="M682" s="89"/>
      <c r="N682" s="89"/>
      <c r="O682" s="368"/>
      <c r="P682" s="88"/>
      <c r="Q682" s="89"/>
      <c r="R682" s="362"/>
    </row>
    <row r="683" spans="1:18" ht="36">
      <c r="A683" s="124">
        <v>4390</v>
      </c>
      <c r="B683" s="206" t="s">
        <v>268</v>
      </c>
      <c r="C683" s="88">
        <v>37800</v>
      </c>
      <c r="D683" s="74">
        <f t="shared" si="75"/>
        <v>37000</v>
      </c>
      <c r="E683" s="89">
        <f>SUM(H683+K683+N683+Q683)</f>
        <v>9454</v>
      </c>
      <c r="F683" s="468">
        <f>E683/D683*100</f>
        <v>25.551351351351354</v>
      </c>
      <c r="G683" s="88">
        <f>37800-800</f>
        <v>37000</v>
      </c>
      <c r="H683" s="89">
        <v>9454</v>
      </c>
      <c r="I683" s="442">
        <f t="shared" si="77"/>
        <v>25.551351351351354</v>
      </c>
      <c r="J683" s="126"/>
      <c r="K683" s="89"/>
      <c r="L683" s="391"/>
      <c r="M683" s="89"/>
      <c r="N683" s="89"/>
      <c r="O683" s="368"/>
      <c r="P683" s="88"/>
      <c r="Q683" s="89"/>
      <c r="R683" s="362"/>
    </row>
    <row r="684" spans="1:18" ht="24">
      <c r="A684" s="124">
        <v>4410</v>
      </c>
      <c r="B684" s="128" t="s">
        <v>484</v>
      </c>
      <c r="C684" s="88">
        <v>24300</v>
      </c>
      <c r="D684" s="74">
        <f t="shared" si="75"/>
        <v>24300</v>
      </c>
      <c r="E684" s="89">
        <f t="shared" si="81"/>
        <v>8997</v>
      </c>
      <c r="F684" s="468">
        <f t="shared" si="80"/>
        <v>37.02469135802469</v>
      </c>
      <c r="G684" s="88">
        <v>24300</v>
      </c>
      <c r="H684" s="89">
        <v>8997</v>
      </c>
      <c r="I684" s="442">
        <f t="shared" si="77"/>
        <v>37.02469135802469</v>
      </c>
      <c r="J684" s="126"/>
      <c r="K684" s="89"/>
      <c r="L684" s="391"/>
      <c r="M684" s="89"/>
      <c r="N684" s="89"/>
      <c r="O684" s="368"/>
      <c r="P684" s="88"/>
      <c r="Q684" s="89"/>
      <c r="R684" s="362"/>
    </row>
    <row r="685" spans="1:18" ht="24">
      <c r="A685" s="124">
        <v>4420</v>
      </c>
      <c r="B685" s="128" t="s">
        <v>556</v>
      </c>
      <c r="C685" s="88">
        <v>1400</v>
      </c>
      <c r="D685" s="74">
        <f t="shared" si="75"/>
        <v>1400</v>
      </c>
      <c r="E685" s="89">
        <f t="shared" si="81"/>
        <v>75</v>
      </c>
      <c r="F685" s="468">
        <f t="shared" si="80"/>
        <v>5.357142857142857</v>
      </c>
      <c r="G685" s="88">
        <v>1400</v>
      </c>
      <c r="H685" s="89">
        <v>75</v>
      </c>
      <c r="I685" s="442">
        <f t="shared" si="77"/>
        <v>5.357142857142857</v>
      </c>
      <c r="J685" s="126"/>
      <c r="K685" s="89"/>
      <c r="L685" s="391"/>
      <c r="M685" s="89"/>
      <c r="N685" s="89"/>
      <c r="O685" s="368"/>
      <c r="P685" s="88"/>
      <c r="Q685" s="89"/>
      <c r="R685" s="362"/>
    </row>
    <row r="686" spans="1:18" ht="12.75">
      <c r="A686" s="124">
        <v>4430</v>
      </c>
      <c r="B686" s="128" t="s">
        <v>512</v>
      </c>
      <c r="C686" s="88">
        <v>300</v>
      </c>
      <c r="D686" s="74">
        <f t="shared" si="75"/>
        <v>300</v>
      </c>
      <c r="E686" s="89">
        <f>SUM(H686+K686+N686+Q686)</f>
        <v>196</v>
      </c>
      <c r="F686" s="468">
        <f>E686/D686*100</f>
        <v>65.33333333333333</v>
      </c>
      <c r="G686" s="88">
        <v>300</v>
      </c>
      <c r="H686" s="89">
        <v>196</v>
      </c>
      <c r="I686" s="442">
        <f t="shared" si="77"/>
        <v>65.33333333333333</v>
      </c>
      <c r="J686" s="126"/>
      <c r="K686" s="89"/>
      <c r="L686" s="391"/>
      <c r="M686" s="89"/>
      <c r="N686" s="89"/>
      <c r="O686" s="368"/>
      <c r="P686" s="88"/>
      <c r="Q686" s="89"/>
      <c r="R686" s="362"/>
    </row>
    <row r="687" spans="1:18" ht="12.75">
      <c r="A687" s="124">
        <v>4440</v>
      </c>
      <c r="B687" s="128" t="s">
        <v>514</v>
      </c>
      <c r="C687" s="88">
        <v>752700</v>
      </c>
      <c r="D687" s="74">
        <f t="shared" si="75"/>
        <v>803340</v>
      </c>
      <c r="E687" s="89">
        <f>SUM(H687+K687+N687+Q687)</f>
        <v>638497</v>
      </c>
      <c r="F687" s="468">
        <f>E687/D687*100</f>
        <v>79.48029476933802</v>
      </c>
      <c r="G687" s="88">
        <f>752700+50640</f>
        <v>803340</v>
      </c>
      <c r="H687" s="89">
        <v>638497</v>
      </c>
      <c r="I687" s="442">
        <f t="shared" si="77"/>
        <v>79.48029476933802</v>
      </c>
      <c r="J687" s="126"/>
      <c r="K687" s="89"/>
      <c r="L687" s="391"/>
      <c r="M687" s="89"/>
      <c r="N687" s="89"/>
      <c r="O687" s="368"/>
      <c r="P687" s="88"/>
      <c r="Q687" s="89"/>
      <c r="R687" s="362"/>
    </row>
    <row r="688" spans="1:18" s="118" customFormat="1" ht="36">
      <c r="A688" s="172">
        <v>4700</v>
      </c>
      <c r="B688" s="337" t="s">
        <v>285</v>
      </c>
      <c r="C688" s="88">
        <v>21600</v>
      </c>
      <c r="D688" s="74">
        <f t="shared" si="75"/>
        <v>21600</v>
      </c>
      <c r="E688" s="89">
        <f t="shared" si="81"/>
        <v>9015</v>
      </c>
      <c r="F688" s="468">
        <f t="shared" si="80"/>
        <v>41.736111111111114</v>
      </c>
      <c r="G688" s="88">
        <v>21600</v>
      </c>
      <c r="H688" s="89">
        <v>9015</v>
      </c>
      <c r="I688" s="442">
        <f t="shared" si="77"/>
        <v>41.736111111111114</v>
      </c>
      <c r="J688" s="126"/>
      <c r="K688" s="89"/>
      <c r="L688" s="391"/>
      <c r="M688" s="89"/>
      <c r="N688" s="89"/>
      <c r="O688" s="368"/>
      <c r="P688" s="88"/>
      <c r="Q688" s="89"/>
      <c r="R688" s="362"/>
    </row>
    <row r="689" spans="1:18" s="118" customFormat="1" ht="60">
      <c r="A689" s="172">
        <v>4740</v>
      </c>
      <c r="B689" s="337" t="s">
        <v>290</v>
      </c>
      <c r="C689" s="88">
        <v>28100</v>
      </c>
      <c r="D689" s="74">
        <f t="shared" si="75"/>
        <v>27300</v>
      </c>
      <c r="E689" s="89">
        <f>SUM(H689+K689+N689+Q689)</f>
        <v>3038</v>
      </c>
      <c r="F689" s="468">
        <f>E689/D689*100</f>
        <v>11.128205128205128</v>
      </c>
      <c r="G689" s="88">
        <f>28100-800</f>
        <v>27300</v>
      </c>
      <c r="H689" s="89">
        <v>3038</v>
      </c>
      <c r="I689" s="442">
        <f t="shared" si="77"/>
        <v>11.128205128205128</v>
      </c>
      <c r="J689" s="126"/>
      <c r="K689" s="89"/>
      <c r="L689" s="391"/>
      <c r="M689" s="89"/>
      <c r="N689" s="89"/>
      <c r="O689" s="368"/>
      <c r="P689" s="88"/>
      <c r="Q689" s="89"/>
      <c r="R689" s="362"/>
    </row>
    <row r="690" spans="1:18" s="118" customFormat="1" ht="36">
      <c r="A690" s="172">
        <v>4750</v>
      </c>
      <c r="B690" s="337" t="s">
        <v>291</v>
      </c>
      <c r="C690" s="88">
        <v>39700</v>
      </c>
      <c r="D690" s="74">
        <f t="shared" si="75"/>
        <v>39700</v>
      </c>
      <c r="E690" s="89">
        <f>SUM(H690+K690+N690+Q690)</f>
        <v>18286</v>
      </c>
      <c r="F690" s="468">
        <f>E690/D690*100</f>
        <v>46.060453400503775</v>
      </c>
      <c r="G690" s="88">
        <v>39700</v>
      </c>
      <c r="H690" s="89">
        <v>18286</v>
      </c>
      <c r="I690" s="442">
        <f t="shared" si="77"/>
        <v>46.060453400503775</v>
      </c>
      <c r="J690" s="126"/>
      <c r="K690" s="89"/>
      <c r="L690" s="391"/>
      <c r="M690" s="89"/>
      <c r="N690" s="89"/>
      <c r="O690" s="368"/>
      <c r="P690" s="88"/>
      <c r="Q690" s="89"/>
      <c r="R690" s="362"/>
    </row>
    <row r="691" spans="1:18" s="118" customFormat="1" ht="60">
      <c r="A691" s="124">
        <v>6050</v>
      </c>
      <c r="B691" s="128" t="s">
        <v>334</v>
      </c>
      <c r="C691" s="88">
        <v>149300</v>
      </c>
      <c r="D691" s="74">
        <f t="shared" si="75"/>
        <v>200753</v>
      </c>
      <c r="E691" s="89">
        <f t="shared" si="81"/>
        <v>20458</v>
      </c>
      <c r="F691" s="468">
        <f t="shared" si="80"/>
        <v>10.190632269505311</v>
      </c>
      <c r="G691" s="88">
        <f>149300+43900+13140-9000+3413</f>
        <v>200753</v>
      </c>
      <c r="H691" s="89">
        <v>20458</v>
      </c>
      <c r="I691" s="442">
        <f t="shared" si="77"/>
        <v>10.190632269505311</v>
      </c>
      <c r="J691" s="126"/>
      <c r="K691" s="89"/>
      <c r="L691" s="391"/>
      <c r="M691" s="89"/>
      <c r="N691" s="89"/>
      <c r="O691" s="368"/>
      <c r="P691" s="88"/>
      <c r="Q691" s="89"/>
      <c r="R691" s="362"/>
    </row>
    <row r="692" spans="1:18" s="118" customFormat="1" ht="36">
      <c r="A692" s="124">
        <v>6060</v>
      </c>
      <c r="B692" s="128" t="s">
        <v>49</v>
      </c>
      <c r="C692" s="88">
        <v>1100</v>
      </c>
      <c r="D692" s="74">
        <f t="shared" si="75"/>
        <v>0</v>
      </c>
      <c r="E692" s="89">
        <f>SUM(H692+K692+N692+Q692)</f>
        <v>0</v>
      </c>
      <c r="F692" s="468"/>
      <c r="G692" s="88">
        <f>1100-1100</f>
        <v>0</v>
      </c>
      <c r="H692" s="89"/>
      <c r="I692" s="442"/>
      <c r="J692" s="126"/>
      <c r="K692" s="89"/>
      <c r="L692" s="391"/>
      <c r="M692" s="89"/>
      <c r="N692" s="89"/>
      <c r="O692" s="368"/>
      <c r="P692" s="88"/>
      <c r="Q692" s="89"/>
      <c r="R692" s="362"/>
    </row>
    <row r="693" spans="1:18" s="212" customFormat="1" ht="12.75">
      <c r="A693" s="119">
        <v>80111</v>
      </c>
      <c r="B693" s="185" t="s">
        <v>58</v>
      </c>
      <c r="C693" s="121">
        <f>SUM(C694:C714)</f>
        <v>2183900</v>
      </c>
      <c r="D693" s="95">
        <f t="shared" si="75"/>
        <v>2211860</v>
      </c>
      <c r="E693" s="84">
        <f>H693+K693+Q693+N693</f>
        <v>1273457</v>
      </c>
      <c r="F693" s="467">
        <f t="shared" si="80"/>
        <v>57.57403271454794</v>
      </c>
      <c r="G693" s="146"/>
      <c r="H693" s="149"/>
      <c r="I693" s="489"/>
      <c r="J693" s="148"/>
      <c r="K693" s="149"/>
      <c r="L693" s="406"/>
      <c r="M693" s="84">
        <f>SUM(M694:M714)</f>
        <v>2211860</v>
      </c>
      <c r="N693" s="84">
        <f>SUM(N694:N714)</f>
        <v>1273457</v>
      </c>
      <c r="O693" s="448">
        <f aca="true" t="shared" si="82" ref="O693:O738">N693/M693*100</f>
        <v>57.57403271454794</v>
      </c>
      <c r="P693" s="121"/>
      <c r="Q693" s="84"/>
      <c r="R693" s="372"/>
    </row>
    <row r="694" spans="1:18" s="212" customFormat="1" ht="36">
      <c r="A694" s="108">
        <v>3020</v>
      </c>
      <c r="B694" s="128" t="s">
        <v>257</v>
      </c>
      <c r="C694" s="90">
        <v>6900</v>
      </c>
      <c r="D694" s="103">
        <f aca="true" t="shared" si="83" ref="D694:D735">G694+J694+P694+M694</f>
        <v>6900</v>
      </c>
      <c r="E694" s="104">
        <f aca="true" t="shared" si="84" ref="E694:E735">SUM(H694+K694+N694+Q694)</f>
        <v>1482</v>
      </c>
      <c r="F694" s="470">
        <f t="shared" si="80"/>
        <v>21.478260869565215</v>
      </c>
      <c r="G694" s="90"/>
      <c r="H694" s="104"/>
      <c r="I694" s="490"/>
      <c r="J694" s="200"/>
      <c r="K694" s="104"/>
      <c r="L694" s="414"/>
      <c r="M694" s="90">
        <v>6900</v>
      </c>
      <c r="N694" s="104">
        <v>1482</v>
      </c>
      <c r="O694" s="464">
        <f t="shared" si="82"/>
        <v>21.478260869565215</v>
      </c>
      <c r="P694" s="90"/>
      <c r="Q694" s="104"/>
      <c r="R694" s="365"/>
    </row>
    <row r="695" spans="1:18" s="212" customFormat="1" ht="24">
      <c r="A695" s="124">
        <v>4010</v>
      </c>
      <c r="B695" s="128" t="s">
        <v>492</v>
      </c>
      <c r="C695" s="88">
        <v>1502000</v>
      </c>
      <c r="D695" s="74">
        <f t="shared" si="83"/>
        <v>1508200</v>
      </c>
      <c r="E695" s="89">
        <f t="shared" si="84"/>
        <v>816897</v>
      </c>
      <c r="F695" s="468">
        <f t="shared" si="80"/>
        <v>54.163705078902005</v>
      </c>
      <c r="G695" s="88"/>
      <c r="H695" s="89"/>
      <c r="I695" s="466"/>
      <c r="J695" s="126"/>
      <c r="K695" s="89"/>
      <c r="L695" s="391"/>
      <c r="M695" s="88">
        <f>1502000+6200</f>
        <v>1508200</v>
      </c>
      <c r="N695" s="89">
        <v>816897</v>
      </c>
      <c r="O695" s="442">
        <f t="shared" si="82"/>
        <v>54.163705078902005</v>
      </c>
      <c r="P695" s="88"/>
      <c r="Q695" s="89"/>
      <c r="R695" s="362"/>
    </row>
    <row r="696" spans="1:18" s="212" customFormat="1" ht="24">
      <c r="A696" s="158">
        <v>4040</v>
      </c>
      <c r="B696" s="159" t="s">
        <v>496</v>
      </c>
      <c r="C696" s="160">
        <v>117000</v>
      </c>
      <c r="D696" s="161">
        <f t="shared" si="83"/>
        <v>116060</v>
      </c>
      <c r="E696" s="155">
        <f t="shared" si="84"/>
        <v>116059</v>
      </c>
      <c r="F696" s="469">
        <f t="shared" si="80"/>
        <v>99.99913837670171</v>
      </c>
      <c r="G696" s="160"/>
      <c r="H696" s="155"/>
      <c r="I696" s="479"/>
      <c r="J696" s="162"/>
      <c r="K696" s="155"/>
      <c r="L696" s="415"/>
      <c r="M696" s="160">
        <f>117000-940</f>
        <v>116060</v>
      </c>
      <c r="N696" s="155">
        <v>116059</v>
      </c>
      <c r="O696" s="462">
        <f t="shared" si="82"/>
        <v>99.99913837670171</v>
      </c>
      <c r="P696" s="160"/>
      <c r="Q696" s="155"/>
      <c r="R696" s="366"/>
    </row>
    <row r="697" spans="1:18" s="212" customFormat="1" ht="24">
      <c r="A697" s="124">
        <v>4110</v>
      </c>
      <c r="B697" s="128" t="s">
        <v>498</v>
      </c>
      <c r="C697" s="88">
        <v>258000</v>
      </c>
      <c r="D697" s="74">
        <f t="shared" si="83"/>
        <v>259000</v>
      </c>
      <c r="E697" s="89">
        <f t="shared" si="84"/>
        <v>143903</v>
      </c>
      <c r="F697" s="468">
        <f t="shared" si="80"/>
        <v>55.56100386100387</v>
      </c>
      <c r="G697" s="88"/>
      <c r="H697" s="89"/>
      <c r="I697" s="466"/>
      <c r="J697" s="126"/>
      <c r="K697" s="89"/>
      <c r="L697" s="391"/>
      <c r="M697" s="88">
        <f>258000+1000</f>
        <v>259000</v>
      </c>
      <c r="N697" s="89">
        <v>143903</v>
      </c>
      <c r="O697" s="442">
        <f t="shared" si="82"/>
        <v>55.56100386100387</v>
      </c>
      <c r="P697" s="88"/>
      <c r="Q697" s="89"/>
      <c r="R697" s="362"/>
    </row>
    <row r="698" spans="1:18" s="212" customFormat="1" ht="15.75" customHeight="1">
      <c r="A698" s="124">
        <v>4120</v>
      </c>
      <c r="B698" s="128" t="s">
        <v>571</v>
      </c>
      <c r="C698" s="88">
        <v>38900</v>
      </c>
      <c r="D698" s="74">
        <f t="shared" si="83"/>
        <v>39000</v>
      </c>
      <c r="E698" s="89">
        <f t="shared" si="84"/>
        <v>22986</v>
      </c>
      <c r="F698" s="468">
        <f t="shared" si="80"/>
        <v>58.93846153846154</v>
      </c>
      <c r="G698" s="88"/>
      <c r="H698" s="89"/>
      <c r="I698" s="466"/>
      <c r="J698" s="126"/>
      <c r="K698" s="89"/>
      <c r="L698" s="391"/>
      <c r="M698" s="88">
        <f>38900+100</f>
        <v>39000</v>
      </c>
      <c r="N698" s="89">
        <f>22987-1</f>
        <v>22986</v>
      </c>
      <c r="O698" s="442">
        <f t="shared" si="82"/>
        <v>58.93846153846154</v>
      </c>
      <c r="P698" s="88"/>
      <c r="Q698" s="89"/>
      <c r="R698" s="362"/>
    </row>
    <row r="699" spans="1:18" s="212" customFormat="1" ht="15.75" customHeight="1">
      <c r="A699" s="124">
        <v>4140</v>
      </c>
      <c r="B699" s="128" t="s">
        <v>544</v>
      </c>
      <c r="C699" s="88">
        <v>1800</v>
      </c>
      <c r="D699" s="74">
        <f t="shared" si="83"/>
        <v>1800</v>
      </c>
      <c r="E699" s="89">
        <f t="shared" si="84"/>
        <v>834</v>
      </c>
      <c r="F699" s="468">
        <f t="shared" si="80"/>
        <v>46.33333333333333</v>
      </c>
      <c r="G699" s="88"/>
      <c r="H699" s="89"/>
      <c r="I699" s="466"/>
      <c r="J699" s="126"/>
      <c r="K699" s="89"/>
      <c r="L699" s="391"/>
      <c r="M699" s="88">
        <v>1800</v>
      </c>
      <c r="N699" s="89">
        <v>834</v>
      </c>
      <c r="O699" s="442">
        <f t="shared" si="82"/>
        <v>46.33333333333333</v>
      </c>
      <c r="P699" s="126"/>
      <c r="Q699" s="89"/>
      <c r="R699" s="362"/>
    </row>
    <row r="700" spans="1:18" s="212" customFormat="1" ht="24">
      <c r="A700" s="124">
        <v>4210</v>
      </c>
      <c r="B700" s="128" t="s">
        <v>502</v>
      </c>
      <c r="C700" s="88">
        <v>22500</v>
      </c>
      <c r="D700" s="74">
        <f t="shared" si="83"/>
        <v>28500</v>
      </c>
      <c r="E700" s="89">
        <f t="shared" si="84"/>
        <v>11992</v>
      </c>
      <c r="F700" s="468">
        <f t="shared" si="80"/>
        <v>42.07719298245614</v>
      </c>
      <c r="G700" s="88"/>
      <c r="H700" s="89"/>
      <c r="I700" s="466"/>
      <c r="J700" s="126"/>
      <c r="K700" s="89"/>
      <c r="L700" s="391"/>
      <c r="M700" s="88">
        <f>22500+6000</f>
        <v>28500</v>
      </c>
      <c r="N700" s="89">
        <f>11993-1</f>
        <v>11992</v>
      </c>
      <c r="O700" s="442">
        <f t="shared" si="82"/>
        <v>42.07719298245614</v>
      </c>
      <c r="P700" s="89"/>
      <c r="Q700" s="89"/>
      <c r="R700" s="362"/>
    </row>
    <row r="701" spans="1:18" s="212" customFormat="1" ht="36">
      <c r="A701" s="124">
        <v>4240</v>
      </c>
      <c r="B701" s="128" t="s">
        <v>56</v>
      </c>
      <c r="C701" s="88">
        <v>4000</v>
      </c>
      <c r="D701" s="74">
        <f t="shared" si="83"/>
        <v>4000</v>
      </c>
      <c r="E701" s="89">
        <f t="shared" si="84"/>
        <v>1966</v>
      </c>
      <c r="F701" s="468">
        <f t="shared" si="80"/>
        <v>49.15</v>
      </c>
      <c r="G701" s="88"/>
      <c r="H701" s="89"/>
      <c r="I701" s="466"/>
      <c r="J701" s="126"/>
      <c r="K701" s="89"/>
      <c r="L701" s="391"/>
      <c r="M701" s="88">
        <v>4000</v>
      </c>
      <c r="N701" s="89">
        <f>1967-1</f>
        <v>1966</v>
      </c>
      <c r="O701" s="442">
        <f t="shared" si="82"/>
        <v>49.15</v>
      </c>
      <c r="P701" s="89"/>
      <c r="Q701" s="89"/>
      <c r="R701" s="362"/>
    </row>
    <row r="702" spans="1:18" s="212" customFormat="1" ht="18.75" customHeight="1">
      <c r="A702" s="124">
        <v>4260</v>
      </c>
      <c r="B702" s="128" t="s">
        <v>506</v>
      </c>
      <c r="C702" s="88">
        <v>90000</v>
      </c>
      <c r="D702" s="74">
        <f t="shared" si="83"/>
        <v>90000</v>
      </c>
      <c r="E702" s="89">
        <f t="shared" si="84"/>
        <v>58864</v>
      </c>
      <c r="F702" s="468">
        <f t="shared" si="80"/>
        <v>65.40444444444444</v>
      </c>
      <c r="G702" s="88"/>
      <c r="H702" s="89"/>
      <c r="I702" s="466"/>
      <c r="J702" s="126"/>
      <c r="K702" s="89"/>
      <c r="L702" s="391"/>
      <c r="M702" s="88">
        <v>90000</v>
      </c>
      <c r="N702" s="89">
        <v>58864</v>
      </c>
      <c r="O702" s="442">
        <f t="shared" si="82"/>
        <v>65.40444444444444</v>
      </c>
      <c r="P702" s="89"/>
      <c r="Q702" s="89"/>
      <c r="R702" s="362"/>
    </row>
    <row r="703" spans="1:18" s="212" customFormat="1" ht="18.75" customHeight="1">
      <c r="A703" s="124">
        <v>4270</v>
      </c>
      <c r="B703" s="128" t="s">
        <v>508</v>
      </c>
      <c r="C703" s="88">
        <v>3900</v>
      </c>
      <c r="D703" s="74">
        <f t="shared" si="83"/>
        <v>3900</v>
      </c>
      <c r="E703" s="89">
        <f t="shared" si="84"/>
        <v>2726</v>
      </c>
      <c r="F703" s="468">
        <f t="shared" si="80"/>
        <v>69.8974358974359</v>
      </c>
      <c r="G703" s="88"/>
      <c r="H703" s="89"/>
      <c r="I703" s="466"/>
      <c r="J703" s="126"/>
      <c r="K703" s="89"/>
      <c r="L703" s="391"/>
      <c r="M703" s="88">
        <v>3900</v>
      </c>
      <c r="N703" s="89">
        <v>2726</v>
      </c>
      <c r="O703" s="442">
        <f t="shared" si="82"/>
        <v>69.8974358974359</v>
      </c>
      <c r="P703" s="89"/>
      <c r="Q703" s="89"/>
      <c r="R703" s="362"/>
    </row>
    <row r="704" spans="1:18" s="212" customFormat="1" ht="18.75" customHeight="1">
      <c r="A704" s="124">
        <v>4280</v>
      </c>
      <c r="B704" s="128" t="s">
        <v>545</v>
      </c>
      <c r="C704" s="88">
        <v>1500</v>
      </c>
      <c r="D704" s="74">
        <f t="shared" si="83"/>
        <v>1500</v>
      </c>
      <c r="E704" s="89">
        <f t="shared" si="84"/>
        <v>549</v>
      </c>
      <c r="F704" s="468">
        <f t="shared" si="80"/>
        <v>36.6</v>
      </c>
      <c r="G704" s="88"/>
      <c r="H704" s="89"/>
      <c r="I704" s="466"/>
      <c r="J704" s="126"/>
      <c r="K704" s="89"/>
      <c r="L704" s="391"/>
      <c r="M704" s="88">
        <v>1500</v>
      </c>
      <c r="N704" s="89">
        <v>549</v>
      </c>
      <c r="O704" s="442">
        <f t="shared" si="82"/>
        <v>36.6</v>
      </c>
      <c r="P704" s="89"/>
      <c r="Q704" s="89"/>
      <c r="R704" s="362"/>
    </row>
    <row r="705" spans="1:18" s="212" customFormat="1" ht="18.75" customHeight="1">
      <c r="A705" s="124">
        <v>4300</v>
      </c>
      <c r="B705" s="128" t="s">
        <v>510</v>
      </c>
      <c r="C705" s="88">
        <v>47000</v>
      </c>
      <c r="D705" s="74">
        <f t="shared" si="83"/>
        <v>51300</v>
      </c>
      <c r="E705" s="89">
        <f t="shared" si="84"/>
        <v>24397</v>
      </c>
      <c r="F705" s="468">
        <f t="shared" si="80"/>
        <v>47.55750487329435</v>
      </c>
      <c r="G705" s="88"/>
      <c r="H705" s="89"/>
      <c r="I705" s="466"/>
      <c r="J705" s="126"/>
      <c r="K705" s="89"/>
      <c r="L705" s="391"/>
      <c r="M705" s="88">
        <f>47000+4300</f>
        <v>51300</v>
      </c>
      <c r="N705" s="89">
        <v>24397</v>
      </c>
      <c r="O705" s="442">
        <f t="shared" si="82"/>
        <v>47.55750487329435</v>
      </c>
      <c r="P705" s="89"/>
      <c r="Q705" s="89"/>
      <c r="R705" s="362"/>
    </row>
    <row r="706" spans="1:18" s="212" customFormat="1" ht="24">
      <c r="A706" s="124">
        <v>4350</v>
      </c>
      <c r="B706" s="128" t="s">
        <v>48</v>
      </c>
      <c r="C706" s="88">
        <v>1000</v>
      </c>
      <c r="D706" s="74">
        <f t="shared" si="83"/>
        <v>1000</v>
      </c>
      <c r="E706" s="89">
        <f t="shared" si="84"/>
        <v>679</v>
      </c>
      <c r="F706" s="468">
        <f t="shared" si="80"/>
        <v>67.9</v>
      </c>
      <c r="G706" s="88"/>
      <c r="H706" s="89"/>
      <c r="I706" s="466"/>
      <c r="J706" s="126"/>
      <c r="K706" s="89"/>
      <c r="L706" s="391"/>
      <c r="M706" s="88">
        <v>1000</v>
      </c>
      <c r="N706" s="89">
        <v>679</v>
      </c>
      <c r="O706" s="442">
        <f t="shared" si="82"/>
        <v>67.9</v>
      </c>
      <c r="P706" s="89"/>
      <c r="Q706" s="89"/>
      <c r="R706" s="362"/>
    </row>
    <row r="707" spans="1:18" s="212" customFormat="1" ht="48">
      <c r="A707" s="172">
        <v>4360</v>
      </c>
      <c r="B707" s="337" t="s">
        <v>297</v>
      </c>
      <c r="C707" s="88">
        <v>300</v>
      </c>
      <c r="D707" s="74">
        <f t="shared" si="83"/>
        <v>400</v>
      </c>
      <c r="E707" s="89">
        <f>SUM(H707+K707+N707+Q707)</f>
        <v>191</v>
      </c>
      <c r="F707" s="468">
        <f>E707/D707*100</f>
        <v>47.75</v>
      </c>
      <c r="G707" s="88"/>
      <c r="H707" s="89"/>
      <c r="I707" s="466"/>
      <c r="J707" s="126"/>
      <c r="K707" s="89"/>
      <c r="L707" s="391"/>
      <c r="M707" s="88">
        <f>300+100</f>
        <v>400</v>
      </c>
      <c r="N707" s="89">
        <v>191</v>
      </c>
      <c r="O707" s="442">
        <f t="shared" si="82"/>
        <v>47.75</v>
      </c>
      <c r="P707" s="89"/>
      <c r="Q707" s="89"/>
      <c r="R707" s="362"/>
    </row>
    <row r="708" spans="1:18" s="212" customFormat="1" ht="48">
      <c r="A708" s="172">
        <v>4370</v>
      </c>
      <c r="B708" s="337" t="s">
        <v>298</v>
      </c>
      <c r="C708" s="88">
        <v>2300</v>
      </c>
      <c r="D708" s="74">
        <f t="shared" si="83"/>
        <v>2300</v>
      </c>
      <c r="E708" s="89">
        <f>SUM(H708+K708+N708+Q708)</f>
        <v>1475</v>
      </c>
      <c r="F708" s="468">
        <f>E708/D708*100</f>
        <v>64.13043478260869</v>
      </c>
      <c r="G708" s="88"/>
      <c r="H708" s="89"/>
      <c r="I708" s="466"/>
      <c r="J708" s="126"/>
      <c r="K708" s="89"/>
      <c r="L708" s="391"/>
      <c r="M708" s="88">
        <v>2300</v>
      </c>
      <c r="N708" s="89">
        <v>1475</v>
      </c>
      <c r="O708" s="442">
        <f t="shared" si="82"/>
        <v>64.13043478260869</v>
      </c>
      <c r="P708" s="89"/>
      <c r="Q708" s="89"/>
      <c r="R708" s="362"/>
    </row>
    <row r="709" spans="1:18" s="212" customFormat="1" ht="36">
      <c r="A709" s="124">
        <v>4390</v>
      </c>
      <c r="B709" s="206" t="s">
        <v>268</v>
      </c>
      <c r="C709" s="88">
        <v>3000</v>
      </c>
      <c r="D709" s="74">
        <f t="shared" si="83"/>
        <v>4500</v>
      </c>
      <c r="E709" s="89">
        <f>SUM(H709+K709+N709+Q709)</f>
        <v>1000</v>
      </c>
      <c r="F709" s="468">
        <f>E709/D709*100</f>
        <v>22.22222222222222</v>
      </c>
      <c r="G709" s="88"/>
      <c r="H709" s="89"/>
      <c r="I709" s="466"/>
      <c r="J709" s="126"/>
      <c r="K709" s="89"/>
      <c r="L709" s="391"/>
      <c r="M709" s="88">
        <f>3000+1500</f>
        <v>4500</v>
      </c>
      <c r="N709" s="89">
        <v>1000</v>
      </c>
      <c r="O709" s="442">
        <f t="shared" si="82"/>
        <v>22.22222222222222</v>
      </c>
      <c r="P709" s="89"/>
      <c r="Q709" s="89"/>
      <c r="R709" s="362"/>
    </row>
    <row r="710" spans="1:18" s="212" customFormat="1" ht="18.75" customHeight="1">
      <c r="A710" s="124">
        <v>4410</v>
      </c>
      <c r="B710" s="128" t="s">
        <v>484</v>
      </c>
      <c r="C710" s="88">
        <v>1700</v>
      </c>
      <c r="D710" s="74">
        <f t="shared" si="83"/>
        <v>1700</v>
      </c>
      <c r="E710" s="89">
        <f t="shared" si="84"/>
        <v>1136</v>
      </c>
      <c r="F710" s="468">
        <f t="shared" si="80"/>
        <v>66.82352941176471</v>
      </c>
      <c r="G710" s="88"/>
      <c r="H710" s="89"/>
      <c r="I710" s="466"/>
      <c r="J710" s="126"/>
      <c r="K710" s="89"/>
      <c r="L710" s="391"/>
      <c r="M710" s="88">
        <v>1700</v>
      </c>
      <c r="N710" s="89">
        <v>1136</v>
      </c>
      <c r="O710" s="442">
        <f t="shared" si="82"/>
        <v>66.82352941176471</v>
      </c>
      <c r="P710" s="89"/>
      <c r="Q710" s="89"/>
      <c r="R710" s="362"/>
    </row>
    <row r="711" spans="1:18" s="212" customFormat="1" ht="12.75">
      <c r="A711" s="124">
        <v>4440</v>
      </c>
      <c r="B711" s="291" t="s">
        <v>514</v>
      </c>
      <c r="C711" s="88">
        <v>74300</v>
      </c>
      <c r="D711" s="74">
        <f t="shared" si="83"/>
        <v>84200</v>
      </c>
      <c r="E711" s="89">
        <f t="shared" si="84"/>
        <v>64150</v>
      </c>
      <c r="F711" s="468">
        <f t="shared" si="80"/>
        <v>76.187648456057</v>
      </c>
      <c r="G711" s="88"/>
      <c r="H711" s="89"/>
      <c r="I711" s="466"/>
      <c r="J711" s="126"/>
      <c r="K711" s="89"/>
      <c r="L711" s="391"/>
      <c r="M711" s="88">
        <f>74300+5700+4200</f>
        <v>84200</v>
      </c>
      <c r="N711" s="89">
        <v>64150</v>
      </c>
      <c r="O711" s="442">
        <f t="shared" si="82"/>
        <v>76.187648456057</v>
      </c>
      <c r="P711" s="89"/>
      <c r="Q711" s="89"/>
      <c r="R711" s="362"/>
    </row>
    <row r="712" spans="1:18" s="212" customFormat="1" ht="36">
      <c r="A712" s="172">
        <v>4700</v>
      </c>
      <c r="B712" s="337" t="s">
        <v>285</v>
      </c>
      <c r="C712" s="88">
        <v>2300</v>
      </c>
      <c r="D712" s="74">
        <f t="shared" si="83"/>
        <v>2300</v>
      </c>
      <c r="E712" s="89">
        <f>SUM(H712+K712+N712+Q712)</f>
        <v>1114</v>
      </c>
      <c r="F712" s="468">
        <f>E712/D712*100</f>
        <v>48.434782608695656</v>
      </c>
      <c r="G712" s="88"/>
      <c r="H712" s="89"/>
      <c r="I712" s="466"/>
      <c r="J712" s="126"/>
      <c r="K712" s="89"/>
      <c r="L712" s="391"/>
      <c r="M712" s="88">
        <v>2300</v>
      </c>
      <c r="N712" s="89">
        <v>1114</v>
      </c>
      <c r="O712" s="442">
        <f t="shared" si="82"/>
        <v>48.434782608695656</v>
      </c>
      <c r="P712" s="89"/>
      <c r="Q712" s="89"/>
      <c r="R712" s="362"/>
    </row>
    <row r="713" spans="1:18" s="212" customFormat="1" ht="60">
      <c r="A713" s="172">
        <v>4740</v>
      </c>
      <c r="B713" s="337" t="s">
        <v>290</v>
      </c>
      <c r="C713" s="88">
        <v>1500</v>
      </c>
      <c r="D713" s="74">
        <f t="shared" si="83"/>
        <v>1500</v>
      </c>
      <c r="E713" s="89">
        <f>SUM(H713+K713+N713+Q713)</f>
        <v>171</v>
      </c>
      <c r="F713" s="468">
        <f>E713/D713*100</f>
        <v>11.4</v>
      </c>
      <c r="G713" s="88"/>
      <c r="H713" s="89"/>
      <c r="I713" s="466"/>
      <c r="J713" s="126"/>
      <c r="K713" s="89"/>
      <c r="L713" s="391"/>
      <c r="M713" s="88">
        <v>1500</v>
      </c>
      <c r="N713" s="89">
        <v>171</v>
      </c>
      <c r="O713" s="442">
        <f t="shared" si="82"/>
        <v>11.4</v>
      </c>
      <c r="P713" s="89"/>
      <c r="Q713" s="89"/>
      <c r="R713" s="362"/>
    </row>
    <row r="714" spans="1:18" s="212" customFormat="1" ht="36">
      <c r="A714" s="197">
        <v>4750</v>
      </c>
      <c r="B714" s="198" t="s">
        <v>291</v>
      </c>
      <c r="C714" s="160">
        <v>4000</v>
      </c>
      <c r="D714" s="161">
        <f t="shared" si="83"/>
        <v>3800</v>
      </c>
      <c r="E714" s="155">
        <f t="shared" si="84"/>
        <v>886</v>
      </c>
      <c r="F714" s="469">
        <f t="shared" si="80"/>
        <v>23.31578947368421</v>
      </c>
      <c r="G714" s="160"/>
      <c r="H714" s="155"/>
      <c r="I714" s="479"/>
      <c r="J714" s="162"/>
      <c r="K714" s="155"/>
      <c r="L714" s="415"/>
      <c r="M714" s="160">
        <f>4000-200</f>
        <v>3800</v>
      </c>
      <c r="N714" s="155">
        <v>886</v>
      </c>
      <c r="O714" s="462">
        <f t="shared" si="82"/>
        <v>23.31578947368421</v>
      </c>
      <c r="P714" s="155"/>
      <c r="Q714" s="155"/>
      <c r="R714" s="366"/>
    </row>
    <row r="715" spans="1:18" s="212" customFormat="1" ht="60">
      <c r="A715" s="150">
        <v>80114</v>
      </c>
      <c r="B715" s="187" t="s">
        <v>443</v>
      </c>
      <c r="C715" s="94">
        <f>SUM(C716:C735)</f>
        <v>1600600</v>
      </c>
      <c r="D715" s="95">
        <f t="shared" si="83"/>
        <v>1698650</v>
      </c>
      <c r="E715" s="95">
        <f t="shared" si="84"/>
        <v>859578</v>
      </c>
      <c r="F715" s="476">
        <f t="shared" si="80"/>
        <v>50.60359697406764</v>
      </c>
      <c r="G715" s="94">
        <f>SUM(G716:G735)</f>
        <v>1698650</v>
      </c>
      <c r="H715" s="95">
        <f>SUM(H716:H735)</f>
        <v>859578</v>
      </c>
      <c r="I715" s="502">
        <f>H715/G715*100</f>
        <v>50.60359697406764</v>
      </c>
      <c r="J715" s="171"/>
      <c r="K715" s="95"/>
      <c r="L715" s="417"/>
      <c r="M715" s="94"/>
      <c r="N715" s="95"/>
      <c r="O715" s="484"/>
      <c r="P715" s="95"/>
      <c r="Q715" s="95"/>
      <c r="R715" s="370"/>
    </row>
    <row r="716" spans="1:18" s="212" customFormat="1" ht="36">
      <c r="A716" s="124">
        <v>3020</v>
      </c>
      <c r="B716" s="128" t="s">
        <v>257</v>
      </c>
      <c r="C716" s="90">
        <v>300</v>
      </c>
      <c r="D716" s="74">
        <f t="shared" si="83"/>
        <v>300</v>
      </c>
      <c r="E716" s="89">
        <f t="shared" si="84"/>
        <v>150</v>
      </c>
      <c r="F716" s="468">
        <f t="shared" si="80"/>
        <v>50</v>
      </c>
      <c r="G716" s="90">
        <v>300</v>
      </c>
      <c r="H716" s="104">
        <v>150</v>
      </c>
      <c r="I716" s="466">
        <f>H716/G716*100</f>
        <v>50</v>
      </c>
      <c r="J716" s="200"/>
      <c r="K716" s="104"/>
      <c r="L716" s="414"/>
      <c r="M716" s="90"/>
      <c r="N716" s="104"/>
      <c r="O716" s="464"/>
      <c r="P716" s="104"/>
      <c r="Q716" s="104"/>
      <c r="R716" s="365"/>
    </row>
    <row r="717" spans="1:18" s="212" customFormat="1" ht="24">
      <c r="A717" s="124">
        <v>4010</v>
      </c>
      <c r="B717" s="128" t="s">
        <v>9</v>
      </c>
      <c r="C717" s="88">
        <v>625400</v>
      </c>
      <c r="D717" s="74">
        <f t="shared" si="83"/>
        <v>625400</v>
      </c>
      <c r="E717" s="89">
        <f t="shared" si="84"/>
        <v>297992</v>
      </c>
      <c r="F717" s="468">
        <f t="shared" si="80"/>
        <v>47.648225135913016</v>
      </c>
      <c r="G717" s="88">
        <v>625400</v>
      </c>
      <c r="H717" s="89">
        <v>297992</v>
      </c>
      <c r="I717" s="466">
        <f>H717/G717*100</f>
        <v>47.648225135913016</v>
      </c>
      <c r="J717" s="126"/>
      <c r="K717" s="89"/>
      <c r="L717" s="391"/>
      <c r="M717" s="88"/>
      <c r="N717" s="89"/>
      <c r="O717" s="442"/>
      <c r="P717" s="89"/>
      <c r="Q717" s="89"/>
      <c r="R717" s="362"/>
    </row>
    <row r="718" spans="1:18" s="212" customFormat="1" ht="24">
      <c r="A718" s="124">
        <v>4040</v>
      </c>
      <c r="B718" s="128" t="s">
        <v>496</v>
      </c>
      <c r="C718" s="88">
        <v>48600</v>
      </c>
      <c r="D718" s="74">
        <f t="shared" si="83"/>
        <v>48950</v>
      </c>
      <c r="E718" s="89">
        <f t="shared" si="84"/>
        <v>48946</v>
      </c>
      <c r="F718" s="468">
        <f t="shared" si="80"/>
        <v>99.99182839632277</v>
      </c>
      <c r="G718" s="88">
        <f>48600+350</f>
        <v>48950</v>
      </c>
      <c r="H718" s="89">
        <v>48946</v>
      </c>
      <c r="I718" s="466">
        <f aca="true" t="shared" si="85" ref="I718:I735">H718/G718*100</f>
        <v>99.99182839632277</v>
      </c>
      <c r="J718" s="126"/>
      <c r="K718" s="89"/>
      <c r="L718" s="391"/>
      <c r="M718" s="88"/>
      <c r="N718" s="89"/>
      <c r="O718" s="442"/>
      <c r="P718" s="89"/>
      <c r="Q718" s="89"/>
      <c r="R718" s="362"/>
    </row>
    <row r="719" spans="1:18" s="212" customFormat="1" ht="24">
      <c r="A719" s="124">
        <v>4110</v>
      </c>
      <c r="B719" s="128" t="s">
        <v>498</v>
      </c>
      <c r="C719" s="88">
        <v>90600</v>
      </c>
      <c r="D719" s="74">
        <f t="shared" si="83"/>
        <v>90600</v>
      </c>
      <c r="E719" s="89">
        <f t="shared" si="84"/>
        <v>47699</v>
      </c>
      <c r="F719" s="468">
        <f t="shared" si="80"/>
        <v>52.64790286975718</v>
      </c>
      <c r="G719" s="88">
        <v>90600</v>
      </c>
      <c r="H719" s="89">
        <v>47699</v>
      </c>
      <c r="I719" s="466">
        <f t="shared" si="85"/>
        <v>52.64790286975718</v>
      </c>
      <c r="J719" s="126"/>
      <c r="K719" s="89"/>
      <c r="L719" s="391"/>
      <c r="M719" s="88"/>
      <c r="N719" s="89"/>
      <c r="O719" s="442"/>
      <c r="P719" s="89"/>
      <c r="Q719" s="89"/>
      <c r="R719" s="362"/>
    </row>
    <row r="720" spans="1:18" s="212" customFormat="1" ht="12.75">
      <c r="A720" s="124">
        <v>4120</v>
      </c>
      <c r="B720" s="128" t="s">
        <v>571</v>
      </c>
      <c r="C720" s="88">
        <v>15600</v>
      </c>
      <c r="D720" s="74">
        <f t="shared" si="83"/>
        <v>15600</v>
      </c>
      <c r="E720" s="89">
        <f t="shared" si="84"/>
        <v>7164</v>
      </c>
      <c r="F720" s="468">
        <f t="shared" si="80"/>
        <v>45.92307692307692</v>
      </c>
      <c r="G720" s="88">
        <v>15600</v>
      </c>
      <c r="H720" s="89">
        <v>7164</v>
      </c>
      <c r="I720" s="466">
        <f t="shared" si="85"/>
        <v>45.92307692307692</v>
      </c>
      <c r="J720" s="126"/>
      <c r="K720" s="89"/>
      <c r="L720" s="391"/>
      <c r="M720" s="88"/>
      <c r="N720" s="89"/>
      <c r="O720" s="442"/>
      <c r="P720" s="89"/>
      <c r="Q720" s="89"/>
      <c r="R720" s="362"/>
    </row>
    <row r="721" spans="1:18" s="212" customFormat="1" ht="24">
      <c r="A721" s="124">
        <v>4170</v>
      </c>
      <c r="B721" s="128" t="s">
        <v>536</v>
      </c>
      <c r="C721" s="88"/>
      <c r="D721" s="74">
        <f t="shared" si="83"/>
        <v>400</v>
      </c>
      <c r="E721" s="89">
        <f t="shared" si="84"/>
        <v>400</v>
      </c>
      <c r="F721" s="468">
        <f t="shared" si="80"/>
        <v>100</v>
      </c>
      <c r="G721" s="88">
        <v>400</v>
      </c>
      <c r="H721" s="89">
        <v>400</v>
      </c>
      <c r="I721" s="466">
        <f t="shared" si="85"/>
        <v>100</v>
      </c>
      <c r="J721" s="126"/>
      <c r="K721" s="89"/>
      <c r="L721" s="391"/>
      <c r="M721" s="88"/>
      <c r="N721" s="89"/>
      <c r="O721" s="442"/>
      <c r="P721" s="89"/>
      <c r="Q721" s="89"/>
      <c r="R721" s="362"/>
    </row>
    <row r="722" spans="1:18" s="212" customFormat="1" ht="24">
      <c r="A722" s="124">
        <v>4210</v>
      </c>
      <c r="B722" s="128" t="s">
        <v>502</v>
      </c>
      <c r="C722" s="88">
        <v>23900</v>
      </c>
      <c r="D722" s="74">
        <f t="shared" si="83"/>
        <v>31400</v>
      </c>
      <c r="E722" s="89">
        <f t="shared" si="84"/>
        <v>11467</v>
      </c>
      <c r="F722" s="468">
        <f aca="true" t="shared" si="86" ref="F722:F786">E722/D722*100</f>
        <v>36.51910828025478</v>
      </c>
      <c r="G722" s="88">
        <f>23900+500+7000</f>
        <v>31400</v>
      </c>
      <c r="H722" s="89">
        <v>11467</v>
      </c>
      <c r="I722" s="466">
        <f t="shared" si="85"/>
        <v>36.51910828025478</v>
      </c>
      <c r="J722" s="126"/>
      <c r="K722" s="89"/>
      <c r="L722" s="391"/>
      <c r="M722" s="88"/>
      <c r="N722" s="89"/>
      <c r="O722" s="442"/>
      <c r="P722" s="89"/>
      <c r="Q722" s="89"/>
      <c r="R722" s="362"/>
    </row>
    <row r="723" spans="1:18" s="212" customFormat="1" ht="12.75">
      <c r="A723" s="124">
        <v>4260</v>
      </c>
      <c r="B723" s="128" t="s">
        <v>506</v>
      </c>
      <c r="C723" s="88">
        <v>12100</v>
      </c>
      <c r="D723" s="74">
        <f t="shared" si="83"/>
        <v>12100</v>
      </c>
      <c r="E723" s="89">
        <f t="shared" si="84"/>
        <v>6209</v>
      </c>
      <c r="F723" s="468">
        <f t="shared" si="86"/>
        <v>51.314049586776854</v>
      </c>
      <c r="G723" s="88">
        <v>12100</v>
      </c>
      <c r="H723" s="89">
        <v>6209</v>
      </c>
      <c r="I723" s="466">
        <f t="shared" si="85"/>
        <v>51.314049586776854</v>
      </c>
      <c r="J723" s="126"/>
      <c r="K723" s="89"/>
      <c r="L723" s="391"/>
      <c r="M723" s="88"/>
      <c r="N723" s="89"/>
      <c r="O723" s="442"/>
      <c r="P723" s="89"/>
      <c r="Q723" s="89"/>
      <c r="R723" s="362"/>
    </row>
    <row r="724" spans="1:18" s="212" customFormat="1" ht="24">
      <c r="A724" s="124">
        <v>4270</v>
      </c>
      <c r="B724" s="128" t="s">
        <v>508</v>
      </c>
      <c r="C724" s="88">
        <v>300000</v>
      </c>
      <c r="D724" s="74">
        <f t="shared" si="83"/>
        <v>385000</v>
      </c>
      <c r="E724" s="89">
        <f t="shared" si="84"/>
        <v>137851</v>
      </c>
      <c r="F724" s="468">
        <f t="shared" si="86"/>
        <v>35.805454545454545</v>
      </c>
      <c r="G724" s="88">
        <f>300000+85000</f>
        <v>385000</v>
      </c>
      <c r="H724" s="89">
        <v>137851</v>
      </c>
      <c r="I724" s="466">
        <f t="shared" si="85"/>
        <v>35.805454545454545</v>
      </c>
      <c r="J724" s="126"/>
      <c r="K724" s="89"/>
      <c r="L724" s="391"/>
      <c r="M724" s="88"/>
      <c r="N724" s="89"/>
      <c r="O724" s="442"/>
      <c r="P724" s="89"/>
      <c r="Q724" s="89"/>
      <c r="R724" s="362"/>
    </row>
    <row r="725" spans="1:18" s="212" customFormat="1" ht="24">
      <c r="A725" s="124">
        <v>4280</v>
      </c>
      <c r="B725" s="128" t="s">
        <v>545</v>
      </c>
      <c r="C725" s="88">
        <v>200</v>
      </c>
      <c r="D725" s="74">
        <f t="shared" si="83"/>
        <v>200</v>
      </c>
      <c r="E725" s="89">
        <f t="shared" si="84"/>
        <v>0</v>
      </c>
      <c r="F725" s="468">
        <f t="shared" si="86"/>
        <v>0</v>
      </c>
      <c r="G725" s="88">
        <v>200</v>
      </c>
      <c r="H725" s="89"/>
      <c r="I725" s="466">
        <f t="shared" si="85"/>
        <v>0</v>
      </c>
      <c r="J725" s="126"/>
      <c r="K725" s="89"/>
      <c r="L725" s="391"/>
      <c r="M725" s="88"/>
      <c r="N725" s="89"/>
      <c r="O725" s="442"/>
      <c r="P725" s="89"/>
      <c r="Q725" s="89"/>
      <c r="R725" s="362"/>
    </row>
    <row r="726" spans="1:18" s="212" customFormat="1" ht="24">
      <c r="A726" s="124">
        <v>4300</v>
      </c>
      <c r="B726" s="128" t="s">
        <v>527</v>
      </c>
      <c r="C726" s="88">
        <v>27800</v>
      </c>
      <c r="D726" s="74">
        <f t="shared" si="83"/>
        <v>32300</v>
      </c>
      <c r="E726" s="89">
        <f t="shared" si="84"/>
        <v>15003</v>
      </c>
      <c r="F726" s="468">
        <f t="shared" si="86"/>
        <v>46.44891640866874</v>
      </c>
      <c r="G726" s="88">
        <f>27800+4500</f>
        <v>32300</v>
      </c>
      <c r="H726" s="89">
        <v>15003</v>
      </c>
      <c r="I726" s="466">
        <f t="shared" si="85"/>
        <v>46.44891640866874</v>
      </c>
      <c r="J726" s="126"/>
      <c r="K726" s="89"/>
      <c r="L726" s="391"/>
      <c r="M726" s="88"/>
      <c r="N726" s="89"/>
      <c r="O726" s="442"/>
      <c r="P726" s="89"/>
      <c r="Q726" s="89"/>
      <c r="R726" s="362"/>
    </row>
    <row r="727" spans="1:18" s="212" customFormat="1" ht="24">
      <c r="A727" s="124">
        <v>4350</v>
      </c>
      <c r="B727" s="128" t="s">
        <v>48</v>
      </c>
      <c r="C727" s="88">
        <v>2300</v>
      </c>
      <c r="D727" s="74">
        <f t="shared" si="83"/>
        <v>2300</v>
      </c>
      <c r="E727" s="89">
        <f t="shared" si="84"/>
        <v>2021</v>
      </c>
      <c r="F727" s="468">
        <f t="shared" si="86"/>
        <v>87.8695652173913</v>
      </c>
      <c r="G727" s="88">
        <v>2300</v>
      </c>
      <c r="H727" s="89">
        <v>2021</v>
      </c>
      <c r="I727" s="466">
        <f t="shared" si="85"/>
        <v>87.8695652173913</v>
      </c>
      <c r="J727" s="126"/>
      <c r="K727" s="89"/>
      <c r="L727" s="391"/>
      <c r="M727" s="88"/>
      <c r="N727" s="89"/>
      <c r="O727" s="442"/>
      <c r="P727" s="89"/>
      <c r="Q727" s="89"/>
      <c r="R727" s="362"/>
    </row>
    <row r="728" spans="1:18" s="212" customFormat="1" ht="48">
      <c r="A728" s="172">
        <v>4370</v>
      </c>
      <c r="B728" s="337" t="s">
        <v>298</v>
      </c>
      <c r="C728" s="88">
        <v>7700</v>
      </c>
      <c r="D728" s="74">
        <f t="shared" si="83"/>
        <v>7700</v>
      </c>
      <c r="E728" s="89">
        <f t="shared" si="84"/>
        <v>3487</v>
      </c>
      <c r="F728" s="468">
        <f t="shared" si="86"/>
        <v>45.285714285714285</v>
      </c>
      <c r="G728" s="88">
        <v>7700</v>
      </c>
      <c r="H728" s="89">
        <v>3487</v>
      </c>
      <c r="I728" s="466">
        <f t="shared" si="85"/>
        <v>45.285714285714285</v>
      </c>
      <c r="J728" s="126"/>
      <c r="K728" s="89"/>
      <c r="L728" s="391"/>
      <c r="M728" s="88"/>
      <c r="N728" s="89"/>
      <c r="O728" s="442"/>
      <c r="P728" s="89"/>
      <c r="Q728" s="89"/>
      <c r="R728" s="362"/>
    </row>
    <row r="729" spans="1:18" s="212" customFormat="1" ht="24">
      <c r="A729" s="124">
        <v>4410</v>
      </c>
      <c r="B729" s="128" t="s">
        <v>484</v>
      </c>
      <c r="C729" s="88">
        <v>3300</v>
      </c>
      <c r="D729" s="74">
        <f t="shared" si="83"/>
        <v>3300</v>
      </c>
      <c r="E729" s="89">
        <f t="shared" si="84"/>
        <v>1836</v>
      </c>
      <c r="F729" s="468">
        <f t="shared" si="86"/>
        <v>55.63636363636364</v>
      </c>
      <c r="G729" s="88">
        <v>3300</v>
      </c>
      <c r="H729" s="89">
        <v>1836</v>
      </c>
      <c r="I729" s="466">
        <f t="shared" si="85"/>
        <v>55.63636363636364</v>
      </c>
      <c r="J729" s="126"/>
      <c r="K729" s="89"/>
      <c r="L729" s="391"/>
      <c r="M729" s="88"/>
      <c r="N729" s="89"/>
      <c r="O729" s="442"/>
      <c r="P729" s="89"/>
      <c r="Q729" s="89"/>
      <c r="R729" s="362"/>
    </row>
    <row r="730" spans="1:18" s="212" customFormat="1" ht="12.75">
      <c r="A730" s="124">
        <v>4430</v>
      </c>
      <c r="B730" s="128" t="s">
        <v>512</v>
      </c>
      <c r="C730" s="88">
        <v>900</v>
      </c>
      <c r="D730" s="74">
        <f t="shared" si="83"/>
        <v>900</v>
      </c>
      <c r="E730" s="89">
        <f t="shared" si="84"/>
        <v>526</v>
      </c>
      <c r="F730" s="468">
        <f t="shared" si="86"/>
        <v>58.44444444444444</v>
      </c>
      <c r="G730" s="88">
        <v>900</v>
      </c>
      <c r="H730" s="89">
        <v>526</v>
      </c>
      <c r="I730" s="466">
        <f t="shared" si="85"/>
        <v>58.44444444444444</v>
      </c>
      <c r="J730" s="126"/>
      <c r="K730" s="89"/>
      <c r="L730" s="391"/>
      <c r="M730" s="88"/>
      <c r="N730" s="89"/>
      <c r="O730" s="442"/>
      <c r="P730" s="89"/>
      <c r="Q730" s="89"/>
      <c r="R730" s="362"/>
    </row>
    <row r="731" spans="1:18" s="212" customFormat="1" ht="12.75">
      <c r="A731" s="124">
        <v>4440</v>
      </c>
      <c r="B731" s="128" t="s">
        <v>514</v>
      </c>
      <c r="C731" s="88">
        <v>15500</v>
      </c>
      <c r="D731" s="74">
        <f t="shared" si="83"/>
        <v>16200</v>
      </c>
      <c r="E731" s="89">
        <f t="shared" si="84"/>
        <v>12150</v>
      </c>
      <c r="F731" s="468">
        <f t="shared" si="86"/>
        <v>75</v>
      </c>
      <c r="G731" s="88">
        <f>15500+700</f>
        <v>16200</v>
      </c>
      <c r="H731" s="89">
        <v>12150</v>
      </c>
      <c r="I731" s="466">
        <f t="shared" si="85"/>
        <v>75</v>
      </c>
      <c r="J731" s="126"/>
      <c r="K731" s="89"/>
      <c r="L731" s="391"/>
      <c r="M731" s="88"/>
      <c r="N731" s="89"/>
      <c r="O731" s="442"/>
      <c r="P731" s="89"/>
      <c r="Q731" s="89"/>
      <c r="R731" s="362"/>
    </row>
    <row r="732" spans="1:18" s="212" customFormat="1" ht="36">
      <c r="A732" s="172">
        <v>4700</v>
      </c>
      <c r="B732" s="337" t="s">
        <v>285</v>
      </c>
      <c r="C732" s="88">
        <v>3000</v>
      </c>
      <c r="D732" s="74">
        <f t="shared" si="83"/>
        <v>3000</v>
      </c>
      <c r="E732" s="89">
        <f t="shared" si="84"/>
        <v>1940</v>
      </c>
      <c r="F732" s="468">
        <f t="shared" si="86"/>
        <v>64.66666666666666</v>
      </c>
      <c r="G732" s="88">
        <v>3000</v>
      </c>
      <c r="H732" s="89">
        <v>1940</v>
      </c>
      <c r="I732" s="466">
        <f t="shared" si="85"/>
        <v>64.66666666666666</v>
      </c>
      <c r="J732" s="126"/>
      <c r="K732" s="89"/>
      <c r="L732" s="391"/>
      <c r="M732" s="88"/>
      <c r="N732" s="89"/>
      <c r="O732" s="442"/>
      <c r="P732" s="89"/>
      <c r="Q732" s="89"/>
      <c r="R732" s="362"/>
    </row>
    <row r="733" spans="1:18" s="212" customFormat="1" ht="60">
      <c r="A733" s="197">
        <v>4740</v>
      </c>
      <c r="B733" s="198" t="s">
        <v>290</v>
      </c>
      <c r="C733" s="160">
        <v>3300</v>
      </c>
      <c r="D733" s="161">
        <f t="shared" si="83"/>
        <v>3300</v>
      </c>
      <c r="E733" s="155">
        <f t="shared" si="84"/>
        <v>1514</v>
      </c>
      <c r="F733" s="469">
        <f t="shared" si="86"/>
        <v>45.87878787878788</v>
      </c>
      <c r="G733" s="160">
        <v>3300</v>
      </c>
      <c r="H733" s="155">
        <v>1514</v>
      </c>
      <c r="I733" s="479">
        <f t="shared" si="85"/>
        <v>45.87878787878788</v>
      </c>
      <c r="J733" s="162"/>
      <c r="K733" s="155"/>
      <c r="L733" s="415"/>
      <c r="M733" s="160"/>
      <c r="N733" s="155"/>
      <c r="O733" s="462"/>
      <c r="P733" s="155"/>
      <c r="Q733" s="155"/>
      <c r="R733" s="366"/>
    </row>
    <row r="734" spans="1:18" s="212" customFormat="1" ht="36">
      <c r="A734" s="172">
        <v>4750</v>
      </c>
      <c r="B734" s="337" t="s">
        <v>291</v>
      </c>
      <c r="C734" s="88">
        <v>20100</v>
      </c>
      <c r="D734" s="74">
        <f t="shared" si="83"/>
        <v>19700</v>
      </c>
      <c r="E734" s="89">
        <f t="shared" si="84"/>
        <v>12360</v>
      </c>
      <c r="F734" s="468">
        <f t="shared" si="86"/>
        <v>62.74111675126903</v>
      </c>
      <c r="G734" s="88">
        <f>20100-400</f>
        <v>19700</v>
      </c>
      <c r="H734" s="89">
        <f>12361-1</f>
        <v>12360</v>
      </c>
      <c r="I734" s="466">
        <f t="shared" si="85"/>
        <v>62.74111675126903</v>
      </c>
      <c r="J734" s="126"/>
      <c r="K734" s="89"/>
      <c r="L734" s="391"/>
      <c r="M734" s="88"/>
      <c r="N734" s="89"/>
      <c r="O734" s="442"/>
      <c r="P734" s="89"/>
      <c r="Q734" s="89"/>
      <c r="R734" s="362"/>
    </row>
    <row r="735" spans="1:18" s="212" customFormat="1" ht="48">
      <c r="A735" s="124">
        <v>6050</v>
      </c>
      <c r="B735" s="291" t="s">
        <v>384</v>
      </c>
      <c r="C735" s="160">
        <v>400000</v>
      </c>
      <c r="D735" s="74">
        <f t="shared" si="83"/>
        <v>400000</v>
      </c>
      <c r="E735" s="89">
        <f t="shared" si="84"/>
        <v>250863</v>
      </c>
      <c r="F735" s="468">
        <f t="shared" si="86"/>
        <v>62.71575</v>
      </c>
      <c r="G735" s="160">
        <v>400000</v>
      </c>
      <c r="H735" s="155">
        <v>250863</v>
      </c>
      <c r="I735" s="466">
        <f t="shared" si="85"/>
        <v>62.71575</v>
      </c>
      <c r="J735" s="162"/>
      <c r="K735" s="155"/>
      <c r="L735" s="415"/>
      <c r="M735" s="160"/>
      <c r="N735" s="155"/>
      <c r="O735" s="462"/>
      <c r="P735" s="155"/>
      <c r="Q735" s="155"/>
      <c r="R735" s="366"/>
    </row>
    <row r="736" spans="1:18" s="212" customFormat="1" ht="15.75" customHeight="1">
      <c r="A736" s="119">
        <v>80120</v>
      </c>
      <c r="B736" s="185" t="s">
        <v>59</v>
      </c>
      <c r="C736" s="121">
        <f>SUM(C737:C764)</f>
        <v>13611650</v>
      </c>
      <c r="D736" s="95">
        <f>G736+J736+P736+M736</f>
        <v>13830047</v>
      </c>
      <c r="E736" s="84">
        <f>H736+K736+Q736+N736</f>
        <v>7848544</v>
      </c>
      <c r="F736" s="467">
        <f t="shared" si="86"/>
        <v>56.7499445229651</v>
      </c>
      <c r="G736" s="146"/>
      <c r="H736" s="149"/>
      <c r="I736" s="489"/>
      <c r="J736" s="148"/>
      <c r="K736" s="149"/>
      <c r="L736" s="406"/>
      <c r="M736" s="121">
        <f>SUM(M737:M764)</f>
        <v>13830047</v>
      </c>
      <c r="N736" s="84">
        <f>SUM(N737:N764)</f>
        <v>7848544</v>
      </c>
      <c r="O736" s="448">
        <f t="shared" si="82"/>
        <v>56.7499445229651</v>
      </c>
      <c r="P736" s="84"/>
      <c r="Q736" s="84"/>
      <c r="R736" s="372"/>
    </row>
    <row r="737" spans="1:18" s="212" customFormat="1" ht="48">
      <c r="A737" s="124">
        <v>2540</v>
      </c>
      <c r="B737" s="128" t="s">
        <v>46</v>
      </c>
      <c r="C737" s="88">
        <v>1700000</v>
      </c>
      <c r="D737" s="74">
        <f>G737+J737+P737+M737</f>
        <v>1840000</v>
      </c>
      <c r="E737" s="89">
        <f aca="true" t="shared" si="87" ref="E737:E764">SUM(H737+K737+N737+Q737)</f>
        <v>1132283</v>
      </c>
      <c r="F737" s="468">
        <f t="shared" si="86"/>
        <v>61.53711956521739</v>
      </c>
      <c r="G737" s="88"/>
      <c r="H737" s="89"/>
      <c r="I737" s="466"/>
      <c r="J737" s="126"/>
      <c r="K737" s="89"/>
      <c r="L737" s="391"/>
      <c r="M737" s="88">
        <f>1700000+140000</f>
        <v>1840000</v>
      </c>
      <c r="N737" s="89">
        <v>1132283</v>
      </c>
      <c r="O737" s="442">
        <f t="shared" si="82"/>
        <v>61.53711956521739</v>
      </c>
      <c r="P737" s="89"/>
      <c r="Q737" s="89"/>
      <c r="R737" s="362"/>
    </row>
    <row r="738" spans="1:18" s="212" customFormat="1" ht="36">
      <c r="A738" s="124">
        <v>3020</v>
      </c>
      <c r="B738" s="128" t="s">
        <v>257</v>
      </c>
      <c r="C738" s="88">
        <v>36000</v>
      </c>
      <c r="D738" s="74">
        <f>G738+J738+P738+M738</f>
        <v>36000</v>
      </c>
      <c r="E738" s="89">
        <f t="shared" si="87"/>
        <v>12555</v>
      </c>
      <c r="F738" s="468">
        <f t="shared" si="86"/>
        <v>34.875</v>
      </c>
      <c r="G738" s="88"/>
      <c r="H738" s="89"/>
      <c r="I738" s="466"/>
      <c r="J738" s="126"/>
      <c r="K738" s="89"/>
      <c r="L738" s="391"/>
      <c r="M738" s="88">
        <v>36000</v>
      </c>
      <c r="N738" s="89">
        <v>12555</v>
      </c>
      <c r="O738" s="442">
        <f t="shared" si="82"/>
        <v>34.875</v>
      </c>
      <c r="P738" s="89"/>
      <c r="Q738" s="89"/>
      <c r="R738" s="362"/>
    </row>
    <row r="739" spans="1:18" s="212" customFormat="1" ht="24" hidden="1">
      <c r="A739" s="124">
        <v>3030</v>
      </c>
      <c r="B739" s="128" t="s">
        <v>490</v>
      </c>
      <c r="C739" s="88"/>
      <c r="D739" s="74"/>
      <c r="E739" s="89" t="s">
        <v>588</v>
      </c>
      <c r="F739" s="468" t="s">
        <v>588</v>
      </c>
      <c r="G739" s="88"/>
      <c r="H739" s="89"/>
      <c r="I739" s="466"/>
      <c r="J739" s="126"/>
      <c r="K739" s="89"/>
      <c r="L739" s="391"/>
      <c r="M739" s="88"/>
      <c r="N739" s="89"/>
      <c r="O739" s="442"/>
      <c r="P739" s="89"/>
      <c r="Q739" s="89"/>
      <c r="R739" s="362"/>
    </row>
    <row r="740" spans="1:18" s="212" customFormat="1" ht="24">
      <c r="A740" s="124">
        <v>4010</v>
      </c>
      <c r="B740" s="128" t="s">
        <v>492</v>
      </c>
      <c r="C740" s="88">
        <v>8000000</v>
      </c>
      <c r="D740" s="74">
        <f aca="true" t="shared" si="88" ref="D740:D764">G740+J740+P740+M740</f>
        <v>7994000</v>
      </c>
      <c r="E740" s="89">
        <f t="shared" si="87"/>
        <v>4123129</v>
      </c>
      <c r="F740" s="468">
        <f t="shared" si="86"/>
        <v>51.57779584688517</v>
      </c>
      <c r="G740" s="88"/>
      <c r="H740" s="89"/>
      <c r="I740" s="466"/>
      <c r="J740" s="126"/>
      <c r="K740" s="89"/>
      <c r="L740" s="391"/>
      <c r="M740" s="88">
        <f>8000000-6000</f>
        <v>7994000</v>
      </c>
      <c r="N740" s="89">
        <v>4123129</v>
      </c>
      <c r="O740" s="442">
        <f aca="true" t="shared" si="89" ref="O740:O804">N740/M740*100</f>
        <v>51.57779584688517</v>
      </c>
      <c r="P740" s="89"/>
      <c r="Q740" s="89"/>
      <c r="R740" s="362"/>
    </row>
    <row r="741" spans="1:18" s="212" customFormat="1" ht="24">
      <c r="A741" s="124">
        <v>4040</v>
      </c>
      <c r="B741" s="128" t="s">
        <v>496</v>
      </c>
      <c r="C741" s="88">
        <v>667000</v>
      </c>
      <c r="D741" s="74">
        <f t="shared" si="88"/>
        <v>639056</v>
      </c>
      <c r="E741" s="89">
        <f t="shared" si="87"/>
        <v>639055</v>
      </c>
      <c r="F741" s="468">
        <f t="shared" si="86"/>
        <v>99.99984351919082</v>
      </c>
      <c r="G741" s="88"/>
      <c r="H741" s="89"/>
      <c r="I741" s="466"/>
      <c r="J741" s="126"/>
      <c r="K741" s="89"/>
      <c r="L741" s="391"/>
      <c r="M741" s="88">
        <f>667000-27944</f>
        <v>639056</v>
      </c>
      <c r="N741" s="89">
        <v>639055</v>
      </c>
      <c r="O741" s="442">
        <f t="shared" si="89"/>
        <v>99.99984351919082</v>
      </c>
      <c r="P741" s="89"/>
      <c r="Q741" s="89"/>
      <c r="R741" s="362"/>
    </row>
    <row r="742" spans="1:18" s="212" customFormat="1" ht="24">
      <c r="A742" s="124">
        <v>4110</v>
      </c>
      <c r="B742" s="128" t="s">
        <v>498</v>
      </c>
      <c r="C742" s="88">
        <v>1456100</v>
      </c>
      <c r="D742" s="74">
        <f t="shared" si="88"/>
        <v>1456100</v>
      </c>
      <c r="E742" s="89">
        <f t="shared" si="87"/>
        <v>695400</v>
      </c>
      <c r="F742" s="468">
        <f t="shared" si="86"/>
        <v>47.75770894856122</v>
      </c>
      <c r="G742" s="88"/>
      <c r="H742" s="89"/>
      <c r="I742" s="466"/>
      <c r="J742" s="126"/>
      <c r="K742" s="89"/>
      <c r="L742" s="391"/>
      <c r="M742" s="88">
        <v>1456100</v>
      </c>
      <c r="N742" s="89">
        <v>695400</v>
      </c>
      <c r="O742" s="442">
        <f t="shared" si="89"/>
        <v>47.75770894856122</v>
      </c>
      <c r="P742" s="89"/>
      <c r="Q742" s="89"/>
      <c r="R742" s="362"/>
    </row>
    <row r="743" spans="1:18" s="212" customFormat="1" ht="12.75">
      <c r="A743" s="124">
        <v>4120</v>
      </c>
      <c r="B743" s="128" t="s">
        <v>571</v>
      </c>
      <c r="C743" s="88">
        <v>211000</v>
      </c>
      <c r="D743" s="74">
        <f t="shared" si="88"/>
        <v>211000</v>
      </c>
      <c r="E743" s="89">
        <f t="shared" si="87"/>
        <v>112283</v>
      </c>
      <c r="F743" s="468">
        <f t="shared" si="86"/>
        <v>53.21469194312797</v>
      </c>
      <c r="G743" s="88"/>
      <c r="H743" s="89"/>
      <c r="I743" s="466"/>
      <c r="J743" s="126"/>
      <c r="K743" s="89"/>
      <c r="L743" s="391"/>
      <c r="M743" s="88">
        <v>211000</v>
      </c>
      <c r="N743" s="89">
        <v>112283</v>
      </c>
      <c r="O743" s="442">
        <f t="shared" si="89"/>
        <v>53.21469194312797</v>
      </c>
      <c r="P743" s="89"/>
      <c r="Q743" s="89"/>
      <c r="R743" s="362"/>
    </row>
    <row r="744" spans="1:18" s="212" customFormat="1" ht="24">
      <c r="A744" s="124">
        <v>4170</v>
      </c>
      <c r="B744" s="128" t="s">
        <v>536</v>
      </c>
      <c r="C744" s="88"/>
      <c r="D744" s="74">
        <f>G744+J744+P744+M744</f>
        <v>6000</v>
      </c>
      <c r="E744" s="89">
        <f>SUM(H744+K744+N744+Q744)</f>
        <v>0</v>
      </c>
      <c r="F744" s="468">
        <f>E744/D744*100</f>
        <v>0</v>
      </c>
      <c r="G744" s="88"/>
      <c r="H744" s="89"/>
      <c r="I744" s="466"/>
      <c r="J744" s="126"/>
      <c r="K744" s="89"/>
      <c r="L744" s="391"/>
      <c r="M744" s="88">
        <v>6000</v>
      </c>
      <c r="N744" s="89"/>
      <c r="O744" s="442">
        <f t="shared" si="89"/>
        <v>0</v>
      </c>
      <c r="P744" s="89"/>
      <c r="Q744" s="89"/>
      <c r="R744" s="362"/>
    </row>
    <row r="745" spans="1:18" s="212" customFormat="1" ht="24">
      <c r="A745" s="124">
        <v>4210</v>
      </c>
      <c r="B745" s="128" t="s">
        <v>502</v>
      </c>
      <c r="C745" s="88">
        <v>162000</v>
      </c>
      <c r="D745" s="74">
        <f t="shared" si="88"/>
        <v>187800</v>
      </c>
      <c r="E745" s="89">
        <f t="shared" si="87"/>
        <v>102910</v>
      </c>
      <c r="F745" s="468">
        <f t="shared" si="86"/>
        <v>54.797657082002125</v>
      </c>
      <c r="G745" s="88"/>
      <c r="H745" s="89"/>
      <c r="I745" s="466"/>
      <c r="J745" s="126"/>
      <c r="K745" s="89"/>
      <c r="L745" s="391"/>
      <c r="M745" s="88">
        <f>162000+4500+10000+11300</f>
        <v>187800</v>
      </c>
      <c r="N745" s="89">
        <v>102910</v>
      </c>
      <c r="O745" s="442">
        <f t="shared" si="89"/>
        <v>54.797657082002125</v>
      </c>
      <c r="P745" s="89"/>
      <c r="Q745" s="89"/>
      <c r="R745" s="362"/>
    </row>
    <row r="746" spans="1:18" s="212" customFormat="1" ht="36">
      <c r="A746" s="124">
        <v>4240</v>
      </c>
      <c r="B746" s="128" t="s">
        <v>563</v>
      </c>
      <c r="C746" s="88">
        <v>71000</v>
      </c>
      <c r="D746" s="74">
        <f t="shared" si="88"/>
        <v>71000</v>
      </c>
      <c r="E746" s="74">
        <f>H746+K746+Q746+N746</f>
        <v>17100</v>
      </c>
      <c r="F746" s="468">
        <f t="shared" si="86"/>
        <v>24.084507042253524</v>
      </c>
      <c r="G746" s="88"/>
      <c r="H746" s="89"/>
      <c r="I746" s="466"/>
      <c r="J746" s="126"/>
      <c r="K746" s="89"/>
      <c r="L746" s="391"/>
      <c r="M746" s="88">
        <v>71000</v>
      </c>
      <c r="N746" s="89">
        <v>17100</v>
      </c>
      <c r="O746" s="442">
        <f t="shared" si="89"/>
        <v>24.084507042253524</v>
      </c>
      <c r="P746" s="89"/>
      <c r="Q746" s="89"/>
      <c r="R746" s="362"/>
    </row>
    <row r="747" spans="1:18" s="212" customFormat="1" ht="18" customHeight="1">
      <c r="A747" s="124">
        <v>4260</v>
      </c>
      <c r="B747" s="128" t="s">
        <v>506</v>
      </c>
      <c r="C747" s="88">
        <v>500000</v>
      </c>
      <c r="D747" s="74">
        <f t="shared" si="88"/>
        <v>500000</v>
      </c>
      <c r="E747" s="89">
        <f t="shared" si="87"/>
        <v>406036</v>
      </c>
      <c r="F747" s="468">
        <f t="shared" si="86"/>
        <v>81.2072</v>
      </c>
      <c r="G747" s="88"/>
      <c r="H747" s="89"/>
      <c r="I747" s="466"/>
      <c r="J747" s="126"/>
      <c r="K747" s="89"/>
      <c r="L747" s="391"/>
      <c r="M747" s="88">
        <v>500000</v>
      </c>
      <c r="N747" s="89">
        <v>406036</v>
      </c>
      <c r="O747" s="442">
        <f t="shared" si="89"/>
        <v>81.2072</v>
      </c>
      <c r="P747" s="89"/>
      <c r="Q747" s="89"/>
      <c r="R747" s="362"/>
    </row>
    <row r="748" spans="1:18" s="212" customFormat="1" ht="18" customHeight="1">
      <c r="A748" s="124">
        <v>4270</v>
      </c>
      <c r="B748" s="128" t="s">
        <v>508</v>
      </c>
      <c r="C748" s="88">
        <v>29000</v>
      </c>
      <c r="D748" s="74">
        <f t="shared" si="88"/>
        <v>35000</v>
      </c>
      <c r="E748" s="89">
        <f t="shared" si="87"/>
        <v>18062</v>
      </c>
      <c r="F748" s="468">
        <f t="shared" si="86"/>
        <v>51.605714285714285</v>
      </c>
      <c r="G748" s="88"/>
      <c r="H748" s="89"/>
      <c r="I748" s="466"/>
      <c r="J748" s="126"/>
      <c r="K748" s="89"/>
      <c r="L748" s="391"/>
      <c r="M748" s="88">
        <f>29000+6000</f>
        <v>35000</v>
      </c>
      <c r="N748" s="89">
        <v>18062</v>
      </c>
      <c r="O748" s="442">
        <f t="shared" si="89"/>
        <v>51.605714285714285</v>
      </c>
      <c r="P748" s="89"/>
      <c r="Q748" s="89"/>
      <c r="R748" s="362"/>
    </row>
    <row r="749" spans="1:18" s="212" customFormat="1" ht="18" customHeight="1" hidden="1">
      <c r="A749" s="124">
        <v>4270</v>
      </c>
      <c r="B749" s="128" t="s">
        <v>62</v>
      </c>
      <c r="C749" s="88"/>
      <c r="D749" s="74">
        <f t="shared" si="88"/>
        <v>0</v>
      </c>
      <c r="E749" s="89">
        <f t="shared" si="87"/>
        <v>0</v>
      </c>
      <c r="F749" s="468" t="e">
        <f t="shared" si="86"/>
        <v>#DIV/0!</v>
      </c>
      <c r="G749" s="88"/>
      <c r="H749" s="89"/>
      <c r="I749" s="466"/>
      <c r="J749" s="126"/>
      <c r="K749" s="89"/>
      <c r="L749" s="391"/>
      <c r="M749" s="88"/>
      <c r="N749" s="89"/>
      <c r="O749" s="442" t="e">
        <f t="shared" si="89"/>
        <v>#DIV/0!</v>
      </c>
      <c r="P749" s="89"/>
      <c r="Q749" s="89"/>
      <c r="R749" s="362"/>
    </row>
    <row r="750" spans="1:18" s="212" customFormat="1" ht="18" customHeight="1">
      <c r="A750" s="124">
        <v>4280</v>
      </c>
      <c r="B750" s="128" t="s">
        <v>545</v>
      </c>
      <c r="C750" s="88">
        <v>8900</v>
      </c>
      <c r="D750" s="74">
        <f t="shared" si="88"/>
        <v>8900</v>
      </c>
      <c r="E750" s="89">
        <f t="shared" si="87"/>
        <v>791</v>
      </c>
      <c r="F750" s="468">
        <f t="shared" si="86"/>
        <v>8.887640449438203</v>
      </c>
      <c r="G750" s="88"/>
      <c r="H750" s="89"/>
      <c r="I750" s="466"/>
      <c r="J750" s="126"/>
      <c r="K750" s="89"/>
      <c r="L750" s="391"/>
      <c r="M750" s="88">
        <v>8900</v>
      </c>
      <c r="N750" s="89">
        <v>791</v>
      </c>
      <c r="O750" s="442">
        <f t="shared" si="89"/>
        <v>8.887640449438203</v>
      </c>
      <c r="P750" s="89"/>
      <c r="Q750" s="89"/>
      <c r="R750" s="362"/>
    </row>
    <row r="751" spans="1:18" s="212" customFormat="1" ht="18" customHeight="1">
      <c r="A751" s="124">
        <v>4300</v>
      </c>
      <c r="B751" s="128" t="s">
        <v>510</v>
      </c>
      <c r="C751" s="88">
        <v>94000</v>
      </c>
      <c r="D751" s="74">
        <f t="shared" si="88"/>
        <v>101800</v>
      </c>
      <c r="E751" s="89">
        <f t="shared" si="87"/>
        <v>78825</v>
      </c>
      <c r="F751" s="468">
        <f t="shared" si="86"/>
        <v>77.4312377210216</v>
      </c>
      <c r="G751" s="88"/>
      <c r="H751" s="89"/>
      <c r="I751" s="466"/>
      <c r="J751" s="126"/>
      <c r="K751" s="89"/>
      <c r="L751" s="391"/>
      <c r="M751" s="88">
        <f>94000+800+7000</f>
        <v>101800</v>
      </c>
      <c r="N751" s="89">
        <v>78825</v>
      </c>
      <c r="O751" s="442">
        <f t="shared" si="89"/>
        <v>77.4312377210216</v>
      </c>
      <c r="P751" s="89"/>
      <c r="Q751" s="89"/>
      <c r="R751" s="362"/>
    </row>
    <row r="752" spans="1:18" s="212" customFormat="1" ht="24">
      <c r="A752" s="124">
        <v>4350</v>
      </c>
      <c r="B752" s="128" t="s">
        <v>48</v>
      </c>
      <c r="C752" s="88">
        <v>9400</v>
      </c>
      <c r="D752" s="74">
        <f t="shared" si="88"/>
        <v>9400</v>
      </c>
      <c r="E752" s="89">
        <f t="shared" si="87"/>
        <v>4492</v>
      </c>
      <c r="F752" s="468">
        <f t="shared" si="86"/>
        <v>47.78723404255319</v>
      </c>
      <c r="G752" s="88"/>
      <c r="H752" s="89"/>
      <c r="I752" s="466"/>
      <c r="J752" s="126"/>
      <c r="K752" s="89"/>
      <c r="L752" s="391"/>
      <c r="M752" s="88">
        <v>9400</v>
      </c>
      <c r="N752" s="89">
        <v>4492</v>
      </c>
      <c r="O752" s="442">
        <f t="shared" si="89"/>
        <v>47.78723404255319</v>
      </c>
      <c r="P752" s="89"/>
      <c r="Q752" s="89"/>
      <c r="R752" s="362"/>
    </row>
    <row r="753" spans="1:18" s="212" customFormat="1" ht="48">
      <c r="A753" s="197">
        <v>4360</v>
      </c>
      <c r="B753" s="198" t="s">
        <v>297</v>
      </c>
      <c r="C753" s="160">
        <v>1100</v>
      </c>
      <c r="D753" s="161">
        <f t="shared" si="88"/>
        <v>1100</v>
      </c>
      <c r="E753" s="155">
        <f>SUM(H753+K753+N753+Q753)</f>
        <v>364</v>
      </c>
      <c r="F753" s="469">
        <f t="shared" si="86"/>
        <v>33.09090909090909</v>
      </c>
      <c r="G753" s="160"/>
      <c r="H753" s="155"/>
      <c r="I753" s="479"/>
      <c r="J753" s="162"/>
      <c r="K753" s="155"/>
      <c r="L753" s="415"/>
      <c r="M753" s="160">
        <v>1100</v>
      </c>
      <c r="N753" s="155">
        <v>364</v>
      </c>
      <c r="O753" s="462">
        <f t="shared" si="89"/>
        <v>33.09090909090909</v>
      </c>
      <c r="P753" s="155"/>
      <c r="Q753" s="155"/>
      <c r="R753" s="366"/>
    </row>
    <row r="754" spans="1:18" s="212" customFormat="1" ht="48">
      <c r="A754" s="172">
        <v>4370</v>
      </c>
      <c r="B754" s="337" t="s">
        <v>298</v>
      </c>
      <c r="C754" s="88">
        <v>30000</v>
      </c>
      <c r="D754" s="74">
        <f t="shared" si="88"/>
        <v>30000</v>
      </c>
      <c r="E754" s="89">
        <f>SUM(H754+K754+N754+Q754)</f>
        <v>15985</v>
      </c>
      <c r="F754" s="468">
        <f t="shared" si="86"/>
        <v>53.28333333333334</v>
      </c>
      <c r="G754" s="88"/>
      <c r="H754" s="89"/>
      <c r="I754" s="466"/>
      <c r="J754" s="126"/>
      <c r="K754" s="89"/>
      <c r="L754" s="391"/>
      <c r="M754" s="88">
        <v>30000</v>
      </c>
      <c r="N754" s="89">
        <v>15985</v>
      </c>
      <c r="O754" s="442">
        <f t="shared" si="89"/>
        <v>53.28333333333334</v>
      </c>
      <c r="P754" s="89"/>
      <c r="Q754" s="89"/>
      <c r="R754" s="362"/>
    </row>
    <row r="755" spans="1:18" s="212" customFormat="1" ht="36">
      <c r="A755" s="124">
        <v>4390</v>
      </c>
      <c r="B755" s="206" t="s">
        <v>268</v>
      </c>
      <c r="C755" s="88">
        <v>22000</v>
      </c>
      <c r="D755" s="74">
        <f t="shared" si="88"/>
        <v>22000</v>
      </c>
      <c r="E755" s="89">
        <f>SUM(H755+K755+N755+Q755)</f>
        <v>5548</v>
      </c>
      <c r="F755" s="468">
        <f t="shared" si="86"/>
        <v>25.21818181818182</v>
      </c>
      <c r="G755" s="88"/>
      <c r="H755" s="89"/>
      <c r="I755" s="466"/>
      <c r="J755" s="126"/>
      <c r="K755" s="89"/>
      <c r="L755" s="391"/>
      <c r="M755" s="88">
        <v>22000</v>
      </c>
      <c r="N755" s="89">
        <v>5548</v>
      </c>
      <c r="O755" s="442">
        <f t="shared" si="89"/>
        <v>25.21818181818182</v>
      </c>
      <c r="P755" s="89"/>
      <c r="Q755" s="89"/>
      <c r="R755" s="362"/>
    </row>
    <row r="756" spans="1:18" s="212" customFormat="1" ht="15.75" customHeight="1">
      <c r="A756" s="124">
        <v>4410</v>
      </c>
      <c r="B756" s="128" t="s">
        <v>484</v>
      </c>
      <c r="C756" s="88">
        <v>26300</v>
      </c>
      <c r="D756" s="74">
        <f t="shared" si="88"/>
        <v>26300</v>
      </c>
      <c r="E756" s="89">
        <f t="shared" si="87"/>
        <v>16976</v>
      </c>
      <c r="F756" s="468">
        <f t="shared" si="86"/>
        <v>64.54752851711027</v>
      </c>
      <c r="G756" s="88"/>
      <c r="H756" s="89"/>
      <c r="I756" s="466"/>
      <c r="J756" s="126"/>
      <c r="K756" s="89"/>
      <c r="L756" s="391"/>
      <c r="M756" s="88">
        <v>26300</v>
      </c>
      <c r="N756" s="89">
        <v>16976</v>
      </c>
      <c r="O756" s="442">
        <f t="shared" si="89"/>
        <v>64.54752851711027</v>
      </c>
      <c r="P756" s="89"/>
      <c r="Q756" s="89"/>
      <c r="R756" s="362"/>
    </row>
    <row r="757" spans="1:18" s="212" customFormat="1" ht="27" customHeight="1">
      <c r="A757" s="124">
        <v>4420</v>
      </c>
      <c r="B757" s="128" t="s">
        <v>556</v>
      </c>
      <c r="C757" s="88">
        <v>500</v>
      </c>
      <c r="D757" s="74">
        <f t="shared" si="88"/>
        <v>500</v>
      </c>
      <c r="E757" s="89">
        <f t="shared" si="87"/>
        <v>0</v>
      </c>
      <c r="F757" s="468">
        <f t="shared" si="86"/>
        <v>0</v>
      </c>
      <c r="G757" s="88"/>
      <c r="H757" s="89"/>
      <c r="I757" s="466"/>
      <c r="J757" s="126"/>
      <c r="K757" s="89"/>
      <c r="L757" s="391"/>
      <c r="M757" s="88">
        <v>500</v>
      </c>
      <c r="N757" s="89"/>
      <c r="O757" s="442">
        <f t="shared" si="89"/>
        <v>0</v>
      </c>
      <c r="P757" s="89"/>
      <c r="Q757" s="89"/>
      <c r="R757" s="362"/>
    </row>
    <row r="758" spans="1:18" s="212" customFormat="1" ht="12.75">
      <c r="A758" s="124">
        <v>4430</v>
      </c>
      <c r="B758" s="128" t="s">
        <v>512</v>
      </c>
      <c r="C758" s="88">
        <v>500</v>
      </c>
      <c r="D758" s="74">
        <f>G758+J758+P758+M758</f>
        <v>500</v>
      </c>
      <c r="E758" s="89">
        <f>SUM(H758+K758+N758+Q758)</f>
        <v>0</v>
      </c>
      <c r="F758" s="468">
        <f>E758/D758*100</f>
        <v>0</v>
      </c>
      <c r="G758" s="88"/>
      <c r="H758" s="89"/>
      <c r="I758" s="466"/>
      <c r="J758" s="126"/>
      <c r="K758" s="89"/>
      <c r="L758" s="391"/>
      <c r="M758" s="88">
        <v>500</v>
      </c>
      <c r="N758" s="89"/>
      <c r="O758" s="442">
        <f t="shared" si="89"/>
        <v>0</v>
      </c>
      <c r="P758" s="89"/>
      <c r="Q758" s="89"/>
      <c r="R758" s="362"/>
    </row>
    <row r="759" spans="1:18" s="212" customFormat="1" ht="12.75">
      <c r="A759" s="124">
        <v>4440</v>
      </c>
      <c r="B759" s="128" t="s">
        <v>514</v>
      </c>
      <c r="C759" s="88">
        <v>472350</v>
      </c>
      <c r="D759" s="74">
        <f t="shared" si="88"/>
        <v>512091</v>
      </c>
      <c r="E759" s="89">
        <f t="shared" si="87"/>
        <v>396283</v>
      </c>
      <c r="F759" s="468">
        <f t="shared" si="86"/>
        <v>77.38526941500632</v>
      </c>
      <c r="G759" s="88"/>
      <c r="H759" s="89"/>
      <c r="I759" s="466"/>
      <c r="J759" s="126"/>
      <c r="K759" s="89"/>
      <c r="L759" s="391"/>
      <c r="M759" s="88">
        <f>472350+23587+16154</f>
        <v>512091</v>
      </c>
      <c r="N759" s="89">
        <v>396283</v>
      </c>
      <c r="O759" s="442">
        <f t="shared" si="89"/>
        <v>77.38526941500632</v>
      </c>
      <c r="P759" s="89"/>
      <c r="Q759" s="89"/>
      <c r="R759" s="362"/>
    </row>
    <row r="760" spans="1:18" s="212" customFormat="1" ht="36">
      <c r="A760" s="172">
        <v>4700</v>
      </c>
      <c r="B760" s="337" t="s">
        <v>285</v>
      </c>
      <c r="C760" s="88">
        <v>15000</v>
      </c>
      <c r="D760" s="74">
        <f t="shared" si="88"/>
        <v>15000</v>
      </c>
      <c r="E760" s="89">
        <f>SUM(H760+K760+N760+Q760)</f>
        <v>8862</v>
      </c>
      <c r="F760" s="468">
        <f t="shared" si="86"/>
        <v>59.08</v>
      </c>
      <c r="G760" s="88"/>
      <c r="H760" s="89"/>
      <c r="I760" s="466"/>
      <c r="J760" s="126"/>
      <c r="K760" s="89"/>
      <c r="L760" s="391"/>
      <c r="M760" s="88">
        <v>15000</v>
      </c>
      <c r="N760" s="89">
        <v>8862</v>
      </c>
      <c r="O760" s="442">
        <f t="shared" si="89"/>
        <v>59.08</v>
      </c>
      <c r="P760" s="89"/>
      <c r="Q760" s="89"/>
      <c r="R760" s="362"/>
    </row>
    <row r="761" spans="1:18" s="212" customFormat="1" ht="60">
      <c r="A761" s="172">
        <v>4740</v>
      </c>
      <c r="B761" s="337" t="s">
        <v>290</v>
      </c>
      <c r="C761" s="88">
        <v>15000</v>
      </c>
      <c r="D761" s="74">
        <f t="shared" si="88"/>
        <v>15000</v>
      </c>
      <c r="E761" s="89">
        <f>SUM(H761+K761+N761+Q761)</f>
        <v>6746</v>
      </c>
      <c r="F761" s="468">
        <f t="shared" si="86"/>
        <v>44.97333333333333</v>
      </c>
      <c r="G761" s="88"/>
      <c r="H761" s="89"/>
      <c r="I761" s="466"/>
      <c r="J761" s="126"/>
      <c r="K761" s="89"/>
      <c r="L761" s="391"/>
      <c r="M761" s="88">
        <v>15000</v>
      </c>
      <c r="N761" s="89">
        <v>6746</v>
      </c>
      <c r="O761" s="442">
        <f t="shared" si="89"/>
        <v>44.97333333333333</v>
      </c>
      <c r="P761" s="89"/>
      <c r="Q761" s="89"/>
      <c r="R761" s="362"/>
    </row>
    <row r="762" spans="1:18" s="212" customFormat="1" ht="36">
      <c r="A762" s="172">
        <v>4750</v>
      </c>
      <c r="B762" s="337" t="s">
        <v>291</v>
      </c>
      <c r="C762" s="88">
        <v>20000</v>
      </c>
      <c r="D762" s="74">
        <f t="shared" si="88"/>
        <v>30000</v>
      </c>
      <c r="E762" s="89">
        <f t="shared" si="87"/>
        <v>14870</v>
      </c>
      <c r="F762" s="468">
        <f t="shared" si="86"/>
        <v>49.56666666666666</v>
      </c>
      <c r="G762" s="88"/>
      <c r="H762" s="89"/>
      <c r="I762" s="466"/>
      <c r="J762" s="126"/>
      <c r="K762" s="89"/>
      <c r="L762" s="391"/>
      <c r="M762" s="88">
        <f>20000+10000</f>
        <v>30000</v>
      </c>
      <c r="N762" s="89">
        <v>14870</v>
      </c>
      <c r="O762" s="442">
        <f t="shared" si="89"/>
        <v>49.56666666666666</v>
      </c>
      <c r="P762" s="89"/>
      <c r="Q762" s="89"/>
      <c r="R762" s="362"/>
    </row>
    <row r="763" spans="1:18" s="212" customFormat="1" ht="24">
      <c r="A763" s="124">
        <v>6050</v>
      </c>
      <c r="B763" s="291" t="s">
        <v>574</v>
      </c>
      <c r="C763" s="88">
        <v>64500</v>
      </c>
      <c r="D763" s="74">
        <f t="shared" si="88"/>
        <v>81500</v>
      </c>
      <c r="E763" s="89">
        <f t="shared" si="87"/>
        <v>39989</v>
      </c>
      <c r="F763" s="468">
        <f t="shared" si="86"/>
        <v>49.06625766871166</v>
      </c>
      <c r="G763" s="88"/>
      <c r="H763" s="89"/>
      <c r="I763" s="466"/>
      <c r="J763" s="126"/>
      <c r="K763" s="89"/>
      <c r="L763" s="391"/>
      <c r="M763" s="88">
        <f>64500+24000-7000</f>
        <v>81500</v>
      </c>
      <c r="N763" s="89">
        <v>39989</v>
      </c>
      <c r="O763" s="442">
        <f t="shared" si="89"/>
        <v>49.06625766871166</v>
      </c>
      <c r="P763" s="89"/>
      <c r="Q763" s="89"/>
      <c r="R763" s="362"/>
    </row>
    <row r="764" spans="1:18" s="212" customFormat="1" ht="36" hidden="1">
      <c r="A764" s="158">
        <v>6060</v>
      </c>
      <c r="B764" s="350" t="s">
        <v>49</v>
      </c>
      <c r="C764" s="160"/>
      <c r="D764" s="161">
        <f t="shared" si="88"/>
        <v>0</v>
      </c>
      <c r="E764" s="155">
        <f t="shared" si="87"/>
        <v>0</v>
      </c>
      <c r="F764" s="469" t="e">
        <f t="shared" si="86"/>
        <v>#DIV/0!</v>
      </c>
      <c r="G764" s="160"/>
      <c r="H764" s="155"/>
      <c r="I764" s="479"/>
      <c r="J764" s="162"/>
      <c r="K764" s="155"/>
      <c r="L764" s="415"/>
      <c r="M764" s="160"/>
      <c r="N764" s="155"/>
      <c r="O764" s="442" t="e">
        <f t="shared" si="89"/>
        <v>#DIV/0!</v>
      </c>
      <c r="P764" s="155"/>
      <c r="Q764" s="155"/>
      <c r="R764" s="366"/>
    </row>
    <row r="765" spans="1:18" s="279" customFormat="1" ht="16.5" customHeight="1">
      <c r="A765" s="150">
        <v>80123</v>
      </c>
      <c r="B765" s="187" t="s">
        <v>63</v>
      </c>
      <c r="C765" s="94">
        <f>SUM(C766:C786)</f>
        <v>1846800</v>
      </c>
      <c r="D765" s="95">
        <f>G765+J765+P765+M765</f>
        <v>1853569</v>
      </c>
      <c r="E765" s="84">
        <f>H765+K765+Q765+N765</f>
        <v>998207</v>
      </c>
      <c r="F765" s="467">
        <f t="shared" si="86"/>
        <v>53.853242042783414</v>
      </c>
      <c r="G765" s="94"/>
      <c r="H765" s="95"/>
      <c r="I765" s="489"/>
      <c r="J765" s="171"/>
      <c r="K765" s="95"/>
      <c r="L765" s="417"/>
      <c r="M765" s="94">
        <f>SUM(M766:M786)</f>
        <v>1853569</v>
      </c>
      <c r="N765" s="95">
        <f>SUM(N766:N786)</f>
        <v>998207</v>
      </c>
      <c r="O765" s="448">
        <f t="shared" si="89"/>
        <v>53.853242042783414</v>
      </c>
      <c r="P765" s="95"/>
      <c r="Q765" s="95"/>
      <c r="R765" s="370"/>
    </row>
    <row r="766" spans="1:18" s="212" customFormat="1" ht="36">
      <c r="A766" s="108">
        <v>3020</v>
      </c>
      <c r="B766" s="128" t="s">
        <v>257</v>
      </c>
      <c r="C766" s="90">
        <v>7100</v>
      </c>
      <c r="D766" s="103">
        <f aca="true" t="shared" si="90" ref="D766:D816">G766+J766+P766+M766</f>
        <v>7100</v>
      </c>
      <c r="E766" s="104">
        <f aca="true" t="shared" si="91" ref="E766:E786">SUM(H766+K766+N766+Q766)</f>
        <v>798</v>
      </c>
      <c r="F766" s="470">
        <f t="shared" si="86"/>
        <v>11.23943661971831</v>
      </c>
      <c r="G766" s="90"/>
      <c r="H766" s="104"/>
      <c r="I766" s="490"/>
      <c r="J766" s="200"/>
      <c r="K766" s="104"/>
      <c r="L766" s="414"/>
      <c r="M766" s="90">
        <v>7100</v>
      </c>
      <c r="N766" s="104">
        <v>798</v>
      </c>
      <c r="O766" s="470">
        <f>N766/M766*100</f>
        <v>11.23943661971831</v>
      </c>
      <c r="P766" s="90"/>
      <c r="Q766" s="104"/>
      <c r="R766" s="365"/>
    </row>
    <row r="767" spans="1:18" s="212" customFormat="1" ht="24">
      <c r="A767" s="124">
        <v>4010</v>
      </c>
      <c r="B767" s="128" t="s">
        <v>492</v>
      </c>
      <c r="C767" s="88">
        <v>1244500</v>
      </c>
      <c r="D767" s="74">
        <f t="shared" si="90"/>
        <v>1244500</v>
      </c>
      <c r="E767" s="89">
        <f t="shared" si="91"/>
        <v>618878</v>
      </c>
      <c r="F767" s="468">
        <f t="shared" si="86"/>
        <v>49.72904781036561</v>
      </c>
      <c r="G767" s="88"/>
      <c r="H767" s="89"/>
      <c r="I767" s="466"/>
      <c r="J767" s="126"/>
      <c r="K767" s="89"/>
      <c r="L767" s="391"/>
      <c r="M767" s="88">
        <v>1244500</v>
      </c>
      <c r="N767" s="89">
        <f>618879-1</f>
        <v>618878</v>
      </c>
      <c r="O767" s="468">
        <f aca="true" t="shared" si="92" ref="O767:O786">N767/M767*100</f>
        <v>49.72904781036561</v>
      </c>
      <c r="P767" s="89"/>
      <c r="Q767" s="89"/>
      <c r="R767" s="362"/>
    </row>
    <row r="768" spans="1:18" s="212" customFormat="1" ht="24">
      <c r="A768" s="124">
        <v>4040</v>
      </c>
      <c r="B768" s="128" t="s">
        <v>496</v>
      </c>
      <c r="C768" s="88">
        <v>109000</v>
      </c>
      <c r="D768" s="74">
        <f t="shared" si="90"/>
        <v>97919</v>
      </c>
      <c r="E768" s="89">
        <f t="shared" si="91"/>
        <v>97908</v>
      </c>
      <c r="F768" s="468">
        <f t="shared" si="86"/>
        <v>99.98876622514527</v>
      </c>
      <c r="G768" s="88"/>
      <c r="H768" s="89"/>
      <c r="I768" s="466"/>
      <c r="J768" s="126"/>
      <c r="K768" s="89"/>
      <c r="L768" s="391"/>
      <c r="M768" s="88">
        <f>109000-11081</f>
        <v>97919</v>
      </c>
      <c r="N768" s="89">
        <f>97906+2</f>
        <v>97908</v>
      </c>
      <c r="O768" s="468">
        <f t="shared" si="92"/>
        <v>99.98876622514527</v>
      </c>
      <c r="P768" s="89"/>
      <c r="Q768" s="89"/>
      <c r="R768" s="362"/>
    </row>
    <row r="769" spans="1:18" s="212" customFormat="1" ht="24">
      <c r="A769" s="124">
        <v>4110</v>
      </c>
      <c r="B769" s="128" t="s">
        <v>498</v>
      </c>
      <c r="C769" s="88">
        <v>225300</v>
      </c>
      <c r="D769" s="74">
        <f t="shared" si="90"/>
        <v>225300</v>
      </c>
      <c r="E769" s="89">
        <f t="shared" si="91"/>
        <v>109228</v>
      </c>
      <c r="F769" s="468">
        <f t="shared" si="86"/>
        <v>48.481136262760764</v>
      </c>
      <c r="G769" s="88"/>
      <c r="H769" s="89"/>
      <c r="I769" s="466"/>
      <c r="J769" s="126"/>
      <c r="K769" s="89"/>
      <c r="L769" s="391"/>
      <c r="M769" s="88">
        <v>225300</v>
      </c>
      <c r="N769" s="89">
        <v>109228</v>
      </c>
      <c r="O769" s="468">
        <f t="shared" si="92"/>
        <v>48.481136262760764</v>
      </c>
      <c r="P769" s="89"/>
      <c r="Q769" s="89"/>
      <c r="R769" s="362"/>
    </row>
    <row r="770" spans="1:18" s="212" customFormat="1" ht="12.75">
      <c r="A770" s="124">
        <v>4120</v>
      </c>
      <c r="B770" s="128" t="s">
        <v>571</v>
      </c>
      <c r="C770" s="88">
        <v>32600</v>
      </c>
      <c r="D770" s="74">
        <f t="shared" si="90"/>
        <v>32600</v>
      </c>
      <c r="E770" s="89">
        <f t="shared" si="91"/>
        <v>16556</v>
      </c>
      <c r="F770" s="468">
        <f t="shared" si="86"/>
        <v>50.785276073619634</v>
      </c>
      <c r="G770" s="88"/>
      <c r="H770" s="89"/>
      <c r="I770" s="466"/>
      <c r="J770" s="126"/>
      <c r="K770" s="89"/>
      <c r="L770" s="391"/>
      <c r="M770" s="88">
        <v>32600</v>
      </c>
      <c r="N770" s="89">
        <v>16556</v>
      </c>
      <c r="O770" s="468">
        <f t="shared" si="92"/>
        <v>50.785276073619634</v>
      </c>
      <c r="P770" s="89"/>
      <c r="Q770" s="89"/>
      <c r="R770" s="362"/>
    </row>
    <row r="771" spans="1:18" s="212" customFormat="1" ht="12.75">
      <c r="A771" s="124">
        <v>4140</v>
      </c>
      <c r="B771" s="128" t="s">
        <v>544</v>
      </c>
      <c r="C771" s="88">
        <v>5100</v>
      </c>
      <c r="D771" s="74">
        <f t="shared" si="90"/>
        <v>5100</v>
      </c>
      <c r="E771" s="89">
        <f t="shared" si="91"/>
        <v>1482</v>
      </c>
      <c r="F771" s="468">
        <f t="shared" si="86"/>
        <v>29.058823529411764</v>
      </c>
      <c r="G771" s="88"/>
      <c r="H771" s="89"/>
      <c r="I771" s="466"/>
      <c r="J771" s="126"/>
      <c r="K771" s="89"/>
      <c r="L771" s="391"/>
      <c r="M771" s="88">
        <v>5100</v>
      </c>
      <c r="N771" s="89">
        <v>1482</v>
      </c>
      <c r="O771" s="468">
        <f t="shared" si="92"/>
        <v>29.058823529411764</v>
      </c>
      <c r="P771" s="89"/>
      <c r="Q771" s="89"/>
      <c r="R771" s="362"/>
    </row>
    <row r="772" spans="1:18" s="212" customFormat="1" ht="24">
      <c r="A772" s="124">
        <v>4210</v>
      </c>
      <c r="B772" s="128" t="s">
        <v>502</v>
      </c>
      <c r="C772" s="88">
        <v>25000</v>
      </c>
      <c r="D772" s="74">
        <f t="shared" si="90"/>
        <v>25000</v>
      </c>
      <c r="E772" s="89">
        <f t="shared" si="91"/>
        <v>13791</v>
      </c>
      <c r="F772" s="468">
        <f t="shared" si="86"/>
        <v>55.164</v>
      </c>
      <c r="G772" s="88"/>
      <c r="H772" s="89"/>
      <c r="I772" s="466"/>
      <c r="J772" s="126"/>
      <c r="K772" s="89"/>
      <c r="L772" s="391"/>
      <c r="M772" s="88">
        <v>25000</v>
      </c>
      <c r="N772" s="89">
        <v>13791</v>
      </c>
      <c r="O772" s="468">
        <f t="shared" si="92"/>
        <v>55.164</v>
      </c>
      <c r="P772" s="89"/>
      <c r="Q772" s="89"/>
      <c r="R772" s="362"/>
    </row>
    <row r="773" spans="1:18" s="212" customFormat="1" ht="24">
      <c r="A773" s="124">
        <v>4240</v>
      </c>
      <c r="B773" s="128" t="s">
        <v>3</v>
      </c>
      <c r="C773" s="88">
        <v>9900</v>
      </c>
      <c r="D773" s="74">
        <f t="shared" si="90"/>
        <v>9900</v>
      </c>
      <c r="E773" s="89">
        <f t="shared" si="91"/>
        <v>0</v>
      </c>
      <c r="F773" s="468">
        <f t="shared" si="86"/>
        <v>0</v>
      </c>
      <c r="G773" s="88"/>
      <c r="H773" s="89"/>
      <c r="I773" s="466"/>
      <c r="J773" s="126"/>
      <c r="K773" s="89"/>
      <c r="L773" s="391"/>
      <c r="M773" s="88">
        <v>9900</v>
      </c>
      <c r="N773" s="89"/>
      <c r="O773" s="468">
        <f t="shared" si="92"/>
        <v>0</v>
      </c>
      <c r="P773" s="89"/>
      <c r="Q773" s="89"/>
      <c r="R773" s="362"/>
    </row>
    <row r="774" spans="1:18" s="212" customFormat="1" ht="12.75">
      <c r="A774" s="158">
        <v>4260</v>
      </c>
      <c r="B774" s="159" t="s">
        <v>506</v>
      </c>
      <c r="C774" s="160">
        <v>74500</v>
      </c>
      <c r="D774" s="161">
        <f t="shared" si="90"/>
        <v>74500</v>
      </c>
      <c r="E774" s="155">
        <f t="shared" si="91"/>
        <v>54485</v>
      </c>
      <c r="F774" s="469">
        <f t="shared" si="86"/>
        <v>73.13422818791946</v>
      </c>
      <c r="G774" s="160"/>
      <c r="H774" s="155"/>
      <c r="I774" s="479"/>
      <c r="J774" s="162"/>
      <c r="K774" s="155"/>
      <c r="L774" s="415"/>
      <c r="M774" s="160">
        <v>74500</v>
      </c>
      <c r="N774" s="155">
        <v>54485</v>
      </c>
      <c r="O774" s="469">
        <f t="shared" si="92"/>
        <v>73.13422818791946</v>
      </c>
      <c r="P774" s="155"/>
      <c r="Q774" s="155"/>
      <c r="R774" s="366"/>
    </row>
    <row r="775" spans="1:18" s="212" customFormat="1" ht="24">
      <c r="A775" s="124">
        <v>4270</v>
      </c>
      <c r="B775" s="128" t="s">
        <v>508</v>
      </c>
      <c r="C775" s="88">
        <v>4400</v>
      </c>
      <c r="D775" s="74">
        <f t="shared" si="90"/>
        <v>4400</v>
      </c>
      <c r="E775" s="89">
        <f t="shared" si="91"/>
        <v>314</v>
      </c>
      <c r="F775" s="468">
        <f t="shared" si="86"/>
        <v>7.136363636363637</v>
      </c>
      <c r="G775" s="88"/>
      <c r="H775" s="89"/>
      <c r="I775" s="466"/>
      <c r="J775" s="126"/>
      <c r="K775" s="89"/>
      <c r="L775" s="391"/>
      <c r="M775" s="88">
        <v>4400</v>
      </c>
      <c r="N775" s="89">
        <v>314</v>
      </c>
      <c r="O775" s="468">
        <f t="shared" si="92"/>
        <v>7.136363636363637</v>
      </c>
      <c r="P775" s="89"/>
      <c r="Q775" s="89"/>
      <c r="R775" s="362"/>
    </row>
    <row r="776" spans="1:18" s="212" customFormat="1" ht="24">
      <c r="A776" s="124">
        <v>4280</v>
      </c>
      <c r="B776" s="128" t="s">
        <v>545</v>
      </c>
      <c r="C776" s="88">
        <v>2200</v>
      </c>
      <c r="D776" s="74">
        <f t="shared" si="90"/>
        <v>2200</v>
      </c>
      <c r="E776" s="89">
        <f t="shared" si="91"/>
        <v>65</v>
      </c>
      <c r="F776" s="468">
        <f t="shared" si="86"/>
        <v>2.9545454545454546</v>
      </c>
      <c r="G776" s="88"/>
      <c r="H776" s="89"/>
      <c r="I776" s="466"/>
      <c r="J776" s="126"/>
      <c r="K776" s="89"/>
      <c r="L776" s="391"/>
      <c r="M776" s="88">
        <v>2200</v>
      </c>
      <c r="N776" s="89">
        <v>65</v>
      </c>
      <c r="O776" s="468">
        <f t="shared" si="92"/>
        <v>2.9545454545454546</v>
      </c>
      <c r="P776" s="89"/>
      <c r="Q776" s="89"/>
      <c r="R776" s="362"/>
    </row>
    <row r="777" spans="1:18" s="212" customFormat="1" ht="24">
      <c r="A777" s="124">
        <v>4300</v>
      </c>
      <c r="B777" s="128" t="s">
        <v>510</v>
      </c>
      <c r="C777" s="88">
        <v>11700</v>
      </c>
      <c r="D777" s="74">
        <f t="shared" si="90"/>
        <v>11700</v>
      </c>
      <c r="E777" s="89">
        <f t="shared" si="91"/>
        <v>6256</v>
      </c>
      <c r="F777" s="468">
        <f t="shared" si="86"/>
        <v>53.47008547008547</v>
      </c>
      <c r="G777" s="88"/>
      <c r="H777" s="89"/>
      <c r="I777" s="466"/>
      <c r="J777" s="126"/>
      <c r="K777" s="89"/>
      <c r="L777" s="391"/>
      <c r="M777" s="88">
        <v>11700</v>
      </c>
      <c r="N777" s="89">
        <v>6256</v>
      </c>
      <c r="O777" s="468">
        <f t="shared" si="92"/>
        <v>53.47008547008547</v>
      </c>
      <c r="P777" s="89"/>
      <c r="Q777" s="89"/>
      <c r="R777" s="362"/>
    </row>
    <row r="778" spans="1:18" s="212" customFormat="1" ht="24">
      <c r="A778" s="124">
        <v>4350</v>
      </c>
      <c r="B778" s="128" t="s">
        <v>48</v>
      </c>
      <c r="C778" s="88">
        <v>1100</v>
      </c>
      <c r="D778" s="74">
        <f t="shared" si="90"/>
        <v>1100</v>
      </c>
      <c r="E778" s="89">
        <f t="shared" si="91"/>
        <v>347</v>
      </c>
      <c r="F778" s="468">
        <f t="shared" si="86"/>
        <v>31.545454545454543</v>
      </c>
      <c r="G778" s="126"/>
      <c r="H778" s="126"/>
      <c r="I778" s="466"/>
      <c r="J778" s="126"/>
      <c r="K778" s="89"/>
      <c r="L778" s="391"/>
      <c r="M778" s="88">
        <v>1100</v>
      </c>
      <c r="N778" s="89">
        <v>347</v>
      </c>
      <c r="O778" s="468">
        <f t="shared" si="92"/>
        <v>31.545454545454543</v>
      </c>
      <c r="P778" s="89"/>
      <c r="Q778" s="89"/>
      <c r="R778" s="362"/>
    </row>
    <row r="779" spans="1:18" s="212" customFormat="1" ht="48">
      <c r="A779" s="172">
        <v>4360</v>
      </c>
      <c r="B779" s="337" t="s">
        <v>297</v>
      </c>
      <c r="C779" s="88">
        <v>300</v>
      </c>
      <c r="D779" s="74">
        <f>G779+J779+P779+M779</f>
        <v>300</v>
      </c>
      <c r="E779" s="89">
        <f>SUM(H779+K779+N779+Q779)</f>
        <v>300</v>
      </c>
      <c r="F779" s="468">
        <f>E779/D779*100</f>
        <v>100</v>
      </c>
      <c r="G779" s="126"/>
      <c r="H779" s="126"/>
      <c r="I779" s="466"/>
      <c r="J779" s="126"/>
      <c r="K779" s="89"/>
      <c r="L779" s="391"/>
      <c r="M779" s="88">
        <v>300</v>
      </c>
      <c r="N779" s="89">
        <v>300</v>
      </c>
      <c r="O779" s="468">
        <f t="shared" si="92"/>
        <v>100</v>
      </c>
      <c r="P779" s="89"/>
      <c r="Q779" s="89"/>
      <c r="R779" s="362"/>
    </row>
    <row r="780" spans="1:18" s="212" customFormat="1" ht="48">
      <c r="A780" s="172">
        <v>4370</v>
      </c>
      <c r="B780" s="337" t="s">
        <v>298</v>
      </c>
      <c r="C780" s="88">
        <v>3500</v>
      </c>
      <c r="D780" s="74">
        <f>G780+J780+P780+M780</f>
        <v>3500</v>
      </c>
      <c r="E780" s="89">
        <f>SUM(H780+K780+N780+Q780)</f>
        <v>2228</v>
      </c>
      <c r="F780" s="468">
        <f>E780/D780*100</f>
        <v>63.65714285714286</v>
      </c>
      <c r="G780" s="126"/>
      <c r="H780" s="126"/>
      <c r="I780" s="466"/>
      <c r="J780" s="126"/>
      <c r="K780" s="89"/>
      <c r="L780" s="391"/>
      <c r="M780" s="88">
        <v>3500</v>
      </c>
      <c r="N780" s="89">
        <v>2228</v>
      </c>
      <c r="O780" s="468">
        <f t="shared" si="92"/>
        <v>63.65714285714286</v>
      </c>
      <c r="P780" s="89"/>
      <c r="Q780" s="89"/>
      <c r="R780" s="362"/>
    </row>
    <row r="781" spans="1:18" s="212" customFormat="1" ht="36">
      <c r="A781" s="124">
        <v>4390</v>
      </c>
      <c r="B781" s="206" t="s">
        <v>268</v>
      </c>
      <c r="C781" s="88">
        <v>2000</v>
      </c>
      <c r="D781" s="74">
        <f>G781+J781+P781+M781</f>
        <v>2000</v>
      </c>
      <c r="E781" s="89">
        <f>SUM(H781+K781+N781+Q781)</f>
        <v>0</v>
      </c>
      <c r="F781" s="468">
        <f>E781/D781*100</f>
        <v>0</v>
      </c>
      <c r="G781" s="126"/>
      <c r="H781" s="126"/>
      <c r="I781" s="466"/>
      <c r="J781" s="126"/>
      <c r="K781" s="89"/>
      <c r="L781" s="391"/>
      <c r="M781" s="88">
        <v>2000</v>
      </c>
      <c r="N781" s="89"/>
      <c r="O781" s="468">
        <f t="shared" si="92"/>
        <v>0</v>
      </c>
      <c r="P781" s="89"/>
      <c r="Q781" s="89"/>
      <c r="R781" s="362"/>
    </row>
    <row r="782" spans="1:18" s="212" customFormat="1" ht="24">
      <c r="A782" s="124">
        <v>4410</v>
      </c>
      <c r="B782" s="128" t="s">
        <v>484</v>
      </c>
      <c r="C782" s="88">
        <v>900</v>
      </c>
      <c r="D782" s="74">
        <f t="shared" si="90"/>
        <v>900</v>
      </c>
      <c r="E782" s="89">
        <f t="shared" si="91"/>
        <v>275</v>
      </c>
      <c r="F782" s="468">
        <f t="shared" si="86"/>
        <v>30.555555555555557</v>
      </c>
      <c r="G782" s="89"/>
      <c r="H782" s="126"/>
      <c r="I782" s="466"/>
      <c r="J782" s="126"/>
      <c r="K782" s="89"/>
      <c r="L782" s="391"/>
      <c r="M782" s="88">
        <v>900</v>
      </c>
      <c r="N782" s="89">
        <v>275</v>
      </c>
      <c r="O782" s="468">
        <f t="shared" si="92"/>
        <v>30.555555555555557</v>
      </c>
      <c r="P782" s="89"/>
      <c r="Q782" s="89"/>
      <c r="R782" s="362"/>
    </row>
    <row r="783" spans="1:18" s="212" customFormat="1" ht="12.75">
      <c r="A783" s="124">
        <v>4440</v>
      </c>
      <c r="B783" s="128" t="s">
        <v>514</v>
      </c>
      <c r="C783" s="88">
        <v>77300</v>
      </c>
      <c r="D783" s="74">
        <f t="shared" si="90"/>
        <v>92620</v>
      </c>
      <c r="E783" s="89">
        <f>SUM(H783+K783+N783+Q783)</f>
        <v>72657</v>
      </c>
      <c r="F783" s="468">
        <f>E783/D783*100</f>
        <v>78.44633988339451</v>
      </c>
      <c r="G783" s="89"/>
      <c r="H783" s="126"/>
      <c r="I783" s="466"/>
      <c r="J783" s="126"/>
      <c r="K783" s="89"/>
      <c r="L783" s="391"/>
      <c r="M783" s="88">
        <f>77300+4420+10900</f>
        <v>92620</v>
      </c>
      <c r="N783" s="89">
        <v>72657</v>
      </c>
      <c r="O783" s="468">
        <f t="shared" si="92"/>
        <v>78.44633988339451</v>
      </c>
      <c r="P783" s="89"/>
      <c r="Q783" s="89"/>
      <c r="R783" s="362"/>
    </row>
    <row r="784" spans="1:18" s="212" customFormat="1" ht="36">
      <c r="A784" s="172">
        <v>4700</v>
      </c>
      <c r="B784" s="337" t="s">
        <v>285</v>
      </c>
      <c r="C784" s="88">
        <v>1000</v>
      </c>
      <c r="D784" s="74">
        <f t="shared" si="90"/>
        <v>3530</v>
      </c>
      <c r="E784" s="89">
        <f>SUM(H784+K784+N784+Q784)</f>
        <v>1630</v>
      </c>
      <c r="F784" s="468">
        <f>E784/D784*100</f>
        <v>46.1756373937677</v>
      </c>
      <c r="G784" s="89"/>
      <c r="H784" s="126"/>
      <c r="I784" s="466"/>
      <c r="J784" s="126"/>
      <c r="K784" s="89"/>
      <c r="L784" s="391"/>
      <c r="M784" s="88">
        <f>1000+2530</f>
        <v>3530</v>
      </c>
      <c r="N784" s="89">
        <v>1630</v>
      </c>
      <c r="O784" s="468">
        <f t="shared" si="92"/>
        <v>46.1756373937677</v>
      </c>
      <c r="P784" s="89"/>
      <c r="Q784" s="89"/>
      <c r="R784" s="362"/>
    </row>
    <row r="785" spans="1:18" s="212" customFormat="1" ht="60">
      <c r="A785" s="172">
        <v>4740</v>
      </c>
      <c r="B785" s="337" t="s">
        <v>290</v>
      </c>
      <c r="C785" s="88">
        <v>4100</v>
      </c>
      <c r="D785" s="74">
        <f t="shared" si="90"/>
        <v>4100</v>
      </c>
      <c r="E785" s="89">
        <f t="shared" si="91"/>
        <v>0</v>
      </c>
      <c r="F785" s="468">
        <f t="shared" si="86"/>
        <v>0</v>
      </c>
      <c r="G785" s="89"/>
      <c r="H785" s="126"/>
      <c r="I785" s="466"/>
      <c r="J785" s="126"/>
      <c r="K785" s="89"/>
      <c r="L785" s="391"/>
      <c r="M785" s="88">
        <v>4100</v>
      </c>
      <c r="N785" s="89"/>
      <c r="O785" s="468">
        <f t="shared" si="92"/>
        <v>0</v>
      </c>
      <c r="P785" s="89"/>
      <c r="Q785" s="89"/>
      <c r="R785" s="362"/>
    </row>
    <row r="786" spans="1:18" s="212" customFormat="1" ht="36">
      <c r="A786" s="172">
        <v>4750</v>
      </c>
      <c r="B786" s="337" t="s">
        <v>291</v>
      </c>
      <c r="C786" s="160">
        <v>5300</v>
      </c>
      <c r="D786" s="74">
        <f t="shared" si="90"/>
        <v>5300</v>
      </c>
      <c r="E786" s="89">
        <f t="shared" si="91"/>
        <v>1009</v>
      </c>
      <c r="F786" s="468">
        <f t="shared" si="86"/>
        <v>19.037735849056602</v>
      </c>
      <c r="G786" s="155"/>
      <c r="H786" s="162"/>
      <c r="I786" s="479"/>
      <c r="J786" s="162"/>
      <c r="K786" s="155"/>
      <c r="L786" s="415"/>
      <c r="M786" s="160">
        <v>5300</v>
      </c>
      <c r="N786" s="155">
        <v>1009</v>
      </c>
      <c r="O786" s="468">
        <f t="shared" si="92"/>
        <v>19.037735849056602</v>
      </c>
      <c r="P786" s="155"/>
      <c r="Q786" s="155"/>
      <c r="R786" s="366"/>
    </row>
    <row r="787" spans="1:18" s="212" customFormat="1" ht="17.25" customHeight="1">
      <c r="A787" s="119">
        <v>80130</v>
      </c>
      <c r="B787" s="185" t="s">
        <v>64</v>
      </c>
      <c r="C787" s="121">
        <f>SUM(C788:C816)</f>
        <v>17709400</v>
      </c>
      <c r="D787" s="95">
        <f t="shared" si="90"/>
        <v>18694413</v>
      </c>
      <c r="E787" s="84">
        <f>H787+K787+Q787+N787</f>
        <v>10455914</v>
      </c>
      <c r="F787" s="467">
        <f aca="true" t="shared" si="93" ref="F787:F816">E787/D787*100</f>
        <v>55.93068902457649</v>
      </c>
      <c r="G787" s="149"/>
      <c r="H787" s="148"/>
      <c r="I787" s="489"/>
      <c r="J787" s="148"/>
      <c r="K787" s="149"/>
      <c r="L787" s="406"/>
      <c r="M787" s="121">
        <f>SUM(M788:M816)</f>
        <v>18694413</v>
      </c>
      <c r="N787" s="84">
        <f>SUM(N788:N816)</f>
        <v>10455914</v>
      </c>
      <c r="O787" s="448">
        <f t="shared" si="89"/>
        <v>55.93068902457649</v>
      </c>
      <c r="P787" s="84"/>
      <c r="Q787" s="84"/>
      <c r="R787" s="372"/>
    </row>
    <row r="788" spans="1:18" s="212" customFormat="1" ht="48">
      <c r="A788" s="144">
        <v>2540</v>
      </c>
      <c r="B788" s="145" t="s">
        <v>46</v>
      </c>
      <c r="C788" s="146">
        <v>2000000</v>
      </c>
      <c r="D788" s="147">
        <f t="shared" si="90"/>
        <v>2856060</v>
      </c>
      <c r="E788" s="149">
        <f>SUM(H788+K788+N788+Q788)</f>
        <v>1925170</v>
      </c>
      <c r="F788" s="467">
        <f t="shared" si="93"/>
        <v>67.40649706238665</v>
      </c>
      <c r="G788" s="149"/>
      <c r="H788" s="148"/>
      <c r="I788" s="489"/>
      <c r="J788" s="148"/>
      <c r="K788" s="149"/>
      <c r="L788" s="406"/>
      <c r="M788" s="146">
        <f>2000000+476060+380000</f>
        <v>2856060</v>
      </c>
      <c r="N788" s="149">
        <v>1925170</v>
      </c>
      <c r="O788" s="448">
        <f t="shared" si="89"/>
        <v>67.40649706238665</v>
      </c>
      <c r="P788" s="149"/>
      <c r="Q788" s="149"/>
      <c r="R788" s="372"/>
    </row>
    <row r="789" spans="1:18" s="212" customFormat="1" ht="84">
      <c r="A789" s="124">
        <v>2590</v>
      </c>
      <c r="B789" s="128" t="s">
        <v>451</v>
      </c>
      <c r="C789" s="88">
        <v>330000</v>
      </c>
      <c r="D789" s="74">
        <f>G789+J789+P789+M789</f>
        <v>330000</v>
      </c>
      <c r="E789" s="89">
        <f>SUM(H789+K789+N789+Q789)</f>
        <v>127939</v>
      </c>
      <c r="F789" s="468">
        <f>E789/D789*100</f>
        <v>38.769393939393936</v>
      </c>
      <c r="G789" s="89"/>
      <c r="H789" s="126"/>
      <c r="I789" s="466"/>
      <c r="J789" s="126"/>
      <c r="K789" s="89"/>
      <c r="L789" s="391"/>
      <c r="M789" s="88">
        <v>330000</v>
      </c>
      <c r="N789" s="89">
        <v>127939</v>
      </c>
      <c r="O789" s="442">
        <f t="shared" si="89"/>
        <v>38.769393939393936</v>
      </c>
      <c r="P789" s="89"/>
      <c r="Q789" s="89"/>
      <c r="R789" s="362"/>
    </row>
    <row r="790" spans="1:18" s="212" customFormat="1" ht="36">
      <c r="A790" s="124">
        <v>3020</v>
      </c>
      <c r="B790" s="128" t="s">
        <v>257</v>
      </c>
      <c r="C790" s="88">
        <v>79300</v>
      </c>
      <c r="D790" s="74">
        <f t="shared" si="90"/>
        <v>72800</v>
      </c>
      <c r="E790" s="89">
        <f aca="true" t="shared" si="94" ref="E790:E816">SUM(H790+K790+N790+Q790)</f>
        <v>22999</v>
      </c>
      <c r="F790" s="468">
        <f t="shared" si="93"/>
        <v>31.592032967032967</v>
      </c>
      <c r="G790" s="89"/>
      <c r="H790" s="126"/>
      <c r="I790" s="466"/>
      <c r="J790" s="126"/>
      <c r="K790" s="89"/>
      <c r="L790" s="391"/>
      <c r="M790" s="88">
        <f>79300-6500</f>
        <v>72800</v>
      </c>
      <c r="N790" s="89">
        <v>22999</v>
      </c>
      <c r="O790" s="442">
        <f t="shared" si="89"/>
        <v>31.592032967032967</v>
      </c>
      <c r="P790" s="89"/>
      <c r="Q790" s="89"/>
      <c r="R790" s="362"/>
    </row>
    <row r="791" spans="1:18" s="212" customFormat="1" ht="12.75">
      <c r="A791" s="124">
        <v>3050</v>
      </c>
      <c r="B791" s="128" t="s">
        <v>65</v>
      </c>
      <c r="C791" s="88">
        <v>17300</v>
      </c>
      <c r="D791" s="74">
        <f t="shared" si="90"/>
        <v>17300</v>
      </c>
      <c r="E791" s="89">
        <f t="shared" si="94"/>
        <v>9201</v>
      </c>
      <c r="F791" s="468">
        <f t="shared" si="93"/>
        <v>53.1849710982659</v>
      </c>
      <c r="G791" s="89"/>
      <c r="H791" s="126"/>
      <c r="I791" s="466"/>
      <c r="J791" s="126"/>
      <c r="K791" s="89"/>
      <c r="L791" s="391"/>
      <c r="M791" s="88">
        <v>17300</v>
      </c>
      <c r="N791" s="89">
        <v>9201</v>
      </c>
      <c r="O791" s="442">
        <f t="shared" si="89"/>
        <v>53.1849710982659</v>
      </c>
      <c r="P791" s="89"/>
      <c r="Q791" s="89"/>
      <c r="R791" s="362"/>
    </row>
    <row r="792" spans="1:18" s="212" customFormat="1" ht="12.75" hidden="1">
      <c r="A792" s="124">
        <v>3110</v>
      </c>
      <c r="B792" s="128" t="s">
        <v>98</v>
      </c>
      <c r="C792" s="88"/>
      <c r="D792" s="74">
        <f>G792+J792+P792+M792</f>
        <v>0</v>
      </c>
      <c r="E792" s="89">
        <f>SUM(H792+K792+N792+Q792)</f>
        <v>0</v>
      </c>
      <c r="F792" s="468" t="e">
        <f>E792/D792*100</f>
        <v>#DIV/0!</v>
      </c>
      <c r="G792" s="89"/>
      <c r="H792" s="126"/>
      <c r="I792" s="466"/>
      <c r="J792" s="126"/>
      <c r="K792" s="89"/>
      <c r="L792" s="391"/>
      <c r="M792" s="88"/>
      <c r="N792" s="89"/>
      <c r="O792" s="442" t="e">
        <f t="shared" si="89"/>
        <v>#DIV/0!</v>
      </c>
      <c r="P792" s="89"/>
      <c r="Q792" s="89"/>
      <c r="R792" s="362"/>
    </row>
    <row r="793" spans="1:18" s="212" customFormat="1" ht="24">
      <c r="A793" s="124">
        <v>4010</v>
      </c>
      <c r="B793" s="128" t="s">
        <v>492</v>
      </c>
      <c r="C793" s="88">
        <v>10000000</v>
      </c>
      <c r="D793" s="74">
        <f t="shared" si="90"/>
        <v>10000000</v>
      </c>
      <c r="E793" s="89">
        <f t="shared" si="94"/>
        <v>5032247</v>
      </c>
      <c r="F793" s="468">
        <f t="shared" si="93"/>
        <v>50.322469999999996</v>
      </c>
      <c r="G793" s="89"/>
      <c r="H793" s="126"/>
      <c r="I793" s="466"/>
      <c r="J793" s="126"/>
      <c r="K793" s="89"/>
      <c r="L793" s="391"/>
      <c r="M793" s="88">
        <v>10000000</v>
      </c>
      <c r="N793" s="89">
        <f>5032246+1</f>
        <v>5032247</v>
      </c>
      <c r="O793" s="442">
        <f t="shared" si="89"/>
        <v>50.322469999999996</v>
      </c>
      <c r="P793" s="89"/>
      <c r="Q793" s="89"/>
      <c r="R793" s="362"/>
    </row>
    <row r="794" spans="1:18" s="212" customFormat="1" ht="24">
      <c r="A794" s="124">
        <v>4040</v>
      </c>
      <c r="B794" s="128" t="s">
        <v>496</v>
      </c>
      <c r="C794" s="88">
        <v>793200</v>
      </c>
      <c r="D794" s="74">
        <f t="shared" si="90"/>
        <v>778110</v>
      </c>
      <c r="E794" s="89">
        <f t="shared" si="94"/>
        <v>778105</v>
      </c>
      <c r="F794" s="468">
        <f t="shared" si="93"/>
        <v>99.99935741733174</v>
      </c>
      <c r="G794" s="89"/>
      <c r="H794" s="126"/>
      <c r="I794" s="466"/>
      <c r="J794" s="126"/>
      <c r="K794" s="89"/>
      <c r="L794" s="391"/>
      <c r="M794" s="88">
        <f>793200-15090</f>
        <v>778110</v>
      </c>
      <c r="N794" s="89">
        <f>778036+69</f>
        <v>778105</v>
      </c>
      <c r="O794" s="442">
        <f t="shared" si="89"/>
        <v>99.99935741733174</v>
      </c>
      <c r="P794" s="89"/>
      <c r="Q794" s="89"/>
      <c r="R794" s="362"/>
    </row>
    <row r="795" spans="1:18" s="212" customFormat="1" ht="24">
      <c r="A795" s="124">
        <v>4110</v>
      </c>
      <c r="B795" s="128" t="s">
        <v>498</v>
      </c>
      <c r="C795" s="88">
        <v>1788700</v>
      </c>
      <c r="D795" s="74">
        <f t="shared" si="90"/>
        <v>1788700</v>
      </c>
      <c r="E795" s="89">
        <f t="shared" si="94"/>
        <v>880194</v>
      </c>
      <c r="F795" s="468">
        <f t="shared" si="93"/>
        <v>49.20858724213116</v>
      </c>
      <c r="G795" s="89"/>
      <c r="H795" s="126"/>
      <c r="I795" s="466"/>
      <c r="J795" s="126"/>
      <c r="K795" s="89"/>
      <c r="L795" s="391"/>
      <c r="M795" s="88">
        <v>1788700</v>
      </c>
      <c r="N795" s="89">
        <v>880194</v>
      </c>
      <c r="O795" s="442">
        <f t="shared" si="89"/>
        <v>49.20858724213116</v>
      </c>
      <c r="P795" s="89"/>
      <c r="Q795" s="89"/>
      <c r="R795" s="362"/>
    </row>
    <row r="796" spans="1:18" s="212" customFormat="1" ht="12.75">
      <c r="A796" s="124">
        <v>4120</v>
      </c>
      <c r="B796" s="128" t="s">
        <v>571</v>
      </c>
      <c r="C796" s="88">
        <v>260000</v>
      </c>
      <c r="D796" s="74">
        <f t="shared" si="90"/>
        <v>260000</v>
      </c>
      <c r="E796" s="89">
        <f t="shared" si="94"/>
        <v>136166</v>
      </c>
      <c r="F796" s="468">
        <f t="shared" si="93"/>
        <v>52.37153846153846</v>
      </c>
      <c r="G796" s="89"/>
      <c r="H796" s="126"/>
      <c r="I796" s="466"/>
      <c r="J796" s="126"/>
      <c r="K796" s="89"/>
      <c r="L796" s="391"/>
      <c r="M796" s="88">
        <v>260000</v>
      </c>
      <c r="N796" s="89">
        <v>136166</v>
      </c>
      <c r="O796" s="442">
        <f t="shared" si="89"/>
        <v>52.37153846153846</v>
      </c>
      <c r="P796" s="89"/>
      <c r="Q796" s="89"/>
      <c r="R796" s="362"/>
    </row>
    <row r="797" spans="1:18" s="212" customFormat="1" ht="12.75">
      <c r="A797" s="124">
        <v>4140</v>
      </c>
      <c r="B797" s="128" t="s">
        <v>66</v>
      </c>
      <c r="C797" s="88">
        <v>58000</v>
      </c>
      <c r="D797" s="74">
        <f t="shared" si="90"/>
        <v>48000</v>
      </c>
      <c r="E797" s="89">
        <f t="shared" si="94"/>
        <v>20153</v>
      </c>
      <c r="F797" s="468">
        <f t="shared" si="93"/>
        <v>41.985416666666666</v>
      </c>
      <c r="G797" s="89"/>
      <c r="H797" s="126"/>
      <c r="I797" s="466"/>
      <c r="J797" s="126"/>
      <c r="K797" s="89"/>
      <c r="L797" s="391"/>
      <c r="M797" s="88">
        <f>58000-10000</f>
        <v>48000</v>
      </c>
      <c r="N797" s="89">
        <v>20153</v>
      </c>
      <c r="O797" s="442">
        <f t="shared" si="89"/>
        <v>41.985416666666666</v>
      </c>
      <c r="P797" s="89"/>
      <c r="Q797" s="89"/>
      <c r="R797" s="362"/>
    </row>
    <row r="798" spans="1:18" s="212" customFormat="1" ht="24">
      <c r="A798" s="124">
        <v>4210</v>
      </c>
      <c r="B798" s="128" t="s">
        <v>502</v>
      </c>
      <c r="C798" s="88">
        <v>325000</v>
      </c>
      <c r="D798" s="74">
        <f t="shared" si="90"/>
        <v>318000</v>
      </c>
      <c r="E798" s="89">
        <f t="shared" si="94"/>
        <v>140199</v>
      </c>
      <c r="F798" s="468">
        <f t="shared" si="93"/>
        <v>44.0877358490566</v>
      </c>
      <c r="G798" s="89"/>
      <c r="H798" s="126"/>
      <c r="I798" s="466"/>
      <c r="J798" s="126"/>
      <c r="K798" s="89"/>
      <c r="L798" s="391"/>
      <c r="M798" s="88">
        <f>325000-16200+11200-2000</f>
        <v>318000</v>
      </c>
      <c r="N798" s="89">
        <v>140199</v>
      </c>
      <c r="O798" s="442">
        <f t="shared" si="89"/>
        <v>44.0877358490566</v>
      </c>
      <c r="P798" s="89"/>
      <c r="Q798" s="89"/>
      <c r="R798" s="362"/>
    </row>
    <row r="799" spans="1:18" s="212" customFormat="1" ht="36">
      <c r="A799" s="124">
        <v>4240</v>
      </c>
      <c r="B799" s="128" t="s">
        <v>563</v>
      </c>
      <c r="C799" s="88">
        <v>128000</v>
      </c>
      <c r="D799" s="74">
        <f t="shared" si="90"/>
        <v>128000</v>
      </c>
      <c r="E799" s="89">
        <f t="shared" si="94"/>
        <v>40636</v>
      </c>
      <c r="F799" s="468">
        <f t="shared" si="93"/>
        <v>31.746875000000003</v>
      </c>
      <c r="G799" s="89"/>
      <c r="H799" s="126"/>
      <c r="I799" s="466"/>
      <c r="J799" s="126"/>
      <c r="K799" s="89"/>
      <c r="L799" s="391"/>
      <c r="M799" s="88">
        <v>128000</v>
      </c>
      <c r="N799" s="89">
        <v>40636</v>
      </c>
      <c r="O799" s="442">
        <f t="shared" si="89"/>
        <v>31.746875000000003</v>
      </c>
      <c r="P799" s="89"/>
      <c r="Q799" s="89"/>
      <c r="R799" s="362"/>
    </row>
    <row r="800" spans="1:18" s="212" customFormat="1" ht="12.75">
      <c r="A800" s="124">
        <v>4260</v>
      </c>
      <c r="B800" s="128" t="s">
        <v>506</v>
      </c>
      <c r="C800" s="88">
        <v>834000</v>
      </c>
      <c r="D800" s="74">
        <f t="shared" si="90"/>
        <v>834000</v>
      </c>
      <c r="E800" s="89">
        <f t="shared" si="94"/>
        <v>551220</v>
      </c>
      <c r="F800" s="468">
        <f t="shared" si="93"/>
        <v>66.09352517985612</v>
      </c>
      <c r="G800" s="89"/>
      <c r="H800" s="126"/>
      <c r="I800" s="466"/>
      <c r="J800" s="126"/>
      <c r="K800" s="89"/>
      <c r="L800" s="391"/>
      <c r="M800" s="88">
        <v>834000</v>
      </c>
      <c r="N800" s="89">
        <v>551220</v>
      </c>
      <c r="O800" s="442">
        <f t="shared" si="89"/>
        <v>66.09352517985612</v>
      </c>
      <c r="P800" s="89"/>
      <c r="Q800" s="89"/>
      <c r="R800" s="362"/>
    </row>
    <row r="801" spans="1:18" s="212" customFormat="1" ht="24">
      <c r="A801" s="124">
        <v>4270</v>
      </c>
      <c r="B801" s="128" t="s">
        <v>508</v>
      </c>
      <c r="C801" s="88">
        <v>46000</v>
      </c>
      <c r="D801" s="74">
        <f t="shared" si="90"/>
        <v>46000</v>
      </c>
      <c r="E801" s="89">
        <f t="shared" si="94"/>
        <v>11679</v>
      </c>
      <c r="F801" s="468">
        <f t="shared" si="93"/>
        <v>25.389130434782608</v>
      </c>
      <c r="G801" s="89"/>
      <c r="H801" s="126"/>
      <c r="I801" s="466"/>
      <c r="J801" s="126"/>
      <c r="K801" s="89"/>
      <c r="L801" s="391"/>
      <c r="M801" s="88">
        <v>46000</v>
      </c>
      <c r="N801" s="89">
        <v>11679</v>
      </c>
      <c r="O801" s="442">
        <f t="shared" si="89"/>
        <v>25.389130434782608</v>
      </c>
      <c r="P801" s="89"/>
      <c r="Q801" s="89"/>
      <c r="R801" s="362"/>
    </row>
    <row r="802" spans="1:18" s="212" customFormat="1" ht="24">
      <c r="A802" s="124">
        <v>4280</v>
      </c>
      <c r="B802" s="128" t="s">
        <v>545</v>
      </c>
      <c r="C802" s="88">
        <v>14300</v>
      </c>
      <c r="D802" s="74">
        <f t="shared" si="90"/>
        <v>14300</v>
      </c>
      <c r="E802" s="89">
        <f t="shared" si="94"/>
        <v>5014</v>
      </c>
      <c r="F802" s="468">
        <f t="shared" si="93"/>
        <v>35.06293706293706</v>
      </c>
      <c r="G802" s="89"/>
      <c r="H802" s="126"/>
      <c r="I802" s="466"/>
      <c r="J802" s="126"/>
      <c r="K802" s="89"/>
      <c r="L802" s="391"/>
      <c r="M802" s="88">
        <v>14300</v>
      </c>
      <c r="N802" s="89">
        <v>5014</v>
      </c>
      <c r="O802" s="442">
        <f t="shared" si="89"/>
        <v>35.06293706293706</v>
      </c>
      <c r="P802" s="89"/>
      <c r="Q802" s="89"/>
      <c r="R802" s="362"/>
    </row>
    <row r="803" spans="1:18" s="212" customFormat="1" ht="24">
      <c r="A803" s="124">
        <v>4300</v>
      </c>
      <c r="B803" s="128" t="s">
        <v>510</v>
      </c>
      <c r="C803" s="88">
        <v>135000</v>
      </c>
      <c r="D803" s="74">
        <f t="shared" si="90"/>
        <v>150800</v>
      </c>
      <c r="E803" s="89">
        <f t="shared" si="94"/>
        <v>95279</v>
      </c>
      <c r="F803" s="468">
        <f t="shared" si="93"/>
        <v>63.18236074270557</v>
      </c>
      <c r="G803" s="89"/>
      <c r="H803" s="126"/>
      <c r="I803" s="466"/>
      <c r="J803" s="126"/>
      <c r="K803" s="89"/>
      <c r="L803" s="391"/>
      <c r="M803" s="88">
        <f>135000+800+15000</f>
        <v>150800</v>
      </c>
      <c r="N803" s="89">
        <v>95279</v>
      </c>
      <c r="O803" s="442">
        <f t="shared" si="89"/>
        <v>63.18236074270557</v>
      </c>
      <c r="P803" s="89"/>
      <c r="Q803" s="89"/>
      <c r="R803" s="362"/>
    </row>
    <row r="804" spans="1:18" s="212" customFormat="1" ht="24">
      <c r="A804" s="124">
        <v>4350</v>
      </c>
      <c r="B804" s="128" t="s">
        <v>48</v>
      </c>
      <c r="C804" s="88">
        <v>12900</v>
      </c>
      <c r="D804" s="74">
        <f t="shared" si="90"/>
        <v>12900</v>
      </c>
      <c r="E804" s="89">
        <f t="shared" si="94"/>
        <v>5640</v>
      </c>
      <c r="F804" s="468">
        <f t="shared" si="93"/>
        <v>43.72093023255814</v>
      </c>
      <c r="G804" s="89"/>
      <c r="H804" s="126"/>
      <c r="I804" s="466"/>
      <c r="J804" s="126"/>
      <c r="K804" s="89"/>
      <c r="L804" s="391"/>
      <c r="M804" s="88">
        <v>12900</v>
      </c>
      <c r="N804" s="89">
        <v>5640</v>
      </c>
      <c r="O804" s="442">
        <f t="shared" si="89"/>
        <v>43.72093023255814</v>
      </c>
      <c r="P804" s="89"/>
      <c r="Q804" s="89"/>
      <c r="R804" s="362"/>
    </row>
    <row r="805" spans="1:18" s="212" customFormat="1" ht="48">
      <c r="A805" s="172">
        <v>4360</v>
      </c>
      <c r="B805" s="337" t="s">
        <v>297</v>
      </c>
      <c r="C805" s="88">
        <v>2000</v>
      </c>
      <c r="D805" s="74">
        <f>G805+J805+P805+M805</f>
        <v>4000</v>
      </c>
      <c r="E805" s="89">
        <f>SUM(H805+K805+N805+Q805)</f>
        <v>1989</v>
      </c>
      <c r="F805" s="468">
        <f>E805/D805*100</f>
        <v>49.725</v>
      </c>
      <c r="G805" s="89"/>
      <c r="H805" s="126"/>
      <c r="I805" s="466"/>
      <c r="J805" s="126"/>
      <c r="K805" s="89"/>
      <c r="L805" s="391"/>
      <c r="M805" s="88">
        <f>2000+2000</f>
        <v>4000</v>
      </c>
      <c r="N805" s="89">
        <v>1989</v>
      </c>
      <c r="O805" s="442">
        <f aca="true" t="shared" si="95" ref="O805:O815">N805/M805*100</f>
        <v>49.725</v>
      </c>
      <c r="P805" s="89"/>
      <c r="Q805" s="89"/>
      <c r="R805" s="362"/>
    </row>
    <row r="806" spans="1:18" s="212" customFormat="1" ht="48">
      <c r="A806" s="172">
        <v>4370</v>
      </c>
      <c r="B806" s="337" t="s">
        <v>298</v>
      </c>
      <c r="C806" s="88">
        <v>44200</v>
      </c>
      <c r="D806" s="74">
        <f>G806+J806+P806+M806</f>
        <v>42700</v>
      </c>
      <c r="E806" s="89">
        <f>SUM(H806+K806+N806+Q806)</f>
        <v>18022</v>
      </c>
      <c r="F806" s="468">
        <f>E806/D806*100</f>
        <v>42.20608899297424</v>
      </c>
      <c r="G806" s="89"/>
      <c r="H806" s="126"/>
      <c r="I806" s="466"/>
      <c r="J806" s="126"/>
      <c r="K806" s="89"/>
      <c r="L806" s="391"/>
      <c r="M806" s="88">
        <f>44200-1500</f>
        <v>42700</v>
      </c>
      <c r="N806" s="89">
        <v>18022</v>
      </c>
      <c r="O806" s="442">
        <f t="shared" si="95"/>
        <v>42.20608899297424</v>
      </c>
      <c r="P806" s="89"/>
      <c r="Q806" s="89"/>
      <c r="R806" s="362"/>
    </row>
    <row r="807" spans="1:18" s="212" customFormat="1" ht="36">
      <c r="A807" s="158">
        <v>4380</v>
      </c>
      <c r="B807" s="159" t="s">
        <v>299</v>
      </c>
      <c r="C807" s="160">
        <v>2000</v>
      </c>
      <c r="D807" s="161">
        <f>G807+J807+P807+M807</f>
        <v>2000</v>
      </c>
      <c r="E807" s="155">
        <f>SUM(H807+K807+N807+Q807)</f>
        <v>1200</v>
      </c>
      <c r="F807" s="469">
        <f>E807/D807*100</f>
        <v>60</v>
      </c>
      <c r="G807" s="155"/>
      <c r="H807" s="162"/>
      <c r="I807" s="479"/>
      <c r="J807" s="162"/>
      <c r="K807" s="155"/>
      <c r="L807" s="415"/>
      <c r="M807" s="160">
        <v>2000</v>
      </c>
      <c r="N807" s="155">
        <v>1200</v>
      </c>
      <c r="O807" s="462">
        <f t="shared" si="95"/>
        <v>60</v>
      </c>
      <c r="P807" s="155"/>
      <c r="Q807" s="155"/>
      <c r="R807" s="366"/>
    </row>
    <row r="808" spans="1:18" s="212" customFormat="1" ht="36">
      <c r="A808" s="124">
        <v>4390</v>
      </c>
      <c r="B808" s="206" t="s">
        <v>268</v>
      </c>
      <c r="C808" s="88">
        <v>40000</v>
      </c>
      <c r="D808" s="74">
        <f>G808+J808+P808+M808</f>
        <v>41000</v>
      </c>
      <c r="E808" s="89">
        <f>SUM(H808+K808+N808+Q808)</f>
        <v>14626</v>
      </c>
      <c r="F808" s="468">
        <f>E808/D808*100</f>
        <v>35.673170731707316</v>
      </c>
      <c r="G808" s="89"/>
      <c r="H808" s="126"/>
      <c r="I808" s="466"/>
      <c r="J808" s="126"/>
      <c r="K808" s="89"/>
      <c r="L808" s="391"/>
      <c r="M808" s="88">
        <f>40000+1000</f>
        <v>41000</v>
      </c>
      <c r="N808" s="89">
        <v>14626</v>
      </c>
      <c r="O808" s="442">
        <f t="shared" si="95"/>
        <v>35.673170731707316</v>
      </c>
      <c r="P808" s="89"/>
      <c r="Q808" s="89"/>
      <c r="R808" s="362"/>
    </row>
    <row r="809" spans="1:18" s="212" customFormat="1" ht="24">
      <c r="A809" s="124">
        <v>4410</v>
      </c>
      <c r="B809" s="128" t="s">
        <v>484</v>
      </c>
      <c r="C809" s="88">
        <v>20800</v>
      </c>
      <c r="D809" s="74">
        <f t="shared" si="90"/>
        <v>23800</v>
      </c>
      <c r="E809" s="89">
        <f t="shared" si="94"/>
        <v>15675</v>
      </c>
      <c r="F809" s="468">
        <f t="shared" si="93"/>
        <v>65.86134453781513</v>
      </c>
      <c r="G809" s="89"/>
      <c r="H809" s="126"/>
      <c r="I809" s="466"/>
      <c r="J809" s="126"/>
      <c r="K809" s="89"/>
      <c r="L809" s="391"/>
      <c r="M809" s="88">
        <f>20800+3000</f>
        <v>23800</v>
      </c>
      <c r="N809" s="89">
        <v>15675</v>
      </c>
      <c r="O809" s="442">
        <f t="shared" si="95"/>
        <v>65.86134453781513</v>
      </c>
      <c r="P809" s="89"/>
      <c r="Q809" s="89"/>
      <c r="R809" s="362"/>
    </row>
    <row r="810" spans="1:18" s="212" customFormat="1" ht="24">
      <c r="A810" s="124">
        <v>4420</v>
      </c>
      <c r="B810" s="128" t="s">
        <v>556</v>
      </c>
      <c r="C810" s="88">
        <v>18400</v>
      </c>
      <c r="D810" s="74">
        <f t="shared" si="90"/>
        <v>15400</v>
      </c>
      <c r="E810" s="89">
        <f t="shared" si="94"/>
        <v>2112</v>
      </c>
      <c r="F810" s="468">
        <f t="shared" si="93"/>
        <v>13.714285714285715</v>
      </c>
      <c r="G810" s="89"/>
      <c r="H810" s="126"/>
      <c r="I810" s="466"/>
      <c r="J810" s="126"/>
      <c r="K810" s="89"/>
      <c r="L810" s="391"/>
      <c r="M810" s="88">
        <f>18400-3000</f>
        <v>15400</v>
      </c>
      <c r="N810" s="89">
        <v>2112</v>
      </c>
      <c r="O810" s="442">
        <f t="shared" si="95"/>
        <v>13.714285714285715</v>
      </c>
      <c r="P810" s="89"/>
      <c r="Q810" s="89"/>
      <c r="R810" s="362"/>
    </row>
    <row r="811" spans="1:18" s="212" customFormat="1" ht="12.75">
      <c r="A811" s="124">
        <v>4440</v>
      </c>
      <c r="B811" s="128" t="s">
        <v>514</v>
      </c>
      <c r="C811" s="88">
        <v>625100</v>
      </c>
      <c r="D811" s="74">
        <f t="shared" si="90"/>
        <v>676103</v>
      </c>
      <c r="E811" s="89">
        <f t="shared" si="94"/>
        <v>517593</v>
      </c>
      <c r="F811" s="468">
        <f t="shared" si="93"/>
        <v>76.55534733613074</v>
      </c>
      <c r="G811" s="89"/>
      <c r="H811" s="126"/>
      <c r="I811" s="466"/>
      <c r="J811" s="126"/>
      <c r="K811" s="89"/>
      <c r="L811" s="391"/>
      <c r="M811" s="88">
        <f>625100+22026+28977</f>
        <v>676103</v>
      </c>
      <c r="N811" s="89">
        <v>517593</v>
      </c>
      <c r="O811" s="442">
        <f t="shared" si="95"/>
        <v>76.55534733613074</v>
      </c>
      <c r="P811" s="89"/>
      <c r="Q811" s="89"/>
      <c r="R811" s="362"/>
    </row>
    <row r="812" spans="1:18" s="212" customFormat="1" ht="36">
      <c r="A812" s="172">
        <v>4700</v>
      </c>
      <c r="B812" s="337" t="s">
        <v>285</v>
      </c>
      <c r="C812" s="88">
        <v>20700</v>
      </c>
      <c r="D812" s="74">
        <f>G812+J812+P812+M812</f>
        <v>20700</v>
      </c>
      <c r="E812" s="89">
        <f>SUM(H812+K812+N812+Q812)</f>
        <v>12158</v>
      </c>
      <c r="F812" s="468">
        <f>E812/D812*100</f>
        <v>58.734299516908216</v>
      </c>
      <c r="G812" s="89"/>
      <c r="H812" s="126"/>
      <c r="I812" s="466"/>
      <c r="J812" s="126"/>
      <c r="K812" s="89"/>
      <c r="L812" s="391"/>
      <c r="M812" s="88">
        <v>20700</v>
      </c>
      <c r="N812" s="89">
        <v>12158</v>
      </c>
      <c r="O812" s="442">
        <f t="shared" si="95"/>
        <v>58.734299516908216</v>
      </c>
      <c r="P812" s="89"/>
      <c r="Q812" s="89"/>
      <c r="R812" s="362"/>
    </row>
    <row r="813" spans="1:18" s="212" customFormat="1" ht="60">
      <c r="A813" s="172">
        <v>4740</v>
      </c>
      <c r="B813" s="337" t="s">
        <v>290</v>
      </c>
      <c r="C813" s="88">
        <v>22000</v>
      </c>
      <c r="D813" s="74">
        <f>G813+J813+P813+M813</f>
        <v>19000</v>
      </c>
      <c r="E813" s="89">
        <f>SUM(H813+K813+N813+Q813)</f>
        <v>4623</v>
      </c>
      <c r="F813" s="468">
        <f>E813/D813*100</f>
        <v>24.33157894736842</v>
      </c>
      <c r="G813" s="89"/>
      <c r="H813" s="126"/>
      <c r="I813" s="466"/>
      <c r="J813" s="126"/>
      <c r="K813" s="89"/>
      <c r="L813" s="391"/>
      <c r="M813" s="88">
        <f>22000-3000</f>
        <v>19000</v>
      </c>
      <c r="N813" s="89">
        <f>4624-1</f>
        <v>4623</v>
      </c>
      <c r="O813" s="442">
        <f t="shared" si="95"/>
        <v>24.33157894736842</v>
      </c>
      <c r="P813" s="89"/>
      <c r="Q813" s="89"/>
      <c r="R813" s="362"/>
    </row>
    <row r="814" spans="1:18" s="212" customFormat="1" ht="36">
      <c r="A814" s="172">
        <v>4750</v>
      </c>
      <c r="B814" s="337" t="s">
        <v>291</v>
      </c>
      <c r="C814" s="88">
        <v>37800</v>
      </c>
      <c r="D814" s="74">
        <f>G814+J814+P814+M814</f>
        <v>42800</v>
      </c>
      <c r="E814" s="89">
        <f>SUM(H814+K814+N814+Q814)</f>
        <v>18537</v>
      </c>
      <c r="F814" s="468">
        <f>E814/D814*100</f>
        <v>43.3107476635514</v>
      </c>
      <c r="G814" s="89"/>
      <c r="H814" s="126"/>
      <c r="I814" s="466"/>
      <c r="J814" s="126"/>
      <c r="K814" s="89"/>
      <c r="L814" s="391"/>
      <c r="M814" s="88">
        <f>37800+5000</f>
        <v>42800</v>
      </c>
      <c r="N814" s="89">
        <v>18537</v>
      </c>
      <c r="O814" s="442">
        <f t="shared" si="95"/>
        <v>43.3107476635514</v>
      </c>
      <c r="P814" s="89"/>
      <c r="Q814" s="89"/>
      <c r="R814" s="362"/>
    </row>
    <row r="815" spans="1:18" s="212" customFormat="1" ht="24">
      <c r="A815" s="124">
        <v>6050</v>
      </c>
      <c r="B815" s="128" t="s">
        <v>574</v>
      </c>
      <c r="C815" s="88">
        <v>54700</v>
      </c>
      <c r="D815" s="74">
        <f t="shared" si="90"/>
        <v>151940</v>
      </c>
      <c r="E815" s="89">
        <f t="shared" si="94"/>
        <v>67538</v>
      </c>
      <c r="F815" s="468">
        <f t="shared" si="93"/>
        <v>44.45044096353824</v>
      </c>
      <c r="G815" s="89"/>
      <c r="H815" s="126"/>
      <c r="I815" s="466"/>
      <c r="J815" s="126"/>
      <c r="K815" s="89"/>
      <c r="L815" s="391"/>
      <c r="M815" s="88">
        <f>54700+16200+81040</f>
        <v>151940</v>
      </c>
      <c r="N815" s="89">
        <v>67538</v>
      </c>
      <c r="O815" s="442">
        <f t="shared" si="95"/>
        <v>44.45044096353824</v>
      </c>
      <c r="P815" s="89"/>
      <c r="Q815" s="89"/>
      <c r="R815" s="362"/>
    </row>
    <row r="816" spans="1:18" s="212" customFormat="1" ht="36" hidden="1">
      <c r="A816" s="124">
        <v>6060</v>
      </c>
      <c r="B816" s="128" t="s">
        <v>49</v>
      </c>
      <c r="C816" s="88"/>
      <c r="D816" s="74">
        <f t="shared" si="90"/>
        <v>0</v>
      </c>
      <c r="E816" s="89">
        <f t="shared" si="94"/>
        <v>0</v>
      </c>
      <c r="F816" s="468" t="e">
        <f t="shared" si="93"/>
        <v>#DIV/0!</v>
      </c>
      <c r="G816" s="89"/>
      <c r="H816" s="126"/>
      <c r="I816" s="466"/>
      <c r="J816" s="126"/>
      <c r="K816" s="89"/>
      <c r="L816" s="391"/>
      <c r="M816" s="88">
        <f>31100-31100</f>
        <v>0</v>
      </c>
      <c r="N816" s="155"/>
      <c r="O816" s="442"/>
      <c r="P816" s="89"/>
      <c r="Q816" s="89"/>
      <c r="R816" s="362"/>
    </row>
    <row r="817" spans="1:18" s="279" customFormat="1" ht="30" customHeight="1" hidden="1">
      <c r="A817" s="150">
        <v>80133</v>
      </c>
      <c r="B817" s="187" t="s">
        <v>67</v>
      </c>
      <c r="C817" s="94">
        <f>SUM(C818)</f>
        <v>0</v>
      </c>
      <c r="D817" s="95"/>
      <c r="E817" s="95"/>
      <c r="F817" s="467"/>
      <c r="G817" s="95"/>
      <c r="H817" s="171"/>
      <c r="I817" s="489"/>
      <c r="J817" s="171"/>
      <c r="K817" s="95"/>
      <c r="L817" s="417"/>
      <c r="M817" s="94"/>
      <c r="N817" s="95"/>
      <c r="O817" s="448"/>
      <c r="P817" s="95"/>
      <c r="Q817" s="95"/>
      <c r="R817" s="370"/>
    </row>
    <row r="818" spans="1:18" s="212" customFormat="1" ht="60" hidden="1">
      <c r="A818" s="124">
        <v>2540</v>
      </c>
      <c r="B818" s="128" t="s">
        <v>61</v>
      </c>
      <c r="C818" s="88">
        <v>0</v>
      </c>
      <c r="D818" s="74"/>
      <c r="E818" s="147"/>
      <c r="F818" s="467"/>
      <c r="G818" s="89"/>
      <c r="H818" s="126"/>
      <c r="I818" s="466"/>
      <c r="J818" s="126"/>
      <c r="K818" s="89"/>
      <c r="L818" s="391"/>
      <c r="M818" s="88"/>
      <c r="N818" s="89"/>
      <c r="O818" s="442"/>
      <c r="P818" s="89"/>
      <c r="Q818" s="89"/>
      <c r="R818" s="362"/>
    </row>
    <row r="819" spans="1:18" s="212" customFormat="1" ht="26.25" customHeight="1">
      <c r="A819" s="119">
        <v>80134</v>
      </c>
      <c r="B819" s="185" t="s">
        <v>68</v>
      </c>
      <c r="C819" s="121">
        <f>SUM(C820:C839)</f>
        <v>1257700</v>
      </c>
      <c r="D819" s="95">
        <f>G819+J819+P819+M819</f>
        <v>1253040</v>
      </c>
      <c r="E819" s="84">
        <f>H819+K819+Q819+N819</f>
        <v>662596</v>
      </c>
      <c r="F819" s="467">
        <f aca="true" t="shared" si="96" ref="F819:F864">E819/D819*100</f>
        <v>52.87907808210433</v>
      </c>
      <c r="G819" s="149"/>
      <c r="H819" s="148"/>
      <c r="I819" s="489"/>
      <c r="J819" s="148"/>
      <c r="K819" s="149"/>
      <c r="L819" s="406"/>
      <c r="M819" s="281">
        <f>SUM(M820:M839)</f>
        <v>1253040</v>
      </c>
      <c r="N819" s="84">
        <f>SUM(N820:N839)</f>
        <v>662596</v>
      </c>
      <c r="O819" s="448">
        <f aca="true" t="shared" si="97" ref="O819:O864">N819/M819*100</f>
        <v>52.87907808210433</v>
      </c>
      <c r="P819" s="84"/>
      <c r="Q819" s="84"/>
      <c r="R819" s="372"/>
    </row>
    <row r="820" spans="1:18" s="212" customFormat="1" ht="36">
      <c r="A820" s="108">
        <v>3020</v>
      </c>
      <c r="B820" s="199" t="s">
        <v>257</v>
      </c>
      <c r="C820" s="90">
        <v>3800</v>
      </c>
      <c r="D820" s="103">
        <f aca="true" t="shared" si="98" ref="D820:D834">G820+J820+P820+M820</f>
        <v>3800</v>
      </c>
      <c r="E820" s="104">
        <f aca="true" t="shared" si="99" ref="E820:E825">SUM(H820+K820+N820+Q820)</f>
        <v>550</v>
      </c>
      <c r="F820" s="470">
        <f t="shared" si="96"/>
        <v>14.473684210526317</v>
      </c>
      <c r="G820" s="104"/>
      <c r="H820" s="200"/>
      <c r="I820" s="490"/>
      <c r="J820" s="200"/>
      <c r="K820" s="104"/>
      <c r="L820" s="414"/>
      <c r="M820" s="90">
        <v>3800</v>
      </c>
      <c r="N820" s="104">
        <f>549+1</f>
        <v>550</v>
      </c>
      <c r="O820" s="464">
        <f t="shared" si="97"/>
        <v>14.473684210526317</v>
      </c>
      <c r="P820" s="104"/>
      <c r="Q820" s="104"/>
      <c r="R820" s="365"/>
    </row>
    <row r="821" spans="1:18" s="212" customFormat="1" ht="28.5" customHeight="1">
      <c r="A821" s="124">
        <v>4010</v>
      </c>
      <c r="B821" s="128" t="s">
        <v>492</v>
      </c>
      <c r="C821" s="88">
        <v>873800</v>
      </c>
      <c r="D821" s="74">
        <f t="shared" si="98"/>
        <v>877300</v>
      </c>
      <c r="E821" s="89">
        <f t="shared" si="99"/>
        <v>428988</v>
      </c>
      <c r="F821" s="468">
        <f t="shared" si="96"/>
        <v>48.89866636270375</v>
      </c>
      <c r="G821" s="89"/>
      <c r="H821" s="126"/>
      <c r="I821" s="466"/>
      <c r="J821" s="126"/>
      <c r="K821" s="89"/>
      <c r="L821" s="391"/>
      <c r="M821" s="88">
        <f>873800+3500</f>
        <v>877300</v>
      </c>
      <c r="N821" s="89">
        <v>428988</v>
      </c>
      <c r="O821" s="442">
        <f t="shared" si="97"/>
        <v>48.89866636270375</v>
      </c>
      <c r="P821" s="89"/>
      <c r="Q821" s="89"/>
      <c r="R821" s="362"/>
    </row>
    <row r="822" spans="1:18" s="212" customFormat="1" ht="24.75" customHeight="1">
      <c r="A822" s="124">
        <v>4040</v>
      </c>
      <c r="B822" s="128" t="s">
        <v>496</v>
      </c>
      <c r="C822" s="88">
        <v>67600</v>
      </c>
      <c r="D822" s="74">
        <f t="shared" si="98"/>
        <v>63840</v>
      </c>
      <c r="E822" s="89">
        <f t="shared" si="99"/>
        <v>63834</v>
      </c>
      <c r="F822" s="468">
        <f t="shared" si="96"/>
        <v>99.99060150375941</v>
      </c>
      <c r="G822" s="89"/>
      <c r="H822" s="126"/>
      <c r="I822" s="466"/>
      <c r="J822" s="126"/>
      <c r="K822" s="89"/>
      <c r="L822" s="391"/>
      <c r="M822" s="88">
        <f>67600-3760</f>
        <v>63840</v>
      </c>
      <c r="N822" s="89">
        <f>63835-1</f>
        <v>63834</v>
      </c>
      <c r="O822" s="442">
        <f t="shared" si="97"/>
        <v>99.99060150375941</v>
      </c>
      <c r="P822" s="89"/>
      <c r="Q822" s="89"/>
      <c r="R822" s="362"/>
    </row>
    <row r="823" spans="1:18" s="212" customFormat="1" ht="23.25" customHeight="1">
      <c r="A823" s="124">
        <v>4110</v>
      </c>
      <c r="B823" s="128" t="s">
        <v>498</v>
      </c>
      <c r="C823" s="88">
        <v>154000</v>
      </c>
      <c r="D823" s="74">
        <f t="shared" si="98"/>
        <v>154500</v>
      </c>
      <c r="E823" s="89">
        <f t="shared" si="99"/>
        <v>75537</v>
      </c>
      <c r="F823" s="468">
        <f t="shared" si="96"/>
        <v>48.89126213592233</v>
      </c>
      <c r="G823" s="89"/>
      <c r="H823" s="126"/>
      <c r="I823" s="466"/>
      <c r="J823" s="126"/>
      <c r="K823" s="89"/>
      <c r="L823" s="391"/>
      <c r="M823" s="88">
        <f>154000+500</f>
        <v>154500</v>
      </c>
      <c r="N823" s="89">
        <v>75537</v>
      </c>
      <c r="O823" s="442">
        <f t="shared" si="97"/>
        <v>48.89126213592233</v>
      </c>
      <c r="P823" s="89"/>
      <c r="Q823" s="89"/>
      <c r="R823" s="362"/>
    </row>
    <row r="824" spans="1:18" s="212" customFormat="1" ht="15" customHeight="1">
      <c r="A824" s="124">
        <v>4120</v>
      </c>
      <c r="B824" s="128" t="s">
        <v>571</v>
      </c>
      <c r="C824" s="88">
        <v>22900</v>
      </c>
      <c r="D824" s="74">
        <f t="shared" si="98"/>
        <v>23000</v>
      </c>
      <c r="E824" s="89">
        <f t="shared" si="99"/>
        <v>11302</v>
      </c>
      <c r="F824" s="468">
        <f t="shared" si="96"/>
        <v>49.13913043478261</v>
      </c>
      <c r="G824" s="89"/>
      <c r="H824" s="126"/>
      <c r="I824" s="466"/>
      <c r="J824" s="126"/>
      <c r="K824" s="89"/>
      <c r="L824" s="391"/>
      <c r="M824" s="88">
        <f>22900+100</f>
        <v>23000</v>
      </c>
      <c r="N824" s="89">
        <v>11302</v>
      </c>
      <c r="O824" s="442">
        <f t="shared" si="97"/>
        <v>49.13913043478261</v>
      </c>
      <c r="P824" s="89"/>
      <c r="Q824" s="89"/>
      <c r="R824" s="362"/>
    </row>
    <row r="825" spans="1:18" s="212" customFormat="1" ht="24.75" customHeight="1">
      <c r="A825" s="124">
        <v>4210</v>
      </c>
      <c r="B825" s="128" t="s">
        <v>502</v>
      </c>
      <c r="C825" s="88">
        <v>14000</v>
      </c>
      <c r="D825" s="74">
        <f t="shared" si="98"/>
        <v>17000</v>
      </c>
      <c r="E825" s="89">
        <f t="shared" si="99"/>
        <v>8187</v>
      </c>
      <c r="F825" s="468">
        <f t="shared" si="96"/>
        <v>48.15882352941176</v>
      </c>
      <c r="G825" s="89"/>
      <c r="H825" s="126"/>
      <c r="I825" s="466"/>
      <c r="J825" s="126"/>
      <c r="K825" s="89"/>
      <c r="L825" s="391"/>
      <c r="M825" s="88">
        <f>14000+3000</f>
        <v>17000</v>
      </c>
      <c r="N825" s="89">
        <v>8187</v>
      </c>
      <c r="O825" s="442">
        <f t="shared" si="97"/>
        <v>48.15882352941176</v>
      </c>
      <c r="P825" s="89"/>
      <c r="Q825" s="89"/>
      <c r="R825" s="362"/>
    </row>
    <row r="826" spans="1:18" s="212" customFormat="1" ht="37.5" customHeight="1">
      <c r="A826" s="124">
        <v>4240</v>
      </c>
      <c r="B826" s="128" t="s">
        <v>563</v>
      </c>
      <c r="C826" s="88">
        <v>2000</v>
      </c>
      <c r="D826" s="74">
        <f t="shared" si="98"/>
        <v>2000</v>
      </c>
      <c r="E826" s="74">
        <f>H826+K826+Q826+N826</f>
        <v>1369</v>
      </c>
      <c r="F826" s="468">
        <f t="shared" si="96"/>
        <v>68.45</v>
      </c>
      <c r="G826" s="89"/>
      <c r="H826" s="126"/>
      <c r="I826" s="466"/>
      <c r="J826" s="126"/>
      <c r="K826" s="89"/>
      <c r="L826" s="391"/>
      <c r="M826" s="88">
        <v>2000</v>
      </c>
      <c r="N826" s="89">
        <v>1369</v>
      </c>
      <c r="O826" s="442">
        <f t="shared" si="97"/>
        <v>68.45</v>
      </c>
      <c r="P826" s="89"/>
      <c r="Q826" s="89"/>
      <c r="R826" s="362"/>
    </row>
    <row r="827" spans="1:18" s="212" customFormat="1" ht="15.75" customHeight="1">
      <c r="A827" s="124">
        <v>4260</v>
      </c>
      <c r="B827" s="128" t="s">
        <v>506</v>
      </c>
      <c r="C827" s="88">
        <v>30000</v>
      </c>
      <c r="D827" s="74">
        <f t="shared" si="98"/>
        <v>30000</v>
      </c>
      <c r="E827" s="74">
        <f>H827+K827+Q827+N827</f>
        <v>23062</v>
      </c>
      <c r="F827" s="468">
        <f t="shared" si="96"/>
        <v>76.87333333333333</v>
      </c>
      <c r="G827" s="89"/>
      <c r="H827" s="126"/>
      <c r="I827" s="466"/>
      <c r="J827" s="126"/>
      <c r="K827" s="89"/>
      <c r="L827" s="391"/>
      <c r="M827" s="88">
        <v>30000</v>
      </c>
      <c r="N827" s="89">
        <v>23062</v>
      </c>
      <c r="O827" s="442">
        <f t="shared" si="97"/>
        <v>76.87333333333333</v>
      </c>
      <c r="P827" s="89"/>
      <c r="Q827" s="89"/>
      <c r="R827" s="362"/>
    </row>
    <row r="828" spans="1:18" s="212" customFormat="1" ht="19.5" customHeight="1">
      <c r="A828" s="124">
        <v>4270</v>
      </c>
      <c r="B828" s="128" t="s">
        <v>508</v>
      </c>
      <c r="C828" s="88">
        <v>1400</v>
      </c>
      <c r="D828" s="74">
        <f t="shared" si="98"/>
        <v>1400</v>
      </c>
      <c r="E828" s="74">
        <f>H828+K828+Q828+N828</f>
        <v>915</v>
      </c>
      <c r="F828" s="468">
        <f t="shared" si="96"/>
        <v>65.35714285714286</v>
      </c>
      <c r="G828" s="89"/>
      <c r="H828" s="126"/>
      <c r="I828" s="466"/>
      <c r="J828" s="126"/>
      <c r="K828" s="89"/>
      <c r="L828" s="391"/>
      <c r="M828" s="88">
        <v>1400</v>
      </c>
      <c r="N828" s="89">
        <v>915</v>
      </c>
      <c r="O828" s="442">
        <f t="shared" si="97"/>
        <v>65.35714285714286</v>
      </c>
      <c r="P828" s="89"/>
      <c r="Q828" s="89"/>
      <c r="R828" s="362"/>
    </row>
    <row r="829" spans="1:18" s="212" customFormat="1" ht="21.75" customHeight="1">
      <c r="A829" s="158">
        <v>4280</v>
      </c>
      <c r="B829" s="159" t="s">
        <v>545</v>
      </c>
      <c r="C829" s="160">
        <v>900</v>
      </c>
      <c r="D829" s="161">
        <f t="shared" si="98"/>
        <v>900</v>
      </c>
      <c r="E829" s="161">
        <f>H829+K829+Q829+N829</f>
        <v>213</v>
      </c>
      <c r="F829" s="469">
        <f t="shared" si="96"/>
        <v>23.666666666666668</v>
      </c>
      <c r="G829" s="155"/>
      <c r="H829" s="162"/>
      <c r="I829" s="479"/>
      <c r="J829" s="162"/>
      <c r="K829" s="155"/>
      <c r="L829" s="415"/>
      <c r="M829" s="160">
        <v>900</v>
      </c>
      <c r="N829" s="155">
        <v>213</v>
      </c>
      <c r="O829" s="462">
        <f t="shared" si="97"/>
        <v>23.666666666666668</v>
      </c>
      <c r="P829" s="155"/>
      <c r="Q829" s="155"/>
      <c r="R829" s="366"/>
    </row>
    <row r="830" spans="1:18" s="212" customFormat="1" ht="16.5" customHeight="1">
      <c r="A830" s="124">
        <v>4300</v>
      </c>
      <c r="B830" s="128" t="s">
        <v>510</v>
      </c>
      <c r="C830" s="88">
        <v>28400</v>
      </c>
      <c r="D830" s="74">
        <f t="shared" si="98"/>
        <v>30800</v>
      </c>
      <c r="E830" s="89">
        <f aca="true" t="shared" si="100" ref="E830:E839">SUM(H830+K830+N830+Q830)</f>
        <v>14176</v>
      </c>
      <c r="F830" s="468">
        <f t="shared" si="96"/>
        <v>46.02597402597402</v>
      </c>
      <c r="G830" s="89"/>
      <c r="H830" s="126"/>
      <c r="I830" s="466"/>
      <c r="J830" s="126"/>
      <c r="K830" s="89"/>
      <c r="L830" s="391"/>
      <c r="M830" s="88">
        <f>28400+2400</f>
        <v>30800</v>
      </c>
      <c r="N830" s="89">
        <v>14176</v>
      </c>
      <c r="O830" s="442">
        <f t="shared" si="97"/>
        <v>46.02597402597402</v>
      </c>
      <c r="P830" s="89"/>
      <c r="Q830" s="89"/>
      <c r="R830" s="362"/>
    </row>
    <row r="831" spans="1:18" s="212" customFormat="1" ht="24">
      <c r="A831" s="124">
        <v>4350</v>
      </c>
      <c r="B831" s="128" t="s">
        <v>48</v>
      </c>
      <c r="C831" s="88">
        <v>600</v>
      </c>
      <c r="D831" s="74">
        <f t="shared" si="98"/>
        <v>600</v>
      </c>
      <c r="E831" s="89">
        <f t="shared" si="100"/>
        <v>283</v>
      </c>
      <c r="F831" s="468">
        <f t="shared" si="96"/>
        <v>47.16666666666667</v>
      </c>
      <c r="G831" s="89"/>
      <c r="H831" s="126"/>
      <c r="I831" s="466"/>
      <c r="J831" s="126"/>
      <c r="K831" s="89"/>
      <c r="L831" s="391"/>
      <c r="M831" s="88">
        <v>600</v>
      </c>
      <c r="N831" s="89">
        <v>283</v>
      </c>
      <c r="O831" s="442">
        <f t="shared" si="97"/>
        <v>47.16666666666667</v>
      </c>
      <c r="P831" s="89"/>
      <c r="Q831" s="89"/>
      <c r="R831" s="362"/>
    </row>
    <row r="832" spans="1:18" s="212" customFormat="1" ht="48">
      <c r="A832" s="172">
        <v>4360</v>
      </c>
      <c r="B832" s="337" t="s">
        <v>297</v>
      </c>
      <c r="C832" s="88">
        <v>200</v>
      </c>
      <c r="D832" s="74">
        <f t="shared" si="98"/>
        <v>200</v>
      </c>
      <c r="E832" s="89">
        <f t="shared" si="100"/>
        <v>90</v>
      </c>
      <c r="F832" s="468">
        <f t="shared" si="96"/>
        <v>45</v>
      </c>
      <c r="G832" s="89"/>
      <c r="H832" s="126"/>
      <c r="I832" s="466"/>
      <c r="J832" s="126"/>
      <c r="K832" s="89"/>
      <c r="L832" s="391"/>
      <c r="M832" s="88">
        <v>200</v>
      </c>
      <c r="N832" s="89">
        <v>90</v>
      </c>
      <c r="O832" s="442">
        <f t="shared" si="97"/>
        <v>45</v>
      </c>
      <c r="P832" s="89"/>
      <c r="Q832" s="89"/>
      <c r="R832" s="362"/>
    </row>
    <row r="833" spans="1:18" s="212" customFormat="1" ht="48">
      <c r="A833" s="172">
        <v>4370</v>
      </c>
      <c r="B833" s="337" t="s">
        <v>298</v>
      </c>
      <c r="C833" s="88">
        <v>1400</v>
      </c>
      <c r="D833" s="74">
        <f t="shared" si="98"/>
        <v>1400</v>
      </c>
      <c r="E833" s="89">
        <f t="shared" si="100"/>
        <v>689</v>
      </c>
      <c r="F833" s="468">
        <f t="shared" si="96"/>
        <v>49.214285714285715</v>
      </c>
      <c r="G833" s="89"/>
      <c r="H833" s="126"/>
      <c r="I833" s="466"/>
      <c r="J833" s="126"/>
      <c r="K833" s="89"/>
      <c r="L833" s="391"/>
      <c r="M833" s="88">
        <v>1400</v>
      </c>
      <c r="N833" s="89">
        <v>689</v>
      </c>
      <c r="O833" s="442">
        <f t="shared" si="97"/>
        <v>49.214285714285715</v>
      </c>
      <c r="P833" s="89"/>
      <c r="Q833" s="89"/>
      <c r="R833" s="362"/>
    </row>
    <row r="834" spans="1:18" s="212" customFormat="1" ht="36">
      <c r="A834" s="124">
        <v>4390</v>
      </c>
      <c r="B834" s="206" t="s">
        <v>268</v>
      </c>
      <c r="C834" s="88">
        <v>1400</v>
      </c>
      <c r="D834" s="74">
        <f t="shared" si="98"/>
        <v>1400</v>
      </c>
      <c r="E834" s="89">
        <f t="shared" si="100"/>
        <v>1013</v>
      </c>
      <c r="F834" s="468">
        <f t="shared" si="96"/>
        <v>72.35714285714285</v>
      </c>
      <c r="G834" s="89"/>
      <c r="H834" s="126"/>
      <c r="I834" s="466"/>
      <c r="J834" s="126"/>
      <c r="K834" s="89"/>
      <c r="L834" s="391"/>
      <c r="M834" s="88">
        <v>1400</v>
      </c>
      <c r="N834" s="89">
        <v>1013</v>
      </c>
      <c r="O834" s="442">
        <f t="shared" si="97"/>
        <v>72.35714285714285</v>
      </c>
      <c r="P834" s="89"/>
      <c r="Q834" s="89"/>
      <c r="R834" s="362"/>
    </row>
    <row r="835" spans="1:18" s="212" customFormat="1" ht="16.5" customHeight="1">
      <c r="A835" s="124">
        <v>4410</v>
      </c>
      <c r="B835" s="128" t="s">
        <v>484</v>
      </c>
      <c r="C835" s="88">
        <v>900</v>
      </c>
      <c r="D835" s="74">
        <f>G835+J835+P835+M835</f>
        <v>900</v>
      </c>
      <c r="E835" s="89">
        <f t="shared" si="100"/>
        <v>783</v>
      </c>
      <c r="F835" s="468">
        <f t="shared" si="96"/>
        <v>87</v>
      </c>
      <c r="G835" s="89"/>
      <c r="H835" s="126"/>
      <c r="I835" s="466"/>
      <c r="J835" s="126"/>
      <c r="K835" s="89"/>
      <c r="L835" s="391"/>
      <c r="M835" s="88">
        <v>900</v>
      </c>
      <c r="N835" s="89">
        <f>784-1</f>
        <v>783</v>
      </c>
      <c r="O835" s="442">
        <f t="shared" si="97"/>
        <v>87</v>
      </c>
      <c r="P835" s="89"/>
      <c r="Q835" s="89"/>
      <c r="R835" s="362"/>
    </row>
    <row r="836" spans="1:18" s="212" customFormat="1" ht="12.75">
      <c r="A836" s="124">
        <v>4440</v>
      </c>
      <c r="B836" s="128" t="s">
        <v>514</v>
      </c>
      <c r="C836" s="88">
        <v>50700</v>
      </c>
      <c r="D836" s="74">
        <f>G836+J836+P836+M836</f>
        <v>40600</v>
      </c>
      <c r="E836" s="89">
        <f t="shared" si="100"/>
        <v>30600</v>
      </c>
      <c r="F836" s="468">
        <f t="shared" si="96"/>
        <v>75.36945812807882</v>
      </c>
      <c r="G836" s="89"/>
      <c r="H836" s="126"/>
      <c r="I836" s="466"/>
      <c r="J836" s="126"/>
      <c r="K836" s="89"/>
      <c r="L836" s="391"/>
      <c r="M836" s="88">
        <f>50700-12100+2000</f>
        <v>40600</v>
      </c>
      <c r="N836" s="89">
        <v>30600</v>
      </c>
      <c r="O836" s="442">
        <f t="shared" si="97"/>
        <v>75.36945812807882</v>
      </c>
      <c r="P836" s="89"/>
      <c r="Q836" s="89"/>
      <c r="R836" s="362"/>
    </row>
    <row r="837" spans="1:18" s="212" customFormat="1" ht="36">
      <c r="A837" s="172">
        <v>4700</v>
      </c>
      <c r="B837" s="337" t="s">
        <v>285</v>
      </c>
      <c r="C837" s="88">
        <v>1100</v>
      </c>
      <c r="D837" s="74">
        <f>G837+J837+P837+M837</f>
        <v>1100</v>
      </c>
      <c r="E837" s="89">
        <f t="shared" si="100"/>
        <v>522</v>
      </c>
      <c r="F837" s="468">
        <f t="shared" si="96"/>
        <v>47.45454545454545</v>
      </c>
      <c r="G837" s="89"/>
      <c r="H837" s="126"/>
      <c r="I837" s="466"/>
      <c r="J837" s="126"/>
      <c r="K837" s="89"/>
      <c r="L837" s="391"/>
      <c r="M837" s="88">
        <v>1100</v>
      </c>
      <c r="N837" s="89">
        <v>522</v>
      </c>
      <c r="O837" s="442">
        <f t="shared" si="97"/>
        <v>47.45454545454545</v>
      </c>
      <c r="P837" s="89"/>
      <c r="Q837" s="89"/>
      <c r="R837" s="362"/>
    </row>
    <row r="838" spans="1:18" s="212" customFormat="1" ht="60">
      <c r="A838" s="172">
        <v>4740</v>
      </c>
      <c r="B838" s="337" t="s">
        <v>290</v>
      </c>
      <c r="C838" s="88">
        <v>800</v>
      </c>
      <c r="D838" s="74">
        <f>G838+J838+P838+M838</f>
        <v>800</v>
      </c>
      <c r="E838" s="89">
        <f t="shared" si="100"/>
        <v>123</v>
      </c>
      <c r="F838" s="468">
        <f t="shared" si="96"/>
        <v>15.375</v>
      </c>
      <c r="G838" s="89"/>
      <c r="H838" s="126"/>
      <c r="I838" s="466"/>
      <c r="J838" s="126"/>
      <c r="K838" s="89"/>
      <c r="L838" s="391"/>
      <c r="M838" s="88">
        <v>800</v>
      </c>
      <c r="N838" s="89">
        <v>123</v>
      </c>
      <c r="O838" s="442">
        <f t="shared" si="97"/>
        <v>15.375</v>
      </c>
      <c r="P838" s="89"/>
      <c r="Q838" s="89"/>
      <c r="R838" s="362"/>
    </row>
    <row r="839" spans="1:18" s="212" customFormat="1" ht="36">
      <c r="A839" s="172">
        <v>4750</v>
      </c>
      <c r="B839" s="337" t="s">
        <v>291</v>
      </c>
      <c r="C839" s="88">
        <v>1800</v>
      </c>
      <c r="D839" s="161">
        <f aca="true" t="shared" si="101" ref="D839:E872">G839+J839+P839+M839</f>
        <v>1500</v>
      </c>
      <c r="E839" s="155">
        <f t="shared" si="100"/>
        <v>360</v>
      </c>
      <c r="F839" s="469">
        <f t="shared" si="96"/>
        <v>24</v>
      </c>
      <c r="G839" s="155"/>
      <c r="H839" s="162"/>
      <c r="I839" s="479"/>
      <c r="J839" s="162"/>
      <c r="K839" s="155"/>
      <c r="L839" s="415"/>
      <c r="M839" s="88">
        <f>1800-300</f>
        <v>1500</v>
      </c>
      <c r="N839" s="155">
        <v>360</v>
      </c>
      <c r="O839" s="442">
        <f t="shared" si="97"/>
        <v>24</v>
      </c>
      <c r="P839" s="155"/>
      <c r="Q839" s="155"/>
      <c r="R839" s="366"/>
    </row>
    <row r="840" spans="1:18" s="212" customFormat="1" ht="60">
      <c r="A840" s="119">
        <v>80140</v>
      </c>
      <c r="B840" s="185" t="s">
        <v>69</v>
      </c>
      <c r="C840" s="121">
        <f>SUM(C841:C864)</f>
        <v>2464400</v>
      </c>
      <c r="D840" s="95">
        <f t="shared" si="101"/>
        <v>2583091</v>
      </c>
      <c r="E840" s="84">
        <f>H840+K840+Q840+N840</f>
        <v>1348637</v>
      </c>
      <c r="F840" s="467">
        <f t="shared" si="96"/>
        <v>52.21020087948895</v>
      </c>
      <c r="G840" s="149"/>
      <c r="H840" s="148"/>
      <c r="I840" s="489"/>
      <c r="J840" s="148"/>
      <c r="K840" s="149"/>
      <c r="L840" s="406"/>
      <c r="M840" s="121">
        <f>SUM(M841:M864)</f>
        <v>2583091</v>
      </c>
      <c r="N840" s="84">
        <f>SUM(N841:N864)</f>
        <v>1348637</v>
      </c>
      <c r="O840" s="448">
        <f t="shared" si="97"/>
        <v>52.21020087948895</v>
      </c>
      <c r="P840" s="84"/>
      <c r="Q840" s="84"/>
      <c r="R840" s="372"/>
    </row>
    <row r="841" spans="1:18" s="212" customFormat="1" ht="36">
      <c r="A841" s="124">
        <v>3020</v>
      </c>
      <c r="B841" s="128" t="s">
        <v>257</v>
      </c>
      <c r="C841" s="88">
        <v>7000</v>
      </c>
      <c r="D841" s="74">
        <f t="shared" si="101"/>
        <v>14000</v>
      </c>
      <c r="E841" s="89">
        <f aca="true" t="shared" si="102" ref="E841:E864">SUM(H841+K841+N841+Q841)</f>
        <v>8425</v>
      </c>
      <c r="F841" s="468">
        <f t="shared" si="96"/>
        <v>60.17857142857142</v>
      </c>
      <c r="G841" s="89"/>
      <c r="H841" s="126"/>
      <c r="I841" s="466"/>
      <c r="J841" s="126"/>
      <c r="K841" s="89"/>
      <c r="L841" s="391"/>
      <c r="M841" s="88">
        <f>7000+7000</f>
        <v>14000</v>
      </c>
      <c r="N841" s="89">
        <v>8425</v>
      </c>
      <c r="O841" s="442">
        <f t="shared" si="97"/>
        <v>60.17857142857142</v>
      </c>
      <c r="P841" s="89"/>
      <c r="Q841" s="89"/>
      <c r="R841" s="362"/>
    </row>
    <row r="842" spans="1:18" s="212" customFormat="1" ht="24">
      <c r="A842" s="124">
        <v>4010</v>
      </c>
      <c r="B842" s="128" t="s">
        <v>492</v>
      </c>
      <c r="C842" s="88">
        <v>1560000</v>
      </c>
      <c r="D842" s="74">
        <f t="shared" si="101"/>
        <v>1560000</v>
      </c>
      <c r="E842" s="89">
        <f t="shared" si="102"/>
        <v>789679</v>
      </c>
      <c r="F842" s="468">
        <f t="shared" si="96"/>
        <v>50.62044871794872</v>
      </c>
      <c r="G842" s="89"/>
      <c r="H842" s="126"/>
      <c r="I842" s="466"/>
      <c r="J842" s="126"/>
      <c r="K842" s="89"/>
      <c r="L842" s="391"/>
      <c r="M842" s="88">
        <v>1560000</v>
      </c>
      <c r="N842" s="89">
        <v>789679</v>
      </c>
      <c r="O842" s="442">
        <f t="shared" si="97"/>
        <v>50.62044871794872</v>
      </c>
      <c r="P842" s="89"/>
      <c r="Q842" s="89"/>
      <c r="R842" s="362"/>
    </row>
    <row r="843" spans="1:18" s="212" customFormat="1" ht="24">
      <c r="A843" s="124">
        <v>4040</v>
      </c>
      <c r="B843" s="128" t="s">
        <v>496</v>
      </c>
      <c r="C843" s="88">
        <v>130000</v>
      </c>
      <c r="D843" s="74">
        <f t="shared" si="101"/>
        <v>131414</v>
      </c>
      <c r="E843" s="89">
        <f t="shared" si="102"/>
        <v>131414</v>
      </c>
      <c r="F843" s="468">
        <f t="shared" si="96"/>
        <v>100</v>
      </c>
      <c r="G843" s="89"/>
      <c r="H843" s="126"/>
      <c r="I843" s="466"/>
      <c r="J843" s="126"/>
      <c r="K843" s="89"/>
      <c r="L843" s="391"/>
      <c r="M843" s="88">
        <f>130000+1414</f>
        <v>131414</v>
      </c>
      <c r="N843" s="89">
        <v>131414</v>
      </c>
      <c r="O843" s="442">
        <f t="shared" si="97"/>
        <v>100</v>
      </c>
      <c r="P843" s="89"/>
      <c r="Q843" s="89"/>
      <c r="R843" s="362"/>
    </row>
    <row r="844" spans="1:18" s="212" customFormat="1" ht="24">
      <c r="A844" s="124">
        <v>4110</v>
      </c>
      <c r="B844" s="128" t="s">
        <v>498</v>
      </c>
      <c r="C844" s="88">
        <v>280000</v>
      </c>
      <c r="D844" s="74">
        <f t="shared" si="101"/>
        <v>280000</v>
      </c>
      <c r="E844" s="89">
        <f t="shared" si="102"/>
        <v>141514</v>
      </c>
      <c r="F844" s="468">
        <f t="shared" si="96"/>
        <v>50.54071428571428</v>
      </c>
      <c r="G844" s="89"/>
      <c r="H844" s="126"/>
      <c r="I844" s="466"/>
      <c r="J844" s="126"/>
      <c r="K844" s="89"/>
      <c r="L844" s="391"/>
      <c r="M844" s="88">
        <v>280000</v>
      </c>
      <c r="N844" s="89">
        <v>141514</v>
      </c>
      <c r="O844" s="442">
        <f t="shared" si="97"/>
        <v>50.54071428571428</v>
      </c>
      <c r="P844" s="89"/>
      <c r="Q844" s="89"/>
      <c r="R844" s="362"/>
    </row>
    <row r="845" spans="1:18" s="212" customFormat="1" ht="12.75">
      <c r="A845" s="124">
        <v>4120</v>
      </c>
      <c r="B845" s="128" t="s">
        <v>571</v>
      </c>
      <c r="C845" s="88">
        <v>41000</v>
      </c>
      <c r="D845" s="74">
        <f t="shared" si="101"/>
        <v>41000</v>
      </c>
      <c r="E845" s="89">
        <f t="shared" si="102"/>
        <v>22168</v>
      </c>
      <c r="F845" s="468">
        <f t="shared" si="96"/>
        <v>54.06829268292683</v>
      </c>
      <c r="G845" s="89"/>
      <c r="H845" s="126"/>
      <c r="I845" s="466"/>
      <c r="J845" s="126"/>
      <c r="K845" s="89"/>
      <c r="L845" s="391"/>
      <c r="M845" s="88">
        <v>41000</v>
      </c>
      <c r="N845" s="89">
        <v>22168</v>
      </c>
      <c r="O845" s="442">
        <f t="shared" si="97"/>
        <v>54.06829268292683</v>
      </c>
      <c r="P845" s="89"/>
      <c r="Q845" s="89"/>
      <c r="R845" s="362"/>
    </row>
    <row r="846" spans="1:18" s="212" customFormat="1" ht="12.75">
      <c r="A846" s="158">
        <v>4140</v>
      </c>
      <c r="B846" s="159" t="s">
        <v>544</v>
      </c>
      <c r="C846" s="160">
        <v>28300</v>
      </c>
      <c r="D846" s="161">
        <f t="shared" si="101"/>
        <v>28300</v>
      </c>
      <c r="E846" s="155">
        <f>SUM(H846+K846+N846+Q846)</f>
        <v>6227</v>
      </c>
      <c r="F846" s="469">
        <f>E846/D846*100</f>
        <v>22.003533568904594</v>
      </c>
      <c r="G846" s="155"/>
      <c r="H846" s="162"/>
      <c r="I846" s="479"/>
      <c r="J846" s="162"/>
      <c r="K846" s="155"/>
      <c r="L846" s="415"/>
      <c r="M846" s="160">
        <v>28300</v>
      </c>
      <c r="N846" s="155">
        <v>6227</v>
      </c>
      <c r="O846" s="462">
        <f t="shared" si="97"/>
        <v>22.003533568904594</v>
      </c>
      <c r="P846" s="155"/>
      <c r="Q846" s="155"/>
      <c r="R846" s="366"/>
    </row>
    <row r="847" spans="1:18" s="212" customFormat="1" ht="24">
      <c r="A847" s="124">
        <v>4210</v>
      </c>
      <c r="B847" s="128" t="s">
        <v>502</v>
      </c>
      <c r="C847" s="88">
        <v>30000</v>
      </c>
      <c r="D847" s="74">
        <f t="shared" si="101"/>
        <v>30000</v>
      </c>
      <c r="E847" s="89">
        <f t="shared" si="102"/>
        <v>19914</v>
      </c>
      <c r="F847" s="468">
        <f t="shared" si="96"/>
        <v>66.38</v>
      </c>
      <c r="G847" s="89"/>
      <c r="H847" s="126"/>
      <c r="I847" s="466"/>
      <c r="J847" s="126"/>
      <c r="K847" s="89"/>
      <c r="L847" s="391"/>
      <c r="M847" s="88">
        <v>30000</v>
      </c>
      <c r="N847" s="89">
        <v>19914</v>
      </c>
      <c r="O847" s="442">
        <f t="shared" si="97"/>
        <v>66.38</v>
      </c>
      <c r="P847" s="89"/>
      <c r="Q847" s="89"/>
      <c r="R847" s="362"/>
    </row>
    <row r="848" spans="1:18" s="212" customFormat="1" ht="36">
      <c r="A848" s="124">
        <v>4240</v>
      </c>
      <c r="B848" s="128" t="s">
        <v>563</v>
      </c>
      <c r="C848" s="88">
        <v>10000</v>
      </c>
      <c r="D848" s="74">
        <f t="shared" si="101"/>
        <v>10000</v>
      </c>
      <c r="E848" s="89">
        <f t="shared" si="102"/>
        <v>2607</v>
      </c>
      <c r="F848" s="468">
        <f t="shared" si="96"/>
        <v>26.07</v>
      </c>
      <c r="G848" s="89"/>
      <c r="H848" s="126"/>
      <c r="I848" s="466"/>
      <c r="J848" s="126"/>
      <c r="K848" s="89"/>
      <c r="L848" s="391"/>
      <c r="M848" s="88">
        <v>10000</v>
      </c>
      <c r="N848" s="89">
        <v>2607</v>
      </c>
      <c r="O848" s="442">
        <f t="shared" si="97"/>
        <v>26.07</v>
      </c>
      <c r="P848" s="89"/>
      <c r="Q848" s="89"/>
      <c r="R848" s="362"/>
    </row>
    <row r="849" spans="1:18" s="212" customFormat="1" ht="12.75">
      <c r="A849" s="124">
        <v>4260</v>
      </c>
      <c r="B849" s="128" t="s">
        <v>506</v>
      </c>
      <c r="C849" s="88">
        <v>180000</v>
      </c>
      <c r="D849" s="74">
        <f t="shared" si="101"/>
        <v>180000</v>
      </c>
      <c r="E849" s="89">
        <f t="shared" si="102"/>
        <v>111027</v>
      </c>
      <c r="F849" s="468">
        <f t="shared" si="96"/>
        <v>61.681666666666665</v>
      </c>
      <c r="G849" s="89"/>
      <c r="H849" s="126"/>
      <c r="I849" s="466"/>
      <c r="J849" s="126"/>
      <c r="K849" s="89"/>
      <c r="L849" s="391"/>
      <c r="M849" s="88">
        <v>180000</v>
      </c>
      <c r="N849" s="89">
        <v>111027</v>
      </c>
      <c r="O849" s="442">
        <f t="shared" si="97"/>
        <v>61.681666666666665</v>
      </c>
      <c r="P849" s="89"/>
      <c r="Q849" s="89"/>
      <c r="R849" s="362"/>
    </row>
    <row r="850" spans="1:18" s="212" customFormat="1" ht="14.25" customHeight="1">
      <c r="A850" s="124">
        <v>4270</v>
      </c>
      <c r="B850" s="128" t="s">
        <v>508</v>
      </c>
      <c r="C850" s="88">
        <v>10000</v>
      </c>
      <c r="D850" s="74">
        <f t="shared" si="101"/>
        <v>10000</v>
      </c>
      <c r="E850" s="89">
        <f t="shared" si="102"/>
        <v>3269</v>
      </c>
      <c r="F850" s="468">
        <f t="shared" si="96"/>
        <v>32.690000000000005</v>
      </c>
      <c r="G850" s="89"/>
      <c r="H850" s="126"/>
      <c r="I850" s="466"/>
      <c r="J850" s="126"/>
      <c r="K850" s="89"/>
      <c r="L850" s="391"/>
      <c r="M850" s="88">
        <v>10000</v>
      </c>
      <c r="N850" s="89">
        <v>3269</v>
      </c>
      <c r="O850" s="442">
        <f t="shared" si="97"/>
        <v>32.690000000000005</v>
      </c>
      <c r="P850" s="89"/>
      <c r="Q850" s="89"/>
      <c r="R850" s="362"/>
    </row>
    <row r="851" spans="1:18" s="212" customFormat="1" ht="24">
      <c r="A851" s="124">
        <v>4280</v>
      </c>
      <c r="B851" s="128" t="s">
        <v>545</v>
      </c>
      <c r="C851" s="88">
        <v>1500</v>
      </c>
      <c r="D851" s="74">
        <f t="shared" si="101"/>
        <v>1500</v>
      </c>
      <c r="E851" s="89">
        <f t="shared" si="102"/>
        <v>791</v>
      </c>
      <c r="F851" s="468">
        <f t="shared" si="96"/>
        <v>52.733333333333334</v>
      </c>
      <c r="G851" s="89"/>
      <c r="H851" s="126"/>
      <c r="I851" s="466"/>
      <c r="J851" s="126"/>
      <c r="K851" s="89"/>
      <c r="L851" s="391"/>
      <c r="M851" s="88">
        <v>1500</v>
      </c>
      <c r="N851" s="89">
        <v>791</v>
      </c>
      <c r="O851" s="442">
        <f t="shared" si="97"/>
        <v>52.733333333333334</v>
      </c>
      <c r="P851" s="89"/>
      <c r="Q851" s="89"/>
      <c r="R851" s="362"/>
    </row>
    <row r="852" spans="1:18" s="212" customFormat="1" ht="24">
      <c r="A852" s="124">
        <v>4300</v>
      </c>
      <c r="B852" s="128" t="s">
        <v>510</v>
      </c>
      <c r="C852" s="88">
        <v>16000</v>
      </c>
      <c r="D852" s="74">
        <f t="shared" si="101"/>
        <v>16000</v>
      </c>
      <c r="E852" s="89">
        <f t="shared" si="102"/>
        <v>9792</v>
      </c>
      <c r="F852" s="468">
        <f t="shared" si="96"/>
        <v>61.199999999999996</v>
      </c>
      <c r="G852" s="89"/>
      <c r="H852" s="126"/>
      <c r="I852" s="466"/>
      <c r="J852" s="126"/>
      <c r="K852" s="89"/>
      <c r="L852" s="391"/>
      <c r="M852" s="88">
        <v>16000</v>
      </c>
      <c r="N852" s="89">
        <v>9792</v>
      </c>
      <c r="O852" s="442">
        <f t="shared" si="97"/>
        <v>61.199999999999996</v>
      </c>
      <c r="P852" s="89"/>
      <c r="Q852" s="89"/>
      <c r="R852" s="362"/>
    </row>
    <row r="853" spans="1:18" s="212" customFormat="1" ht="24">
      <c r="A853" s="124">
        <v>4350</v>
      </c>
      <c r="B853" s="128" t="s">
        <v>48</v>
      </c>
      <c r="C853" s="88">
        <v>6700</v>
      </c>
      <c r="D853" s="74">
        <f t="shared" si="101"/>
        <v>6700</v>
      </c>
      <c r="E853" s="89">
        <f t="shared" si="102"/>
        <v>3270</v>
      </c>
      <c r="F853" s="468">
        <f t="shared" si="96"/>
        <v>48.80597014925373</v>
      </c>
      <c r="G853" s="89"/>
      <c r="H853" s="126"/>
      <c r="I853" s="466"/>
      <c r="J853" s="126"/>
      <c r="K853" s="89"/>
      <c r="L853" s="391"/>
      <c r="M853" s="88">
        <v>6700</v>
      </c>
      <c r="N853" s="89">
        <v>3270</v>
      </c>
      <c r="O853" s="442">
        <f t="shared" si="97"/>
        <v>48.80597014925373</v>
      </c>
      <c r="P853" s="89"/>
      <c r="Q853" s="89"/>
      <c r="R853" s="362"/>
    </row>
    <row r="854" spans="1:18" s="212" customFormat="1" ht="48">
      <c r="A854" s="172">
        <v>4360</v>
      </c>
      <c r="B854" s="337" t="s">
        <v>297</v>
      </c>
      <c r="C854" s="88">
        <v>1300</v>
      </c>
      <c r="D854" s="74">
        <f t="shared" si="101"/>
        <v>1300</v>
      </c>
      <c r="E854" s="89">
        <f>SUM(H854+K854+N854+Q854)</f>
        <v>613</v>
      </c>
      <c r="F854" s="468">
        <f>E854/D854*100</f>
        <v>47.15384615384615</v>
      </c>
      <c r="G854" s="89"/>
      <c r="H854" s="126"/>
      <c r="I854" s="466"/>
      <c r="J854" s="126"/>
      <c r="K854" s="89"/>
      <c r="L854" s="391"/>
      <c r="M854" s="88">
        <v>1300</v>
      </c>
      <c r="N854" s="89">
        <v>613</v>
      </c>
      <c r="O854" s="442">
        <f t="shared" si="97"/>
        <v>47.15384615384615</v>
      </c>
      <c r="P854" s="89"/>
      <c r="Q854" s="89"/>
      <c r="R854" s="362"/>
    </row>
    <row r="855" spans="1:18" s="212" customFormat="1" ht="48">
      <c r="A855" s="172">
        <v>4370</v>
      </c>
      <c r="B855" s="337" t="s">
        <v>298</v>
      </c>
      <c r="C855" s="88">
        <v>13000</v>
      </c>
      <c r="D855" s="74">
        <f t="shared" si="101"/>
        <v>13000</v>
      </c>
      <c r="E855" s="89">
        <f>SUM(H855+K855+N855+Q855)</f>
        <v>5343</v>
      </c>
      <c r="F855" s="468">
        <f>E855/D855*100</f>
        <v>41.099999999999994</v>
      </c>
      <c r="G855" s="89"/>
      <c r="H855" s="126"/>
      <c r="I855" s="466"/>
      <c r="J855" s="126"/>
      <c r="K855" s="89"/>
      <c r="L855" s="391"/>
      <c r="M855" s="88">
        <v>13000</v>
      </c>
      <c r="N855" s="89">
        <v>5343</v>
      </c>
      <c r="O855" s="442">
        <f t="shared" si="97"/>
        <v>41.099999999999994</v>
      </c>
      <c r="P855" s="89"/>
      <c r="Q855" s="89"/>
      <c r="R855" s="362"/>
    </row>
    <row r="856" spans="1:18" s="212" customFormat="1" ht="36">
      <c r="A856" s="124">
        <v>4390</v>
      </c>
      <c r="B856" s="206" t="s">
        <v>268</v>
      </c>
      <c r="C856" s="88">
        <v>4000</v>
      </c>
      <c r="D856" s="74">
        <f t="shared" si="101"/>
        <v>4000</v>
      </c>
      <c r="E856" s="89">
        <f>SUM(H856+K856+N856+Q856)</f>
        <v>0</v>
      </c>
      <c r="F856" s="468">
        <f>E856/D856*100</f>
        <v>0</v>
      </c>
      <c r="G856" s="89"/>
      <c r="H856" s="126"/>
      <c r="I856" s="466"/>
      <c r="J856" s="126"/>
      <c r="K856" s="89"/>
      <c r="L856" s="391"/>
      <c r="M856" s="88">
        <v>4000</v>
      </c>
      <c r="N856" s="89"/>
      <c r="O856" s="442">
        <f t="shared" si="97"/>
        <v>0</v>
      </c>
      <c r="P856" s="89"/>
      <c r="Q856" s="89"/>
      <c r="R856" s="362"/>
    </row>
    <row r="857" spans="1:18" s="212" customFormat="1" ht="24">
      <c r="A857" s="124">
        <v>4410</v>
      </c>
      <c r="B857" s="128" t="s">
        <v>484</v>
      </c>
      <c r="C857" s="88">
        <v>1500</v>
      </c>
      <c r="D857" s="74">
        <f t="shared" si="101"/>
        <v>1500</v>
      </c>
      <c r="E857" s="89">
        <f t="shared" si="102"/>
        <v>0</v>
      </c>
      <c r="F857" s="468">
        <f t="shared" si="96"/>
        <v>0</v>
      </c>
      <c r="G857" s="89"/>
      <c r="H857" s="126"/>
      <c r="I857" s="466"/>
      <c r="J857" s="126"/>
      <c r="K857" s="89"/>
      <c r="L857" s="391"/>
      <c r="M857" s="88">
        <v>1500</v>
      </c>
      <c r="N857" s="89"/>
      <c r="O857" s="442">
        <f t="shared" si="97"/>
        <v>0</v>
      </c>
      <c r="P857" s="89"/>
      <c r="Q857" s="89"/>
      <c r="R857" s="362"/>
    </row>
    <row r="858" spans="1:18" s="212" customFormat="1" ht="12.75" hidden="1">
      <c r="A858" s="124">
        <v>4430</v>
      </c>
      <c r="B858" s="128" t="s">
        <v>512</v>
      </c>
      <c r="C858" s="88"/>
      <c r="D858" s="74">
        <f t="shared" si="101"/>
        <v>0</v>
      </c>
      <c r="E858" s="89">
        <f t="shared" si="102"/>
        <v>0</v>
      </c>
      <c r="F858" s="468" t="e">
        <f t="shared" si="96"/>
        <v>#DIV/0!</v>
      </c>
      <c r="G858" s="89"/>
      <c r="H858" s="126"/>
      <c r="I858" s="466"/>
      <c r="J858" s="126"/>
      <c r="K858" s="89"/>
      <c r="L858" s="391"/>
      <c r="M858" s="88"/>
      <c r="N858" s="89"/>
      <c r="O858" s="442" t="e">
        <f t="shared" si="97"/>
        <v>#DIV/0!</v>
      </c>
      <c r="P858" s="89"/>
      <c r="Q858" s="89"/>
      <c r="R858" s="362"/>
    </row>
    <row r="859" spans="1:18" s="212" customFormat="1" ht="12.75">
      <c r="A859" s="124">
        <v>4440</v>
      </c>
      <c r="B859" s="128" t="s">
        <v>514</v>
      </c>
      <c r="C859" s="88">
        <v>94000</v>
      </c>
      <c r="D859" s="74">
        <f t="shared" si="101"/>
        <v>98277</v>
      </c>
      <c r="E859" s="89">
        <f t="shared" si="102"/>
        <v>79851</v>
      </c>
      <c r="F859" s="468">
        <f t="shared" si="96"/>
        <v>81.25095393632284</v>
      </c>
      <c r="G859" s="89"/>
      <c r="H859" s="126"/>
      <c r="I859" s="466"/>
      <c r="J859" s="126"/>
      <c r="K859" s="89"/>
      <c r="L859" s="391"/>
      <c r="M859" s="88">
        <f>94000+4277</f>
        <v>98277</v>
      </c>
      <c r="N859" s="89">
        <v>79851</v>
      </c>
      <c r="O859" s="442">
        <f t="shared" si="97"/>
        <v>81.25095393632284</v>
      </c>
      <c r="P859" s="89"/>
      <c r="Q859" s="89"/>
      <c r="R859" s="362"/>
    </row>
    <row r="860" spans="1:18" s="212" customFormat="1" ht="36">
      <c r="A860" s="172">
        <v>4700</v>
      </c>
      <c r="B860" s="337" t="s">
        <v>285</v>
      </c>
      <c r="C860" s="88">
        <v>5000</v>
      </c>
      <c r="D860" s="74">
        <f t="shared" si="101"/>
        <v>5000</v>
      </c>
      <c r="E860" s="89">
        <f t="shared" si="102"/>
        <v>3076</v>
      </c>
      <c r="F860" s="468">
        <f t="shared" si="96"/>
        <v>61.519999999999996</v>
      </c>
      <c r="G860" s="89"/>
      <c r="H860" s="126"/>
      <c r="I860" s="466"/>
      <c r="J860" s="126"/>
      <c r="K860" s="89"/>
      <c r="L860" s="391"/>
      <c r="M860" s="88">
        <v>5000</v>
      </c>
      <c r="N860" s="89">
        <v>3076</v>
      </c>
      <c r="O860" s="442">
        <f t="shared" si="97"/>
        <v>61.519999999999996</v>
      </c>
      <c r="P860" s="89"/>
      <c r="Q860" s="89"/>
      <c r="R860" s="362"/>
    </row>
    <row r="861" spans="1:18" s="212" customFormat="1" ht="60">
      <c r="A861" s="172">
        <v>4740</v>
      </c>
      <c r="B861" s="337" t="s">
        <v>290</v>
      </c>
      <c r="C861" s="88">
        <v>2700</v>
      </c>
      <c r="D861" s="74">
        <f t="shared" si="101"/>
        <v>2700</v>
      </c>
      <c r="E861" s="89">
        <f t="shared" si="102"/>
        <v>1125</v>
      </c>
      <c r="F861" s="468">
        <f t="shared" si="96"/>
        <v>41.66666666666667</v>
      </c>
      <c r="G861" s="89"/>
      <c r="H861" s="126"/>
      <c r="I861" s="466"/>
      <c r="J861" s="126"/>
      <c r="K861" s="89"/>
      <c r="L861" s="391"/>
      <c r="M861" s="88">
        <v>2700</v>
      </c>
      <c r="N861" s="89">
        <f>1124+1</f>
        <v>1125</v>
      </c>
      <c r="O861" s="442">
        <f t="shared" si="97"/>
        <v>41.66666666666667</v>
      </c>
      <c r="P861" s="89"/>
      <c r="Q861" s="89"/>
      <c r="R861" s="362"/>
    </row>
    <row r="862" spans="1:18" s="212" customFormat="1" ht="36">
      <c r="A862" s="172">
        <v>4750</v>
      </c>
      <c r="B862" s="337" t="s">
        <v>291</v>
      </c>
      <c r="C862" s="88">
        <v>10000</v>
      </c>
      <c r="D862" s="74">
        <f t="shared" si="101"/>
        <v>10000</v>
      </c>
      <c r="E862" s="89">
        <f t="shared" si="102"/>
        <v>4433</v>
      </c>
      <c r="F862" s="468">
        <f t="shared" si="96"/>
        <v>44.330000000000005</v>
      </c>
      <c r="G862" s="89"/>
      <c r="H862" s="126"/>
      <c r="I862" s="466"/>
      <c r="J862" s="126"/>
      <c r="K862" s="89"/>
      <c r="L862" s="391"/>
      <c r="M862" s="88">
        <v>10000</v>
      </c>
      <c r="N862" s="89">
        <v>4433</v>
      </c>
      <c r="O862" s="442">
        <f t="shared" si="97"/>
        <v>44.330000000000005</v>
      </c>
      <c r="P862" s="89"/>
      <c r="Q862" s="89"/>
      <c r="R862" s="362"/>
    </row>
    <row r="863" spans="1:18" s="212" customFormat="1" ht="24">
      <c r="A863" s="172">
        <v>6050</v>
      </c>
      <c r="B863" s="128" t="s">
        <v>574</v>
      </c>
      <c r="C863" s="88">
        <v>28300</v>
      </c>
      <c r="D863" s="74">
        <f>G863+J863+P863+M863</f>
        <v>134300</v>
      </c>
      <c r="E863" s="89">
        <f t="shared" si="102"/>
        <v>0</v>
      </c>
      <c r="F863" s="468">
        <f t="shared" si="96"/>
        <v>0</v>
      </c>
      <c r="G863" s="89"/>
      <c r="H863" s="126"/>
      <c r="I863" s="466"/>
      <c r="J863" s="126"/>
      <c r="K863" s="89"/>
      <c r="L863" s="391"/>
      <c r="M863" s="88">
        <f>28300+106000</f>
        <v>134300</v>
      </c>
      <c r="N863" s="89"/>
      <c r="O863" s="442">
        <f t="shared" si="97"/>
        <v>0</v>
      </c>
      <c r="P863" s="89"/>
      <c r="Q863" s="89"/>
      <c r="R863" s="362"/>
    </row>
    <row r="864" spans="1:18" s="212" customFormat="1" ht="36">
      <c r="A864" s="158">
        <v>6060</v>
      </c>
      <c r="B864" s="159" t="s">
        <v>49</v>
      </c>
      <c r="C864" s="160">
        <v>4100</v>
      </c>
      <c r="D864" s="161">
        <f t="shared" si="101"/>
        <v>4100</v>
      </c>
      <c r="E864" s="155">
        <f t="shared" si="102"/>
        <v>4099</v>
      </c>
      <c r="F864" s="469">
        <f t="shared" si="96"/>
        <v>99.97560975609755</v>
      </c>
      <c r="G864" s="155"/>
      <c r="H864" s="162"/>
      <c r="I864" s="479"/>
      <c r="J864" s="162"/>
      <c r="K864" s="155"/>
      <c r="L864" s="415"/>
      <c r="M864" s="160">
        <v>4100</v>
      </c>
      <c r="N864" s="155">
        <v>4099</v>
      </c>
      <c r="O864" s="462">
        <f t="shared" si="97"/>
        <v>99.97560975609755</v>
      </c>
      <c r="P864" s="155"/>
      <c r="Q864" s="155"/>
      <c r="R864" s="366"/>
    </row>
    <row r="865" spans="1:18" s="279" customFormat="1" ht="15" customHeight="1" hidden="1">
      <c r="A865" s="150">
        <v>80145</v>
      </c>
      <c r="B865" s="187" t="s">
        <v>70</v>
      </c>
      <c r="C865" s="94">
        <f>SUM(C867)</f>
        <v>0</v>
      </c>
      <c r="D865" s="95">
        <f t="shared" si="101"/>
        <v>0</v>
      </c>
      <c r="E865" s="95">
        <f>H865+K865+Q865+N865</f>
        <v>0</v>
      </c>
      <c r="F865" s="467" t="e">
        <f>E865/D865*100</f>
        <v>#DIV/0!</v>
      </c>
      <c r="G865" s="282">
        <f>SUM(G866:G867)</f>
        <v>0</v>
      </c>
      <c r="H865" s="95">
        <f>SUM(H866:H867)</f>
        <v>0</v>
      </c>
      <c r="I865" s="448" t="e">
        <f>H865/G865*100</f>
        <v>#DIV/0!</v>
      </c>
      <c r="J865" s="171"/>
      <c r="K865" s="95"/>
      <c r="L865" s="417"/>
      <c r="M865" s="94">
        <f>SUM(M866:M867)</f>
        <v>0</v>
      </c>
      <c r="N865" s="95">
        <f>SUM(N866:N867)</f>
        <v>0</v>
      </c>
      <c r="O865" s="316" t="e">
        <f>N865/M865*100</f>
        <v>#DIV/0!</v>
      </c>
      <c r="P865" s="95"/>
      <c r="Q865" s="95"/>
      <c r="R865" s="370"/>
    </row>
    <row r="866" spans="1:18" s="11" customFormat="1" ht="24" hidden="1">
      <c r="A866" s="194">
        <v>4170</v>
      </c>
      <c r="B866" s="195" t="s">
        <v>536</v>
      </c>
      <c r="C866" s="102"/>
      <c r="D866" s="103">
        <f t="shared" si="101"/>
        <v>0</v>
      </c>
      <c r="E866" s="104">
        <f>SUM(H866+K866+N866+Q866)</f>
        <v>0</v>
      </c>
      <c r="F866" s="470" t="e">
        <f>E866/D866*100</f>
        <v>#DIV/0!</v>
      </c>
      <c r="G866" s="102"/>
      <c r="H866" s="196"/>
      <c r="I866" s="464" t="e">
        <f>H866/G866*100</f>
        <v>#DIV/0!</v>
      </c>
      <c r="J866" s="196"/>
      <c r="K866" s="103"/>
      <c r="L866" s="414"/>
      <c r="M866" s="102"/>
      <c r="N866" s="103"/>
      <c r="O866" s="304" t="e">
        <f>N866/M866*100</f>
        <v>#DIV/0!</v>
      </c>
      <c r="P866" s="103"/>
      <c r="Q866" s="103"/>
      <c r="R866" s="365"/>
    </row>
    <row r="867" spans="1:18" s="212" customFormat="1" ht="14.25" customHeight="1" hidden="1">
      <c r="A867" s="158">
        <v>4300</v>
      </c>
      <c r="B867" s="159" t="s">
        <v>510</v>
      </c>
      <c r="C867" s="160"/>
      <c r="D867" s="161">
        <f t="shared" si="101"/>
        <v>0</v>
      </c>
      <c r="E867" s="155">
        <f>SUM(H867+K867+N867+Q867)</f>
        <v>0</v>
      </c>
      <c r="F867" s="469"/>
      <c r="G867" s="155">
        <f>7000-7000</f>
        <v>0</v>
      </c>
      <c r="H867" s="162"/>
      <c r="I867" s="462"/>
      <c r="J867" s="162"/>
      <c r="K867" s="155"/>
      <c r="L867" s="415"/>
      <c r="M867" s="160">
        <f>5000-5000</f>
        <v>0</v>
      </c>
      <c r="N867" s="155"/>
      <c r="O867" s="274"/>
      <c r="P867" s="155"/>
      <c r="Q867" s="155"/>
      <c r="R867" s="366"/>
    </row>
    <row r="868" spans="1:18" s="279" customFormat="1" ht="30" customHeight="1">
      <c r="A868" s="150">
        <v>80146</v>
      </c>
      <c r="B868" s="187" t="s">
        <v>71</v>
      </c>
      <c r="C868" s="94">
        <f>SUM(C869:C883)</f>
        <v>595800</v>
      </c>
      <c r="D868" s="95">
        <f t="shared" si="101"/>
        <v>538153</v>
      </c>
      <c r="E868" s="95">
        <f>H868+K868+Q868+N868</f>
        <v>207903</v>
      </c>
      <c r="F868" s="467">
        <f aca="true" t="shared" si="103" ref="F868:F893">E868/D868*100</f>
        <v>38.63269367633369</v>
      </c>
      <c r="G868" s="94">
        <f>SUM(G869:G883)</f>
        <v>270560</v>
      </c>
      <c r="H868" s="219">
        <f>SUM(H869:H883)</f>
        <v>109266</v>
      </c>
      <c r="I868" s="448">
        <f aca="true" t="shared" si="104" ref="I868:I894">H868/G868*100</f>
        <v>40.38512714370195</v>
      </c>
      <c r="J868" s="171"/>
      <c r="K868" s="95"/>
      <c r="L868" s="417"/>
      <c r="M868" s="94">
        <f>SUM(M869:M883)</f>
        <v>267593</v>
      </c>
      <c r="N868" s="95">
        <f>SUM(N869:N883)</f>
        <v>98637</v>
      </c>
      <c r="O868" s="316">
        <f>N868/M868*100</f>
        <v>36.860829692854445</v>
      </c>
      <c r="P868" s="95"/>
      <c r="Q868" s="95"/>
      <c r="R868" s="370"/>
    </row>
    <row r="869" spans="1:18" s="212" customFormat="1" ht="24">
      <c r="A869" s="108">
        <v>2510</v>
      </c>
      <c r="B869" s="199" t="s">
        <v>72</v>
      </c>
      <c r="C869" s="90">
        <v>58000</v>
      </c>
      <c r="D869" s="103">
        <f t="shared" si="101"/>
        <v>0</v>
      </c>
      <c r="E869" s="103">
        <f>H869+K869+Q869+N869</f>
        <v>0</v>
      </c>
      <c r="F869" s="470"/>
      <c r="G869" s="90">
        <f>58000-58000</f>
        <v>0</v>
      </c>
      <c r="H869" s="200"/>
      <c r="I869" s="442"/>
      <c r="J869" s="200"/>
      <c r="K869" s="104"/>
      <c r="L869" s="414"/>
      <c r="M869" s="90"/>
      <c r="N869" s="104"/>
      <c r="O869" s="304"/>
      <c r="P869" s="104"/>
      <c r="Q869" s="104"/>
      <c r="R869" s="365"/>
    </row>
    <row r="870" spans="1:18" s="212" customFormat="1" ht="24">
      <c r="A870" s="124">
        <v>4010</v>
      </c>
      <c r="B870" s="128" t="s">
        <v>492</v>
      </c>
      <c r="C870" s="88">
        <v>127700</v>
      </c>
      <c r="D870" s="74">
        <f t="shared" si="101"/>
        <v>127700</v>
      </c>
      <c r="E870" s="74">
        <f>H870+K870+Q870+N870</f>
        <v>63609</v>
      </c>
      <c r="F870" s="468">
        <f t="shared" si="103"/>
        <v>49.81127642913077</v>
      </c>
      <c r="G870" s="88">
        <v>50300</v>
      </c>
      <c r="H870" s="126">
        <v>25011</v>
      </c>
      <c r="I870" s="442">
        <f t="shared" si="104"/>
        <v>49.72365805168986</v>
      </c>
      <c r="J870" s="126"/>
      <c r="K870" s="89"/>
      <c r="L870" s="391"/>
      <c r="M870" s="88">
        <v>77400</v>
      </c>
      <c r="N870" s="89">
        <v>38598</v>
      </c>
      <c r="O870" s="442">
        <f aca="true" t="shared" si="105" ref="O870:O878">N870/M870*100</f>
        <v>49.86821705426357</v>
      </c>
      <c r="P870" s="89"/>
      <c r="Q870" s="89"/>
      <c r="R870" s="362"/>
    </row>
    <row r="871" spans="1:18" s="212" customFormat="1" ht="24">
      <c r="A871" s="124">
        <v>4040</v>
      </c>
      <c r="B871" s="128" t="s">
        <v>496</v>
      </c>
      <c r="C871" s="88">
        <v>10500</v>
      </c>
      <c r="D871" s="74">
        <f t="shared" si="101"/>
        <v>10083</v>
      </c>
      <c r="E871" s="89">
        <f>SUM(H871+K871+N871+Q871)</f>
        <v>10081</v>
      </c>
      <c r="F871" s="468">
        <f t="shared" si="103"/>
        <v>99.9801646335416</v>
      </c>
      <c r="G871" s="89">
        <v>4200</v>
      </c>
      <c r="H871" s="126">
        <v>4200</v>
      </c>
      <c r="I871" s="442">
        <f t="shared" si="104"/>
        <v>100</v>
      </c>
      <c r="J871" s="126"/>
      <c r="K871" s="89"/>
      <c r="L871" s="391"/>
      <c r="M871" s="88">
        <f>6300-417</f>
        <v>5883</v>
      </c>
      <c r="N871" s="89">
        <v>5881</v>
      </c>
      <c r="O871" s="442">
        <f t="shared" si="105"/>
        <v>99.96600373958864</v>
      </c>
      <c r="P871" s="89"/>
      <c r="Q871" s="89"/>
      <c r="R871" s="362"/>
    </row>
    <row r="872" spans="1:18" s="212" customFormat="1" ht="24">
      <c r="A872" s="124">
        <v>4110</v>
      </c>
      <c r="B872" s="128" t="s">
        <v>498</v>
      </c>
      <c r="C872" s="88">
        <v>23900</v>
      </c>
      <c r="D872" s="74">
        <f t="shared" si="101"/>
        <v>23900</v>
      </c>
      <c r="E872" s="74">
        <f t="shared" si="101"/>
        <v>10751</v>
      </c>
      <c r="F872" s="468">
        <f t="shared" si="103"/>
        <v>44.98326359832636</v>
      </c>
      <c r="G872" s="88">
        <v>9400</v>
      </c>
      <c r="H872" s="126">
        <v>4099</v>
      </c>
      <c r="I872" s="442">
        <f t="shared" si="104"/>
        <v>43.60638297872341</v>
      </c>
      <c r="J872" s="126"/>
      <c r="K872" s="89"/>
      <c r="L872" s="391"/>
      <c r="M872" s="88">
        <v>14500</v>
      </c>
      <c r="N872" s="89">
        <v>6652</v>
      </c>
      <c r="O872" s="442">
        <f t="shared" si="105"/>
        <v>45.87586206896552</v>
      </c>
      <c r="P872" s="89"/>
      <c r="Q872" s="89"/>
      <c r="R872" s="362"/>
    </row>
    <row r="873" spans="1:18" s="212" customFormat="1" ht="12.75">
      <c r="A873" s="124">
        <v>4120</v>
      </c>
      <c r="B873" s="128" t="s">
        <v>571</v>
      </c>
      <c r="C873" s="88">
        <v>3400</v>
      </c>
      <c r="D873" s="74">
        <f aca="true" t="shared" si="106" ref="D873:E888">G873+J873+P873+M873</f>
        <v>3400</v>
      </c>
      <c r="E873" s="74">
        <f t="shared" si="106"/>
        <v>1648</v>
      </c>
      <c r="F873" s="468">
        <f t="shared" si="103"/>
        <v>48.470588235294116</v>
      </c>
      <c r="G873" s="88">
        <v>1400</v>
      </c>
      <c r="H873" s="126">
        <v>606</v>
      </c>
      <c r="I873" s="442">
        <f t="shared" si="104"/>
        <v>43.28571428571429</v>
      </c>
      <c r="J873" s="126"/>
      <c r="K873" s="89"/>
      <c r="L873" s="391"/>
      <c r="M873" s="88">
        <v>2000</v>
      </c>
      <c r="N873" s="89">
        <v>1042</v>
      </c>
      <c r="O873" s="442">
        <f t="shared" si="105"/>
        <v>52.1</v>
      </c>
      <c r="P873" s="89"/>
      <c r="Q873" s="89"/>
      <c r="R873" s="362"/>
    </row>
    <row r="874" spans="1:18" s="212" customFormat="1" ht="12.75" hidden="1">
      <c r="A874" s="124">
        <v>4140</v>
      </c>
      <c r="B874" s="128" t="s">
        <v>544</v>
      </c>
      <c r="C874" s="88"/>
      <c r="D874" s="74">
        <f t="shared" si="106"/>
        <v>0</v>
      </c>
      <c r="E874" s="74">
        <f t="shared" si="106"/>
        <v>0</v>
      </c>
      <c r="F874" s="468" t="e">
        <f t="shared" si="103"/>
        <v>#DIV/0!</v>
      </c>
      <c r="G874" s="88"/>
      <c r="H874" s="126"/>
      <c r="I874" s="442" t="e">
        <f t="shared" si="104"/>
        <v>#DIV/0!</v>
      </c>
      <c r="J874" s="126"/>
      <c r="K874" s="89"/>
      <c r="L874" s="391"/>
      <c r="M874" s="88"/>
      <c r="N874" s="89"/>
      <c r="O874" s="442" t="e">
        <f t="shared" si="105"/>
        <v>#DIV/0!</v>
      </c>
      <c r="P874" s="89"/>
      <c r="Q874" s="89"/>
      <c r="R874" s="362"/>
    </row>
    <row r="875" spans="1:18" s="212" customFormat="1" ht="24" hidden="1">
      <c r="A875" s="124">
        <v>4170</v>
      </c>
      <c r="B875" s="128" t="s">
        <v>536</v>
      </c>
      <c r="C875" s="88"/>
      <c r="D875" s="74">
        <f t="shared" si="106"/>
        <v>0</v>
      </c>
      <c r="E875" s="74">
        <f t="shared" si="106"/>
        <v>0</v>
      </c>
      <c r="F875" s="468" t="e">
        <f t="shared" si="103"/>
        <v>#DIV/0!</v>
      </c>
      <c r="G875" s="88"/>
      <c r="H875" s="126"/>
      <c r="I875" s="442" t="e">
        <f t="shared" si="104"/>
        <v>#DIV/0!</v>
      </c>
      <c r="J875" s="126"/>
      <c r="K875" s="89"/>
      <c r="L875" s="391"/>
      <c r="M875" s="88"/>
      <c r="N875" s="89"/>
      <c r="O875" s="442" t="e">
        <f t="shared" si="105"/>
        <v>#DIV/0!</v>
      </c>
      <c r="P875" s="89"/>
      <c r="Q875" s="89"/>
      <c r="R875" s="362"/>
    </row>
    <row r="876" spans="1:18" s="212" customFormat="1" ht="24">
      <c r="A876" s="124">
        <v>4210</v>
      </c>
      <c r="B876" s="128" t="s">
        <v>502</v>
      </c>
      <c r="C876" s="88"/>
      <c r="D876" s="74">
        <f t="shared" si="106"/>
        <v>12860</v>
      </c>
      <c r="E876" s="74">
        <f t="shared" si="106"/>
        <v>1561</v>
      </c>
      <c r="F876" s="468">
        <f t="shared" si="103"/>
        <v>12.138413685847588</v>
      </c>
      <c r="G876" s="88">
        <v>7060</v>
      </c>
      <c r="H876" s="126">
        <v>1192</v>
      </c>
      <c r="I876" s="442">
        <f t="shared" si="104"/>
        <v>16.88385269121813</v>
      </c>
      <c r="J876" s="126"/>
      <c r="K876" s="89"/>
      <c r="L876" s="391"/>
      <c r="M876" s="88">
        <v>5800</v>
      </c>
      <c r="N876" s="89">
        <v>369</v>
      </c>
      <c r="O876" s="442">
        <f t="shared" si="105"/>
        <v>6.362068965517241</v>
      </c>
      <c r="P876" s="89"/>
      <c r="Q876" s="89"/>
      <c r="R876" s="362"/>
    </row>
    <row r="877" spans="1:18" s="212" customFormat="1" ht="36">
      <c r="A877" s="124">
        <v>4300</v>
      </c>
      <c r="B877" s="128" t="s">
        <v>73</v>
      </c>
      <c r="C877" s="88">
        <v>364500</v>
      </c>
      <c r="D877" s="74">
        <f t="shared" si="106"/>
        <v>210830</v>
      </c>
      <c r="E877" s="74">
        <f t="shared" si="106"/>
        <v>81016</v>
      </c>
      <c r="F877" s="468">
        <f>E877/D877*100</f>
        <v>38.42716880899303</v>
      </c>
      <c r="G877" s="88">
        <f>202000-75160-210</f>
        <v>126630</v>
      </c>
      <c r="H877" s="126">
        <v>57321</v>
      </c>
      <c r="I877" s="442">
        <f>H877/G877*100</f>
        <v>45.266524520255864</v>
      </c>
      <c r="J877" s="126"/>
      <c r="K877" s="89"/>
      <c r="L877" s="391"/>
      <c r="M877" s="88">
        <f>162500-162500+84200</f>
        <v>84200</v>
      </c>
      <c r="N877" s="89">
        <v>23695</v>
      </c>
      <c r="O877" s="442">
        <f t="shared" si="105"/>
        <v>28.141330166270784</v>
      </c>
      <c r="P877" s="89"/>
      <c r="Q877" s="89"/>
      <c r="R877" s="368"/>
    </row>
    <row r="878" spans="1:18" s="212" customFormat="1" ht="24">
      <c r="A878" s="124">
        <v>4410</v>
      </c>
      <c r="B878" s="128" t="s">
        <v>484</v>
      </c>
      <c r="C878" s="88"/>
      <c r="D878" s="74">
        <f t="shared" si="106"/>
        <v>42860</v>
      </c>
      <c r="E878" s="74">
        <f t="shared" si="106"/>
        <v>15758</v>
      </c>
      <c r="F878" s="468">
        <f t="shared" si="103"/>
        <v>36.76621558562763</v>
      </c>
      <c r="G878" s="88">
        <f>21850+210</f>
        <v>22060</v>
      </c>
      <c r="H878" s="126">
        <v>9657</v>
      </c>
      <c r="I878" s="442">
        <f t="shared" si="104"/>
        <v>43.77606527651858</v>
      </c>
      <c r="J878" s="126"/>
      <c r="K878" s="89"/>
      <c r="L878" s="391"/>
      <c r="M878" s="88">
        <v>20800</v>
      </c>
      <c r="N878" s="89">
        <v>6101</v>
      </c>
      <c r="O878" s="442">
        <f t="shared" si="105"/>
        <v>29.331730769230766</v>
      </c>
      <c r="P878" s="89"/>
      <c r="Q878" s="89"/>
      <c r="R878" s="368"/>
    </row>
    <row r="879" spans="1:18" s="212" customFormat="1" ht="24" hidden="1">
      <c r="A879" s="124">
        <v>4420</v>
      </c>
      <c r="B879" s="128" t="s">
        <v>556</v>
      </c>
      <c r="C879" s="88"/>
      <c r="D879" s="74">
        <f t="shared" si="106"/>
        <v>0</v>
      </c>
      <c r="E879" s="74">
        <f>H879+K879+Q879+N879</f>
        <v>0</v>
      </c>
      <c r="F879" s="468" t="e">
        <f>E879/D879*100</f>
        <v>#DIV/0!</v>
      </c>
      <c r="G879" s="88"/>
      <c r="H879" s="126"/>
      <c r="I879" s="442" t="e">
        <f t="shared" si="104"/>
        <v>#DIV/0!</v>
      </c>
      <c r="J879" s="126"/>
      <c r="K879" s="89"/>
      <c r="L879" s="391"/>
      <c r="M879" s="88"/>
      <c r="N879" s="89"/>
      <c r="O879" s="442"/>
      <c r="P879" s="89"/>
      <c r="Q879" s="89"/>
      <c r="R879" s="362"/>
    </row>
    <row r="880" spans="1:18" s="212" customFormat="1" ht="12.75">
      <c r="A880" s="124">
        <v>4440</v>
      </c>
      <c r="B880" s="128" t="s">
        <v>514</v>
      </c>
      <c r="C880" s="88">
        <v>7800</v>
      </c>
      <c r="D880" s="74">
        <f t="shared" si="106"/>
        <v>8570</v>
      </c>
      <c r="E880" s="74">
        <f>H880+K880+Q880+N880</f>
        <v>7153</v>
      </c>
      <c r="F880" s="468">
        <f>E880/D880*100</f>
        <v>83.46557759626604</v>
      </c>
      <c r="G880" s="88">
        <f>3200+60</f>
        <v>3260</v>
      </c>
      <c r="H880" s="126">
        <v>3015</v>
      </c>
      <c r="I880" s="442">
        <f t="shared" si="104"/>
        <v>92.48466257668711</v>
      </c>
      <c r="J880" s="126"/>
      <c r="K880" s="89"/>
      <c r="L880" s="391"/>
      <c r="M880" s="88">
        <f>4600+570+140</f>
        <v>5310</v>
      </c>
      <c r="N880" s="89">
        <v>4138</v>
      </c>
      <c r="O880" s="442">
        <f>N880/M880*100</f>
        <v>77.92843691148776</v>
      </c>
      <c r="P880" s="89"/>
      <c r="Q880" s="89"/>
      <c r="R880" s="362"/>
    </row>
    <row r="881" spans="1:18" s="212" customFormat="1" ht="36">
      <c r="A881" s="124">
        <v>4700</v>
      </c>
      <c r="B881" s="337" t="s">
        <v>285</v>
      </c>
      <c r="C881" s="88"/>
      <c r="D881" s="74">
        <f t="shared" si="106"/>
        <v>95500</v>
      </c>
      <c r="E881" s="74">
        <f>H881+K881+Q881+N881</f>
        <v>16326</v>
      </c>
      <c r="F881" s="468">
        <f>E881/D881*100</f>
        <v>17.095287958115183</v>
      </c>
      <c r="G881" s="88">
        <v>45500</v>
      </c>
      <c r="H881" s="126">
        <v>4165</v>
      </c>
      <c r="I881" s="442">
        <f t="shared" si="104"/>
        <v>9.153846153846153</v>
      </c>
      <c r="J881" s="126"/>
      <c r="K881" s="89"/>
      <c r="L881" s="391"/>
      <c r="M881" s="88">
        <v>50000</v>
      </c>
      <c r="N881" s="89">
        <v>12161</v>
      </c>
      <c r="O881" s="442">
        <f>N881/M881*100</f>
        <v>24.322</v>
      </c>
      <c r="P881" s="89"/>
      <c r="Q881" s="89"/>
      <c r="R881" s="362"/>
    </row>
    <row r="882" spans="1:18" s="212" customFormat="1" ht="60">
      <c r="A882" s="124">
        <v>4740</v>
      </c>
      <c r="B882" s="337" t="s">
        <v>290</v>
      </c>
      <c r="C882" s="88"/>
      <c r="D882" s="74">
        <f>G882+J882+P882+M882</f>
        <v>1450</v>
      </c>
      <c r="E882" s="74">
        <f>H882+K882+Q882+N882</f>
        <v>0</v>
      </c>
      <c r="F882" s="468">
        <f>E882/D882*100</f>
        <v>0</v>
      </c>
      <c r="G882" s="88">
        <v>750</v>
      </c>
      <c r="H882" s="126"/>
      <c r="I882" s="442">
        <f t="shared" si="104"/>
        <v>0</v>
      </c>
      <c r="J882" s="126"/>
      <c r="K882" s="89"/>
      <c r="L882" s="391"/>
      <c r="M882" s="88">
        <v>700</v>
      </c>
      <c r="N882" s="89"/>
      <c r="O882" s="442">
        <f>N882/M882*100</f>
        <v>0</v>
      </c>
      <c r="P882" s="89"/>
      <c r="Q882" s="89"/>
      <c r="R882" s="362"/>
    </row>
    <row r="883" spans="1:18" s="212" customFormat="1" ht="36">
      <c r="A883" s="124">
        <v>4750</v>
      </c>
      <c r="B883" s="337" t="s">
        <v>291</v>
      </c>
      <c r="C883" s="88"/>
      <c r="D883" s="74">
        <f t="shared" si="106"/>
        <v>1000</v>
      </c>
      <c r="E883" s="74">
        <f t="shared" si="106"/>
        <v>0</v>
      </c>
      <c r="F883" s="468">
        <f t="shared" si="103"/>
        <v>0</v>
      </c>
      <c r="G883" s="88"/>
      <c r="H883" s="126"/>
      <c r="I883" s="442"/>
      <c r="J883" s="126"/>
      <c r="K883" s="89"/>
      <c r="L883" s="391"/>
      <c r="M883" s="88">
        <v>1000</v>
      </c>
      <c r="N883" s="89"/>
      <c r="O883" s="442">
        <f>N883/M883*100</f>
        <v>0</v>
      </c>
      <c r="P883" s="89"/>
      <c r="Q883" s="89"/>
      <c r="R883" s="362"/>
    </row>
    <row r="884" spans="1:18" ht="24.75" customHeight="1">
      <c r="A884" s="119">
        <v>80195</v>
      </c>
      <c r="B884" s="185" t="s">
        <v>529</v>
      </c>
      <c r="C884" s="94">
        <f>SUM(C886:C911)+C936</f>
        <v>6156750</v>
      </c>
      <c r="D884" s="95">
        <f>G884+J884+P884+M884</f>
        <v>6528030</v>
      </c>
      <c r="E884" s="95">
        <f t="shared" si="106"/>
        <v>2273504</v>
      </c>
      <c r="F884" s="467">
        <f t="shared" si="103"/>
        <v>34.826800734677995</v>
      </c>
      <c r="G884" s="282">
        <f>SUM(G886:G911)+G919+G920+G944+G931</f>
        <v>3600858</v>
      </c>
      <c r="H884" s="95">
        <f>SUM(H886:H911)+H919+H920+H944+H931</f>
        <v>1465711</v>
      </c>
      <c r="I884" s="448">
        <f t="shared" si="104"/>
        <v>40.7044932068968</v>
      </c>
      <c r="J884" s="171">
        <f>SUM(J887:J910)</f>
        <v>10000</v>
      </c>
      <c r="K884" s="171">
        <f>SUM(K887:K910)</f>
        <v>0</v>
      </c>
      <c r="L884" s="417">
        <f>K884/J884*100</f>
        <v>0</v>
      </c>
      <c r="M884" s="94">
        <f>SUM(M886:M911)+M920+M936+M931</f>
        <v>2917172</v>
      </c>
      <c r="N884" s="95">
        <f>SUM(N886:N911)+N920+N936+N931</f>
        <v>807793</v>
      </c>
      <c r="O884" s="448">
        <f>N884/M884*100</f>
        <v>27.69096234298149</v>
      </c>
      <c r="P884" s="84"/>
      <c r="Q884" s="84"/>
      <c r="R884" s="372"/>
    </row>
    <row r="885" spans="1:18" ht="36" hidden="1">
      <c r="A885" s="124">
        <v>6060</v>
      </c>
      <c r="B885" s="277" t="s">
        <v>552</v>
      </c>
      <c r="C885" s="174"/>
      <c r="D885" s="74">
        <f t="shared" si="106"/>
        <v>0</v>
      </c>
      <c r="E885" s="89">
        <f>SUM(H885+K885+N885+Q885)</f>
        <v>0</v>
      </c>
      <c r="F885" s="468" t="e">
        <f t="shared" si="103"/>
        <v>#DIV/0!</v>
      </c>
      <c r="G885" s="174">
        <f>10000-10000</f>
        <v>0</v>
      </c>
      <c r="H885" s="74"/>
      <c r="I885" s="442" t="e">
        <f t="shared" si="104"/>
        <v>#DIV/0!</v>
      </c>
      <c r="J885" s="285"/>
      <c r="K885" s="182"/>
      <c r="L885" s="403"/>
      <c r="M885" s="74"/>
      <c r="N885" s="74"/>
      <c r="O885" s="368"/>
      <c r="P885" s="182"/>
      <c r="Q885" s="182"/>
      <c r="R885" s="368"/>
    </row>
    <row r="886" spans="1:18" ht="36" hidden="1">
      <c r="A886" s="124">
        <v>3020</v>
      </c>
      <c r="B886" s="128" t="s">
        <v>540</v>
      </c>
      <c r="C886" s="174"/>
      <c r="D886" s="74">
        <f t="shared" si="106"/>
        <v>0</v>
      </c>
      <c r="E886" s="74">
        <f aca="true" t="shared" si="107" ref="E886:E911">SUM(H886+K886+N886+Q886)</f>
        <v>0</v>
      </c>
      <c r="F886" s="468" t="e">
        <f t="shared" si="103"/>
        <v>#DIV/0!</v>
      </c>
      <c r="G886" s="74"/>
      <c r="H886" s="175"/>
      <c r="I886" s="442" t="e">
        <f t="shared" si="104"/>
        <v>#DIV/0!</v>
      </c>
      <c r="J886" s="126"/>
      <c r="K886" s="89"/>
      <c r="L886" s="391"/>
      <c r="M886" s="88"/>
      <c r="N886" s="89"/>
      <c r="O886" s="224" t="e">
        <f aca="true" t="shared" si="108" ref="O886:O905">N886/M886*100</f>
        <v>#DIV/0!</v>
      </c>
      <c r="P886" s="89"/>
      <c r="Q886" s="89"/>
      <c r="R886" s="362"/>
    </row>
    <row r="887" spans="1:18" ht="24">
      <c r="A887" s="124">
        <v>4010</v>
      </c>
      <c r="B887" s="128" t="s">
        <v>492</v>
      </c>
      <c r="C887" s="174">
        <v>671800</v>
      </c>
      <c r="D887" s="74">
        <f t="shared" si="106"/>
        <v>671800</v>
      </c>
      <c r="E887" s="74">
        <f t="shared" si="107"/>
        <v>278557</v>
      </c>
      <c r="F887" s="468">
        <f t="shared" si="103"/>
        <v>41.46427508186961</v>
      </c>
      <c r="G887" s="74">
        <f>32000+35900+16800+18000+83700+253000</f>
        <v>439400</v>
      </c>
      <c r="H887" s="175">
        <v>168458</v>
      </c>
      <c r="I887" s="442">
        <f t="shared" si="104"/>
        <v>38.33818843878016</v>
      </c>
      <c r="J887" s="126"/>
      <c r="K887" s="89"/>
      <c r="L887" s="391"/>
      <c r="M887" s="88">
        <f>25300+207100</f>
        <v>232400</v>
      </c>
      <c r="N887" s="89">
        <v>110099</v>
      </c>
      <c r="O887" s="224">
        <f t="shared" si="108"/>
        <v>47.37478485370052</v>
      </c>
      <c r="P887" s="89"/>
      <c r="Q887" s="89"/>
      <c r="R887" s="362"/>
    </row>
    <row r="888" spans="1:18" ht="24">
      <c r="A888" s="124">
        <v>4110</v>
      </c>
      <c r="B888" s="128" t="s">
        <v>498</v>
      </c>
      <c r="C888" s="174">
        <v>122900</v>
      </c>
      <c r="D888" s="74">
        <f t="shared" si="106"/>
        <v>124212</v>
      </c>
      <c r="E888" s="74">
        <f t="shared" si="107"/>
        <v>41528</v>
      </c>
      <c r="F888" s="468">
        <f t="shared" si="103"/>
        <v>33.4331626573922</v>
      </c>
      <c r="G888" s="74">
        <f>6000+6000+2800+3000+14300+41000+2500+400+912</f>
        <v>76912</v>
      </c>
      <c r="H888" s="175">
        <v>25054</v>
      </c>
      <c r="I888" s="442">
        <f t="shared" si="104"/>
        <v>32.57489078427294</v>
      </c>
      <c r="J888" s="126"/>
      <c r="K888" s="89"/>
      <c r="L888" s="391"/>
      <c r="M888" s="88">
        <f>4100+41900+1300</f>
        <v>47300</v>
      </c>
      <c r="N888" s="89">
        <v>16474</v>
      </c>
      <c r="O888" s="224">
        <f t="shared" si="108"/>
        <v>34.82875264270613</v>
      </c>
      <c r="P888" s="89"/>
      <c r="Q888" s="89"/>
      <c r="R888" s="362"/>
    </row>
    <row r="889" spans="1:18" ht="12.75">
      <c r="A889" s="124">
        <v>4120</v>
      </c>
      <c r="B889" s="128" t="s">
        <v>571</v>
      </c>
      <c r="C889" s="174">
        <v>18050</v>
      </c>
      <c r="D889" s="74">
        <f aca="true" t="shared" si="109" ref="D889:D953">G889+J889+P889+M889</f>
        <v>18256</v>
      </c>
      <c r="E889" s="74">
        <f t="shared" si="107"/>
        <v>6812</v>
      </c>
      <c r="F889" s="468">
        <f t="shared" si="103"/>
        <v>37.31375985977213</v>
      </c>
      <c r="G889" s="74">
        <f>1100+1100+400+300+2000+6000+350+64+142</f>
        <v>11456</v>
      </c>
      <c r="H889" s="175">
        <v>4080</v>
      </c>
      <c r="I889" s="442">
        <f t="shared" si="104"/>
        <v>35.614525139664806</v>
      </c>
      <c r="J889" s="126"/>
      <c r="K889" s="89"/>
      <c r="L889" s="391"/>
      <c r="M889" s="88">
        <f>600+6000+200</f>
        <v>6800</v>
      </c>
      <c r="N889" s="89">
        <v>2732</v>
      </c>
      <c r="O889" s="224">
        <f t="shared" si="108"/>
        <v>40.1764705882353</v>
      </c>
      <c r="P889" s="89"/>
      <c r="Q889" s="89"/>
      <c r="R889" s="362"/>
    </row>
    <row r="890" spans="1:18" ht="36" hidden="1">
      <c r="A890" s="124">
        <v>4110</v>
      </c>
      <c r="B890" s="128" t="s">
        <v>456</v>
      </c>
      <c r="C890" s="174"/>
      <c r="D890" s="74">
        <f t="shared" si="109"/>
        <v>0</v>
      </c>
      <c r="E890" s="74">
        <f>SUM(H890+K890+N890+Q890)</f>
        <v>0</v>
      </c>
      <c r="F890" s="468" t="e">
        <f t="shared" si="103"/>
        <v>#DIV/0!</v>
      </c>
      <c r="G890" s="74"/>
      <c r="H890" s="175"/>
      <c r="I890" s="442" t="e">
        <f t="shared" si="104"/>
        <v>#DIV/0!</v>
      </c>
      <c r="J890" s="126"/>
      <c r="K890" s="89"/>
      <c r="L890" s="391"/>
      <c r="M890" s="88"/>
      <c r="N890" s="89"/>
      <c r="O890" s="224"/>
      <c r="P890" s="89"/>
      <c r="Q890" s="89"/>
      <c r="R890" s="362"/>
    </row>
    <row r="891" spans="1:18" ht="24" hidden="1">
      <c r="A891" s="124">
        <v>4120</v>
      </c>
      <c r="B891" s="128" t="s">
        <v>459</v>
      </c>
      <c r="C891" s="174"/>
      <c r="D891" s="74">
        <f t="shared" si="109"/>
        <v>0</v>
      </c>
      <c r="E891" s="74">
        <f>SUM(H891+K891+N891+Q891)</f>
        <v>0</v>
      </c>
      <c r="F891" s="468" t="e">
        <f t="shared" si="103"/>
        <v>#DIV/0!</v>
      </c>
      <c r="G891" s="74"/>
      <c r="H891" s="175"/>
      <c r="I891" s="442" t="e">
        <f t="shared" si="104"/>
        <v>#DIV/0!</v>
      </c>
      <c r="J891" s="126"/>
      <c r="K891" s="89"/>
      <c r="L891" s="391"/>
      <c r="M891" s="88"/>
      <c r="N891" s="89"/>
      <c r="O891" s="224"/>
      <c r="P891" s="89"/>
      <c r="Q891" s="89"/>
      <c r="R891" s="362"/>
    </row>
    <row r="892" spans="1:18" ht="36" hidden="1">
      <c r="A892" s="124">
        <v>4170</v>
      </c>
      <c r="B892" s="128" t="s">
        <v>460</v>
      </c>
      <c r="C892" s="174"/>
      <c r="D892" s="74">
        <f t="shared" si="109"/>
        <v>0</v>
      </c>
      <c r="E892" s="74">
        <f>SUM(H892+K892+N892+Q892)</f>
        <v>0</v>
      </c>
      <c r="F892" s="468" t="e">
        <f t="shared" si="103"/>
        <v>#DIV/0!</v>
      </c>
      <c r="G892" s="74"/>
      <c r="H892" s="175"/>
      <c r="I892" s="442" t="e">
        <f t="shared" si="104"/>
        <v>#DIV/0!</v>
      </c>
      <c r="J892" s="126"/>
      <c r="K892" s="89"/>
      <c r="L892" s="391"/>
      <c r="M892" s="88"/>
      <c r="N892" s="89"/>
      <c r="O892" s="224"/>
      <c r="P892" s="89"/>
      <c r="Q892" s="89"/>
      <c r="R892" s="362"/>
    </row>
    <row r="893" spans="1:18" ht="24">
      <c r="A893" s="124">
        <v>4170</v>
      </c>
      <c r="B893" s="128" t="s">
        <v>536</v>
      </c>
      <c r="C893" s="174">
        <v>40300</v>
      </c>
      <c r="D893" s="74">
        <f t="shared" si="109"/>
        <v>49975</v>
      </c>
      <c r="E893" s="74">
        <f t="shared" si="107"/>
        <v>18201</v>
      </c>
      <c r="F893" s="468">
        <f t="shared" si="103"/>
        <v>36.420210105052526</v>
      </c>
      <c r="G893" s="74">
        <f>3000+14300+3870+5805</f>
        <v>26975</v>
      </c>
      <c r="H893" s="175">
        <v>2165</v>
      </c>
      <c r="I893" s="442">
        <f t="shared" si="104"/>
        <v>8.025949953660797</v>
      </c>
      <c r="J893" s="126"/>
      <c r="K893" s="89"/>
      <c r="L893" s="391"/>
      <c r="M893" s="88">
        <f>2000+1000+20000</f>
        <v>23000</v>
      </c>
      <c r="N893" s="89">
        <v>16036</v>
      </c>
      <c r="O893" s="224">
        <f t="shared" si="108"/>
        <v>69.72173913043478</v>
      </c>
      <c r="P893" s="89"/>
      <c r="Q893" s="89"/>
      <c r="R893" s="362"/>
    </row>
    <row r="894" spans="1:18" ht="27.75" customHeight="1">
      <c r="A894" s="158">
        <v>4210</v>
      </c>
      <c r="B894" s="159" t="s">
        <v>502</v>
      </c>
      <c r="C894" s="176">
        <v>5000</v>
      </c>
      <c r="D894" s="161">
        <f t="shared" si="109"/>
        <v>22534</v>
      </c>
      <c r="E894" s="161">
        <f t="shared" si="107"/>
        <v>4033</v>
      </c>
      <c r="F894" s="469">
        <f>E894/D894*100</f>
        <v>17.89739948522233</v>
      </c>
      <c r="G894" s="161">
        <f>6000+2334</f>
        <v>8334</v>
      </c>
      <c r="H894" s="177">
        <v>300</v>
      </c>
      <c r="I894" s="462">
        <f t="shared" si="104"/>
        <v>3.599712023038157</v>
      </c>
      <c r="J894" s="162"/>
      <c r="K894" s="155"/>
      <c r="L894" s="415"/>
      <c r="M894" s="160">
        <f>5000+8200+1000</f>
        <v>14200</v>
      </c>
      <c r="N894" s="155">
        <v>3733</v>
      </c>
      <c r="O894" s="462">
        <f t="shared" si="108"/>
        <v>26.2887323943662</v>
      </c>
      <c r="P894" s="155"/>
      <c r="Q894" s="155"/>
      <c r="R894" s="366"/>
    </row>
    <row r="895" spans="1:18" ht="35.25" customHeight="1">
      <c r="A895" s="124">
        <v>4240</v>
      </c>
      <c r="B895" s="128" t="s">
        <v>563</v>
      </c>
      <c r="C895" s="174">
        <v>285000</v>
      </c>
      <c r="D895" s="74">
        <f t="shared" si="109"/>
        <v>267573</v>
      </c>
      <c r="E895" s="74">
        <f t="shared" si="107"/>
        <v>0</v>
      </c>
      <c r="F895" s="468">
        <f>E895/D895*100</f>
        <v>0</v>
      </c>
      <c r="G895" s="74">
        <f>275000-5000+3600-13034</f>
        <v>260566</v>
      </c>
      <c r="H895" s="175"/>
      <c r="I895" s="442">
        <f>H895/G895*100</f>
        <v>0</v>
      </c>
      <c r="J895" s="126"/>
      <c r="K895" s="89"/>
      <c r="L895" s="391"/>
      <c r="M895" s="88">
        <f>10000-1563-400-1030</f>
        <v>7007</v>
      </c>
      <c r="N895" s="89"/>
      <c r="O895" s="442">
        <f t="shared" si="108"/>
        <v>0</v>
      </c>
      <c r="P895" s="89"/>
      <c r="Q895" s="89"/>
      <c r="R895" s="362"/>
    </row>
    <row r="896" spans="1:18" ht="36">
      <c r="A896" s="124">
        <v>4270</v>
      </c>
      <c r="B896" s="128" t="s">
        <v>354</v>
      </c>
      <c r="C896" s="174">
        <v>7000</v>
      </c>
      <c r="D896" s="74">
        <f t="shared" si="109"/>
        <v>7000</v>
      </c>
      <c r="E896" s="74">
        <f t="shared" si="107"/>
        <v>0</v>
      </c>
      <c r="F896" s="468">
        <f>E896/D896*100</f>
        <v>0</v>
      </c>
      <c r="G896" s="74">
        <f>7000-7000+4000</f>
        <v>4000</v>
      </c>
      <c r="H896" s="175"/>
      <c r="I896" s="442">
        <f>H896/G896*100</f>
        <v>0</v>
      </c>
      <c r="J896" s="126"/>
      <c r="K896" s="89"/>
      <c r="L896" s="391"/>
      <c r="M896" s="88">
        <v>3000</v>
      </c>
      <c r="N896" s="89"/>
      <c r="O896" s="442">
        <f t="shared" si="108"/>
        <v>0</v>
      </c>
      <c r="P896" s="89"/>
      <c r="Q896" s="89"/>
      <c r="R896" s="362"/>
    </row>
    <row r="897" spans="1:18" ht="24" hidden="1">
      <c r="A897" s="124">
        <v>4280</v>
      </c>
      <c r="B897" s="128" t="s">
        <v>545</v>
      </c>
      <c r="C897" s="174"/>
      <c r="D897" s="74">
        <f t="shared" si="109"/>
        <v>0</v>
      </c>
      <c r="E897" s="74">
        <f t="shared" si="107"/>
        <v>0</v>
      </c>
      <c r="F897" s="468" t="e">
        <f>E897/D897*100</f>
        <v>#DIV/0!</v>
      </c>
      <c r="G897" s="174">
        <f>26245-26245</f>
        <v>0</v>
      </c>
      <c r="H897" s="74"/>
      <c r="I897" s="442" t="e">
        <f>H897/G897*100</f>
        <v>#DIV/0!</v>
      </c>
      <c r="J897" s="126"/>
      <c r="K897" s="89"/>
      <c r="L897" s="391"/>
      <c r="M897" s="174">
        <f>33800-33800</f>
        <v>0</v>
      </c>
      <c r="N897" s="74">
        <v>0</v>
      </c>
      <c r="O897" s="442" t="e">
        <f t="shared" si="108"/>
        <v>#DIV/0!</v>
      </c>
      <c r="P897" s="89"/>
      <c r="Q897" s="89"/>
      <c r="R897" s="362"/>
    </row>
    <row r="898" spans="1:18" ht="24">
      <c r="A898" s="124">
        <v>4300</v>
      </c>
      <c r="B898" s="128" t="s">
        <v>510</v>
      </c>
      <c r="C898" s="174">
        <v>1746495</v>
      </c>
      <c r="D898" s="74">
        <f t="shared" si="109"/>
        <v>1846579</v>
      </c>
      <c r="E898" s="74">
        <f t="shared" si="107"/>
        <v>927495</v>
      </c>
      <c r="F898" s="468">
        <f>E898/D898*100</f>
        <v>50.227745468783084</v>
      </c>
      <c r="G898" s="218">
        <f>1489900-21100+47050-39150-34534+13200+14150+116144+3800+600</f>
        <v>1590060</v>
      </c>
      <c r="H898" s="74">
        <v>835461</v>
      </c>
      <c r="I898" s="442">
        <f>H898/G898*100</f>
        <v>52.54273423644391</v>
      </c>
      <c r="J898" s="126"/>
      <c r="K898" s="89"/>
      <c r="L898" s="391"/>
      <c r="M898" s="174">
        <f>256595-1700-2043-3292+2000+3600-3600+1100+3859+3200-3200</f>
        <v>256519</v>
      </c>
      <c r="N898" s="74">
        <v>92034</v>
      </c>
      <c r="O898" s="442">
        <f t="shared" si="108"/>
        <v>35.87804412148808</v>
      </c>
      <c r="P898" s="89"/>
      <c r="Q898" s="89"/>
      <c r="R898" s="362"/>
    </row>
    <row r="899" spans="1:18" s="12" customFormat="1" ht="12.75">
      <c r="A899" s="172">
        <v>4430</v>
      </c>
      <c r="B899" s="206" t="s">
        <v>512</v>
      </c>
      <c r="C899" s="174">
        <v>175000</v>
      </c>
      <c r="D899" s="74">
        <f t="shared" si="109"/>
        <v>175000</v>
      </c>
      <c r="E899" s="74">
        <f t="shared" si="107"/>
        <v>115603</v>
      </c>
      <c r="F899" s="492">
        <f aca="true" t="shared" si="110" ref="F899:F956">E899/D899*100</f>
        <v>66.05885714285714</v>
      </c>
      <c r="G899" s="174">
        <v>83000</v>
      </c>
      <c r="H899" s="74">
        <v>48549</v>
      </c>
      <c r="I899" s="474">
        <f aca="true" t="shared" si="111" ref="I899:I963">H899/G899*100</f>
        <v>58.49277108433735</v>
      </c>
      <c r="J899" s="175"/>
      <c r="K899" s="74"/>
      <c r="L899" s="391"/>
      <c r="M899" s="174">
        <v>92000</v>
      </c>
      <c r="N899" s="74">
        <v>67054</v>
      </c>
      <c r="O899" s="485">
        <f t="shared" si="108"/>
        <v>72.88478260869566</v>
      </c>
      <c r="P899" s="74"/>
      <c r="Q899" s="74"/>
      <c r="R899" s="362"/>
    </row>
    <row r="900" spans="1:18" ht="24">
      <c r="A900" s="124">
        <v>4440</v>
      </c>
      <c r="B900" s="128" t="s">
        <v>74</v>
      </c>
      <c r="C900" s="174">
        <v>828000</v>
      </c>
      <c r="D900" s="74">
        <f t="shared" si="109"/>
        <v>508664</v>
      </c>
      <c r="E900" s="74">
        <f t="shared" si="107"/>
        <v>427639</v>
      </c>
      <c r="F900" s="491">
        <f t="shared" si="110"/>
        <v>84.07101741031407</v>
      </c>
      <c r="G900" s="174">
        <f>465000-157651+157651-307349</f>
        <v>157651</v>
      </c>
      <c r="H900" s="74">
        <v>144176</v>
      </c>
      <c r="I900" s="468">
        <f t="shared" si="111"/>
        <v>91.45263905715791</v>
      </c>
      <c r="J900" s="126"/>
      <c r="K900" s="89"/>
      <c r="L900" s="391"/>
      <c r="M900" s="88">
        <f>363000-351013+351013-11987</f>
        <v>351013</v>
      </c>
      <c r="N900" s="89">
        <v>283463</v>
      </c>
      <c r="O900" s="442">
        <f t="shared" si="108"/>
        <v>80.7556985068929</v>
      </c>
      <c r="P900" s="89"/>
      <c r="Q900" s="89"/>
      <c r="R900" s="362"/>
    </row>
    <row r="901" spans="1:18" ht="36">
      <c r="A901" s="124">
        <v>4700</v>
      </c>
      <c r="B901" s="128" t="s">
        <v>285</v>
      </c>
      <c r="C901" s="174"/>
      <c r="D901" s="74">
        <f>G901+J901+P901+M901</f>
        <v>9000</v>
      </c>
      <c r="E901" s="74">
        <f>SUM(H901+K901+N901+Q901)</f>
        <v>2000</v>
      </c>
      <c r="F901" s="491">
        <f>E901/D901*100</f>
        <v>22.22222222222222</v>
      </c>
      <c r="G901" s="174">
        <v>9000</v>
      </c>
      <c r="H901" s="74">
        <v>2000</v>
      </c>
      <c r="I901" s="468">
        <f t="shared" si="111"/>
        <v>22.22222222222222</v>
      </c>
      <c r="J901" s="126"/>
      <c r="K901" s="89"/>
      <c r="L901" s="391"/>
      <c r="M901" s="88"/>
      <c r="N901" s="89"/>
      <c r="O901" s="442"/>
      <c r="P901" s="89"/>
      <c r="Q901" s="89"/>
      <c r="R901" s="362"/>
    </row>
    <row r="902" spans="1:18" ht="36">
      <c r="A902" s="124">
        <v>4750</v>
      </c>
      <c r="B902" s="337" t="s">
        <v>291</v>
      </c>
      <c r="C902" s="174">
        <v>40000</v>
      </c>
      <c r="D902" s="74">
        <f t="shared" si="109"/>
        <v>2000</v>
      </c>
      <c r="E902" s="74">
        <f>SUM(H902+K902+N902+Q902)</f>
        <v>0</v>
      </c>
      <c r="F902" s="491">
        <f t="shared" si="110"/>
        <v>0</v>
      </c>
      <c r="G902" s="174">
        <v>2000</v>
      </c>
      <c r="H902" s="74"/>
      <c r="I902" s="468">
        <f t="shared" si="111"/>
        <v>0</v>
      </c>
      <c r="J902" s="126"/>
      <c r="K902" s="89"/>
      <c r="L902" s="391"/>
      <c r="M902" s="88">
        <f>40000-40000</f>
        <v>0</v>
      </c>
      <c r="N902" s="89"/>
      <c r="O902" s="442"/>
      <c r="P902" s="89"/>
      <c r="Q902" s="89"/>
      <c r="R902" s="362"/>
    </row>
    <row r="903" spans="1:18" ht="24">
      <c r="A903" s="124">
        <v>6050</v>
      </c>
      <c r="B903" s="128" t="s">
        <v>537</v>
      </c>
      <c r="C903" s="174">
        <f>1390000+500000</f>
        <v>1890000</v>
      </c>
      <c r="D903" s="74">
        <f t="shared" si="109"/>
        <v>2348000</v>
      </c>
      <c r="E903" s="74">
        <f t="shared" si="107"/>
        <v>83494</v>
      </c>
      <c r="F903" s="491">
        <f t="shared" si="110"/>
        <v>3.555962521294719</v>
      </c>
      <c r="G903" s="174">
        <v>740000</v>
      </c>
      <c r="H903" s="74">
        <v>82152</v>
      </c>
      <c r="I903" s="468">
        <f t="shared" si="111"/>
        <v>11.101621621621621</v>
      </c>
      <c r="J903" s="126"/>
      <c r="K903" s="89"/>
      <c r="L903" s="391"/>
      <c r="M903" s="88">
        <f>650000+500000+438000-1150000+1170000</f>
        <v>1608000</v>
      </c>
      <c r="N903" s="89">
        <v>1342</v>
      </c>
      <c r="O903" s="224">
        <f t="shared" si="108"/>
        <v>0.08345771144278608</v>
      </c>
      <c r="P903" s="89"/>
      <c r="Q903" s="89"/>
      <c r="R903" s="362"/>
    </row>
    <row r="904" spans="1:18" ht="84" hidden="1">
      <c r="A904" s="124">
        <v>6050</v>
      </c>
      <c r="B904" s="128" t="s">
        <v>385</v>
      </c>
      <c r="C904" s="174"/>
      <c r="D904" s="74">
        <f t="shared" si="109"/>
        <v>0</v>
      </c>
      <c r="E904" s="74">
        <f t="shared" si="107"/>
        <v>0</v>
      </c>
      <c r="F904" s="491" t="e">
        <f t="shared" si="110"/>
        <v>#DIV/0!</v>
      </c>
      <c r="G904" s="174"/>
      <c r="H904" s="74"/>
      <c r="I904" s="280"/>
      <c r="J904" s="126"/>
      <c r="K904" s="89"/>
      <c r="L904" s="391"/>
      <c r="M904" s="88"/>
      <c r="N904" s="89"/>
      <c r="O904" s="224" t="e">
        <f t="shared" si="108"/>
        <v>#DIV/0!</v>
      </c>
      <c r="P904" s="89"/>
      <c r="Q904" s="89"/>
      <c r="R904" s="362"/>
    </row>
    <row r="905" spans="1:18" ht="48">
      <c r="A905" s="124">
        <v>6060</v>
      </c>
      <c r="B905" s="128" t="s">
        <v>386</v>
      </c>
      <c r="C905" s="174">
        <v>150000</v>
      </c>
      <c r="D905" s="74">
        <f t="shared" si="109"/>
        <v>116428</v>
      </c>
      <c r="E905" s="74">
        <f>SUM(H905+K905+N905+Q905)</f>
        <v>116427</v>
      </c>
      <c r="F905" s="491">
        <f t="shared" si="110"/>
        <v>99.99914110007902</v>
      </c>
      <c r="G905" s="174"/>
      <c r="H905" s="74"/>
      <c r="I905" s="280"/>
      <c r="J905" s="126"/>
      <c r="K905" s="89"/>
      <c r="L905" s="391"/>
      <c r="M905" s="88">
        <f>150000-33572</f>
        <v>116428</v>
      </c>
      <c r="N905" s="89">
        <f>116428-1</f>
        <v>116427</v>
      </c>
      <c r="O905" s="442">
        <f t="shared" si="108"/>
        <v>99.99914110007902</v>
      </c>
      <c r="P905" s="89"/>
      <c r="Q905" s="89"/>
      <c r="R905" s="362"/>
    </row>
    <row r="906" spans="1:18" ht="96" hidden="1">
      <c r="A906" s="124">
        <v>6220</v>
      </c>
      <c r="B906" s="128" t="s">
        <v>232</v>
      </c>
      <c r="C906" s="174"/>
      <c r="D906" s="74">
        <f t="shared" si="109"/>
        <v>0</v>
      </c>
      <c r="E906" s="74">
        <f t="shared" si="107"/>
        <v>0</v>
      </c>
      <c r="F906" s="491" t="e">
        <f t="shared" si="110"/>
        <v>#DIV/0!</v>
      </c>
      <c r="G906" s="174"/>
      <c r="H906" s="74"/>
      <c r="I906" s="468" t="e">
        <f t="shared" si="111"/>
        <v>#DIV/0!</v>
      </c>
      <c r="J906" s="126"/>
      <c r="K906" s="89"/>
      <c r="L906" s="391"/>
      <c r="M906" s="88"/>
      <c r="N906" s="89"/>
      <c r="O906" s="224"/>
      <c r="P906" s="89"/>
      <c r="Q906" s="89"/>
      <c r="R906" s="362"/>
    </row>
    <row r="907" spans="1:18" ht="48">
      <c r="A907" s="124">
        <v>2480</v>
      </c>
      <c r="B907" s="128" t="s">
        <v>399</v>
      </c>
      <c r="C907" s="174"/>
      <c r="D907" s="74">
        <f t="shared" si="109"/>
        <v>10000</v>
      </c>
      <c r="E907" s="74">
        <f t="shared" si="107"/>
        <v>0</v>
      </c>
      <c r="F907" s="491">
        <f t="shared" si="110"/>
        <v>0</v>
      </c>
      <c r="G907" s="174"/>
      <c r="H907" s="74"/>
      <c r="I907" s="468"/>
      <c r="J907" s="126">
        <v>10000</v>
      </c>
      <c r="K907" s="89"/>
      <c r="L907" s="391">
        <f>K907/J907*100</f>
        <v>0</v>
      </c>
      <c r="M907" s="88"/>
      <c r="N907" s="89"/>
      <c r="O907" s="224"/>
      <c r="P907" s="89"/>
      <c r="Q907" s="89"/>
      <c r="R907" s="362"/>
    </row>
    <row r="908" spans="1:18" ht="60">
      <c r="A908" s="124">
        <v>2540</v>
      </c>
      <c r="B908" s="128" t="s">
        <v>211</v>
      </c>
      <c r="C908" s="174">
        <v>15000</v>
      </c>
      <c r="D908" s="74">
        <f t="shared" si="109"/>
        <v>15000</v>
      </c>
      <c r="E908" s="74">
        <f t="shared" si="107"/>
        <v>7276</v>
      </c>
      <c r="F908" s="491">
        <f t="shared" si="110"/>
        <v>48.50666666666667</v>
      </c>
      <c r="G908" s="174">
        <v>15000</v>
      </c>
      <c r="H908" s="74">
        <v>7276</v>
      </c>
      <c r="I908" s="468">
        <f t="shared" si="111"/>
        <v>48.50666666666667</v>
      </c>
      <c r="J908" s="126"/>
      <c r="K908" s="89"/>
      <c r="L908" s="391"/>
      <c r="M908" s="88"/>
      <c r="N908" s="89"/>
      <c r="O908" s="224"/>
      <c r="P908" s="89"/>
      <c r="Q908" s="89"/>
      <c r="R908" s="362"/>
    </row>
    <row r="909" spans="1:18" ht="60">
      <c r="A909" s="124">
        <v>2570</v>
      </c>
      <c r="B909" s="128" t="s">
        <v>331</v>
      </c>
      <c r="C909" s="174">
        <v>15000</v>
      </c>
      <c r="D909" s="74">
        <f t="shared" si="109"/>
        <v>15000</v>
      </c>
      <c r="E909" s="74">
        <f>SUM(H909+K909+N909+Q909)</f>
        <v>9537</v>
      </c>
      <c r="F909" s="491">
        <f t="shared" si="110"/>
        <v>63.580000000000005</v>
      </c>
      <c r="G909" s="174">
        <v>15000</v>
      </c>
      <c r="H909" s="74">
        <v>9537</v>
      </c>
      <c r="I909" s="468">
        <f t="shared" si="111"/>
        <v>63.580000000000005</v>
      </c>
      <c r="J909" s="126"/>
      <c r="K909" s="89"/>
      <c r="L909" s="391"/>
      <c r="M909" s="88"/>
      <c r="N909" s="89"/>
      <c r="O909" s="224"/>
      <c r="P909" s="89"/>
      <c r="Q909" s="89"/>
      <c r="R909" s="362"/>
    </row>
    <row r="910" spans="1:18" ht="60">
      <c r="A910" s="158">
        <v>2820</v>
      </c>
      <c r="B910" s="159" t="s">
        <v>75</v>
      </c>
      <c r="C910" s="176">
        <v>25000</v>
      </c>
      <c r="D910" s="161">
        <f t="shared" si="109"/>
        <v>25000</v>
      </c>
      <c r="E910" s="161">
        <f t="shared" si="107"/>
        <v>0</v>
      </c>
      <c r="F910" s="527">
        <f t="shared" si="110"/>
        <v>0</v>
      </c>
      <c r="G910" s="176">
        <v>25000</v>
      </c>
      <c r="H910" s="161"/>
      <c r="I910" s="469">
        <f t="shared" si="111"/>
        <v>0</v>
      </c>
      <c r="J910" s="162"/>
      <c r="K910" s="155"/>
      <c r="L910" s="415"/>
      <c r="M910" s="160"/>
      <c r="N910" s="155"/>
      <c r="O910" s="274"/>
      <c r="P910" s="155"/>
      <c r="Q910" s="155"/>
      <c r="R910" s="366"/>
    </row>
    <row r="911" spans="1:18" s="143" customFormat="1" ht="12.75" hidden="1">
      <c r="A911" s="351"/>
      <c r="B911" s="352" t="s">
        <v>340</v>
      </c>
      <c r="C911" s="137">
        <f>SUM(C912:C918)</f>
        <v>0</v>
      </c>
      <c r="D911" s="139">
        <f t="shared" si="109"/>
        <v>0</v>
      </c>
      <c r="E911" s="139">
        <f t="shared" si="107"/>
        <v>0</v>
      </c>
      <c r="F911" s="491" t="e">
        <f t="shared" si="110"/>
        <v>#DIV/0!</v>
      </c>
      <c r="G911" s="137">
        <f>SUM(G912:G918)</f>
        <v>0</v>
      </c>
      <c r="H911" s="139">
        <f>SUM(H912:H918)</f>
        <v>0</v>
      </c>
      <c r="I911" s="468" t="e">
        <f t="shared" si="111"/>
        <v>#DIV/0!</v>
      </c>
      <c r="J911" s="140"/>
      <c r="K911" s="139"/>
      <c r="L911" s="403"/>
      <c r="M911" s="137"/>
      <c r="N911" s="139"/>
      <c r="O911" s="348"/>
      <c r="P911" s="139"/>
      <c r="Q911" s="139"/>
      <c r="R911" s="364"/>
    </row>
    <row r="912" spans="1:18" ht="24" hidden="1">
      <c r="A912" s="124">
        <v>4170</v>
      </c>
      <c r="B912" s="128" t="s">
        <v>300</v>
      </c>
      <c r="C912" s="174"/>
      <c r="D912" s="74">
        <f t="shared" si="109"/>
        <v>0</v>
      </c>
      <c r="E912" s="74">
        <f>SUM(H912+K912+N912+Q912)</f>
        <v>0</v>
      </c>
      <c r="F912" s="491" t="e">
        <f t="shared" si="110"/>
        <v>#DIV/0!</v>
      </c>
      <c r="G912" s="88">
        <f>5805-5805</f>
        <v>0</v>
      </c>
      <c r="H912" s="89"/>
      <c r="I912" s="468" t="e">
        <f t="shared" si="111"/>
        <v>#DIV/0!</v>
      </c>
      <c r="J912" s="126"/>
      <c r="K912" s="89"/>
      <c r="L912" s="391"/>
      <c r="M912" s="88"/>
      <c r="N912" s="89"/>
      <c r="O912" s="224"/>
      <c r="P912" s="89"/>
      <c r="Q912" s="89"/>
      <c r="R912" s="362"/>
    </row>
    <row r="913" spans="1:18" ht="24" hidden="1">
      <c r="A913" s="124">
        <v>4110</v>
      </c>
      <c r="B913" s="128" t="s">
        <v>498</v>
      </c>
      <c r="C913" s="174"/>
      <c r="D913" s="74">
        <f t="shared" si="109"/>
        <v>0</v>
      </c>
      <c r="E913" s="74">
        <f aca="true" t="shared" si="112" ref="E913:E942">SUM(H913+K913+N913+Q913)</f>
        <v>0</v>
      </c>
      <c r="F913" s="491" t="e">
        <f t="shared" si="110"/>
        <v>#DIV/0!</v>
      </c>
      <c r="G913" s="88">
        <f>912-912</f>
        <v>0</v>
      </c>
      <c r="H913" s="89"/>
      <c r="I913" s="468" t="e">
        <f t="shared" si="111"/>
        <v>#DIV/0!</v>
      </c>
      <c r="J913" s="126"/>
      <c r="K913" s="89"/>
      <c r="L913" s="391"/>
      <c r="M913" s="88"/>
      <c r="N913" s="89"/>
      <c r="O913" s="224"/>
      <c r="P913" s="89"/>
      <c r="Q913" s="89"/>
      <c r="R913" s="362"/>
    </row>
    <row r="914" spans="1:18" ht="12.75" hidden="1">
      <c r="A914" s="124">
        <v>4120</v>
      </c>
      <c r="B914" s="128" t="s">
        <v>571</v>
      </c>
      <c r="C914" s="174"/>
      <c r="D914" s="74">
        <f t="shared" si="109"/>
        <v>0</v>
      </c>
      <c r="E914" s="74">
        <f t="shared" si="112"/>
        <v>0</v>
      </c>
      <c r="F914" s="491" t="e">
        <f t="shared" si="110"/>
        <v>#DIV/0!</v>
      </c>
      <c r="G914" s="88">
        <f>142-142</f>
        <v>0</v>
      </c>
      <c r="H914" s="89"/>
      <c r="I914" s="468" t="e">
        <f t="shared" si="111"/>
        <v>#DIV/0!</v>
      </c>
      <c r="J914" s="126"/>
      <c r="K914" s="89"/>
      <c r="L914" s="391"/>
      <c r="M914" s="88"/>
      <c r="N914" s="89"/>
      <c r="O914" s="224"/>
      <c r="P914" s="89"/>
      <c r="Q914" s="89"/>
      <c r="R914" s="362"/>
    </row>
    <row r="915" spans="1:18" ht="24" hidden="1">
      <c r="A915" s="124">
        <v>4300</v>
      </c>
      <c r="B915" s="128" t="s">
        <v>510</v>
      </c>
      <c r="C915" s="174"/>
      <c r="D915" s="74">
        <f t="shared" si="109"/>
        <v>0</v>
      </c>
      <c r="E915" s="74">
        <f t="shared" si="112"/>
        <v>0</v>
      </c>
      <c r="F915" s="491" t="e">
        <f t="shared" si="110"/>
        <v>#DIV/0!</v>
      </c>
      <c r="G915" s="88"/>
      <c r="H915" s="89"/>
      <c r="I915" s="468" t="e">
        <f t="shared" si="111"/>
        <v>#DIV/0!</v>
      </c>
      <c r="J915" s="126"/>
      <c r="K915" s="89"/>
      <c r="L915" s="391"/>
      <c r="M915" s="88"/>
      <c r="N915" s="89"/>
      <c r="O915" s="224"/>
      <c r="P915" s="89"/>
      <c r="Q915" s="89"/>
      <c r="R915" s="362"/>
    </row>
    <row r="916" spans="1:18" ht="24" hidden="1">
      <c r="A916" s="124">
        <v>4309</v>
      </c>
      <c r="B916" s="128" t="s">
        <v>510</v>
      </c>
      <c r="C916" s="174"/>
      <c r="D916" s="74">
        <f t="shared" si="109"/>
        <v>0</v>
      </c>
      <c r="E916" s="74">
        <f t="shared" si="112"/>
        <v>0</v>
      </c>
      <c r="F916" s="491" t="e">
        <f t="shared" si="110"/>
        <v>#DIV/0!</v>
      </c>
      <c r="G916" s="88"/>
      <c r="H916" s="89"/>
      <c r="I916" s="468" t="e">
        <f t="shared" si="111"/>
        <v>#DIV/0!</v>
      </c>
      <c r="J916" s="126"/>
      <c r="K916" s="89"/>
      <c r="L916" s="391"/>
      <c r="M916" s="88"/>
      <c r="N916" s="89"/>
      <c r="O916" s="224"/>
      <c r="P916" s="89"/>
      <c r="Q916" s="89"/>
      <c r="R916" s="362"/>
    </row>
    <row r="917" spans="1:18" ht="12.75" hidden="1">
      <c r="A917" s="124">
        <v>4438</v>
      </c>
      <c r="B917" s="206" t="s">
        <v>512</v>
      </c>
      <c r="C917" s="174"/>
      <c r="D917" s="74">
        <f t="shared" si="109"/>
        <v>0</v>
      </c>
      <c r="E917" s="74">
        <f t="shared" si="112"/>
        <v>0</v>
      </c>
      <c r="F917" s="491" t="e">
        <f t="shared" si="110"/>
        <v>#DIV/0!</v>
      </c>
      <c r="G917" s="88"/>
      <c r="H917" s="89"/>
      <c r="I917" s="468" t="e">
        <f t="shared" si="111"/>
        <v>#DIV/0!</v>
      </c>
      <c r="J917" s="126"/>
      <c r="K917" s="89"/>
      <c r="L917" s="391"/>
      <c r="M917" s="88"/>
      <c r="N917" s="89"/>
      <c r="O917" s="224"/>
      <c r="P917" s="89"/>
      <c r="Q917" s="89"/>
      <c r="R917" s="362"/>
    </row>
    <row r="918" spans="1:18" ht="12.75" hidden="1">
      <c r="A918" s="124">
        <v>4439</v>
      </c>
      <c r="B918" s="206" t="s">
        <v>512</v>
      </c>
      <c r="C918" s="174"/>
      <c r="D918" s="74">
        <f t="shared" si="109"/>
        <v>0</v>
      </c>
      <c r="E918" s="74">
        <f t="shared" si="112"/>
        <v>0</v>
      </c>
      <c r="F918" s="491" t="e">
        <f t="shared" si="110"/>
        <v>#DIV/0!</v>
      </c>
      <c r="G918" s="88"/>
      <c r="H918" s="89"/>
      <c r="I918" s="468" t="e">
        <f t="shared" si="111"/>
        <v>#DIV/0!</v>
      </c>
      <c r="J918" s="126"/>
      <c r="K918" s="89"/>
      <c r="L918" s="391"/>
      <c r="M918" s="88"/>
      <c r="N918" s="89"/>
      <c r="O918" s="224"/>
      <c r="P918" s="89"/>
      <c r="Q918" s="89"/>
      <c r="R918" s="362"/>
    </row>
    <row r="919" spans="1:18" ht="48" hidden="1">
      <c r="A919" s="124">
        <v>4215</v>
      </c>
      <c r="B919" s="128" t="s">
        <v>324</v>
      </c>
      <c r="C919" s="174"/>
      <c r="D919" s="74">
        <f t="shared" si="109"/>
        <v>0</v>
      </c>
      <c r="E919" s="74">
        <f t="shared" si="112"/>
        <v>0</v>
      </c>
      <c r="F919" s="491" t="e">
        <f t="shared" si="110"/>
        <v>#DIV/0!</v>
      </c>
      <c r="G919" s="88"/>
      <c r="H919" s="89"/>
      <c r="I919" s="468" t="e">
        <f t="shared" si="111"/>
        <v>#DIV/0!</v>
      </c>
      <c r="J919" s="126"/>
      <c r="K919" s="89"/>
      <c r="L919" s="391"/>
      <c r="M919" s="88"/>
      <c r="N919" s="89"/>
      <c r="O919" s="224"/>
      <c r="P919" s="89"/>
      <c r="Q919" s="89"/>
      <c r="R919" s="362"/>
    </row>
    <row r="920" spans="1:18" s="143" customFormat="1" ht="36">
      <c r="A920" s="570"/>
      <c r="B920" s="571" t="s">
        <v>396</v>
      </c>
      <c r="C920" s="572"/>
      <c r="D920" s="512">
        <f t="shared" si="109"/>
        <v>136504</v>
      </c>
      <c r="E920" s="512">
        <f t="shared" si="112"/>
        <v>136503</v>
      </c>
      <c r="F920" s="526">
        <f t="shared" si="110"/>
        <v>99.99926742073492</v>
      </c>
      <c r="G920" s="572">
        <f>SUM(G921:G930)</f>
        <v>136504</v>
      </c>
      <c r="H920" s="512">
        <f>SUM(H921:H930)</f>
        <v>136503</v>
      </c>
      <c r="I920" s="470">
        <f t="shared" si="111"/>
        <v>99.99926742073492</v>
      </c>
      <c r="J920" s="573"/>
      <c r="K920" s="512"/>
      <c r="L920" s="425"/>
      <c r="M920" s="572"/>
      <c r="N920" s="512"/>
      <c r="O920" s="464"/>
      <c r="P920" s="512"/>
      <c r="Q920" s="512"/>
      <c r="R920" s="574"/>
    </row>
    <row r="921" spans="1:18" ht="24">
      <c r="A921" s="124">
        <v>4215</v>
      </c>
      <c r="B921" s="128" t="s">
        <v>502</v>
      </c>
      <c r="C921" s="174"/>
      <c r="D921" s="74">
        <f t="shared" si="109"/>
        <v>19031</v>
      </c>
      <c r="E921" s="74">
        <f t="shared" si="112"/>
        <v>19030</v>
      </c>
      <c r="F921" s="491">
        <f t="shared" si="110"/>
        <v>99.99474541537492</v>
      </c>
      <c r="G921" s="88">
        <f>18885+146</f>
        <v>19031</v>
      </c>
      <c r="H921" s="89">
        <f>19031-1</f>
        <v>19030</v>
      </c>
      <c r="I921" s="468">
        <f t="shared" si="111"/>
        <v>99.99474541537492</v>
      </c>
      <c r="J921" s="126"/>
      <c r="K921" s="89"/>
      <c r="L921" s="391"/>
      <c r="M921" s="88"/>
      <c r="N921" s="89"/>
      <c r="O921" s="442"/>
      <c r="P921" s="89"/>
      <c r="Q921" s="89"/>
      <c r="R921" s="362"/>
    </row>
    <row r="922" spans="1:18" ht="36">
      <c r="A922" s="124">
        <v>4245</v>
      </c>
      <c r="B922" s="128" t="s">
        <v>563</v>
      </c>
      <c r="C922" s="174"/>
      <c r="D922" s="74">
        <f t="shared" si="109"/>
        <v>4000</v>
      </c>
      <c r="E922" s="74">
        <f t="shared" si="112"/>
        <v>4000</v>
      </c>
      <c r="F922" s="491">
        <f t="shared" si="110"/>
        <v>100</v>
      </c>
      <c r="G922" s="88">
        <v>4000</v>
      </c>
      <c r="H922" s="89">
        <v>4000</v>
      </c>
      <c r="I922" s="468">
        <f t="shared" si="111"/>
        <v>100</v>
      </c>
      <c r="J922" s="126"/>
      <c r="K922" s="89"/>
      <c r="L922" s="391"/>
      <c r="M922" s="88"/>
      <c r="N922" s="89"/>
      <c r="O922" s="442"/>
      <c r="P922" s="89"/>
      <c r="Q922" s="89"/>
      <c r="R922" s="362"/>
    </row>
    <row r="923" spans="1:18" ht="24" hidden="1">
      <c r="A923" s="124">
        <v>4300</v>
      </c>
      <c r="B923" s="128" t="s">
        <v>510</v>
      </c>
      <c r="C923" s="174"/>
      <c r="D923" s="74">
        <f>G923+J923+P923+M923</f>
        <v>0</v>
      </c>
      <c r="E923" s="74">
        <f>SUM(H923+K923+N923+Q923)</f>
        <v>0</v>
      </c>
      <c r="F923" s="491" t="e">
        <f t="shared" si="110"/>
        <v>#DIV/0!</v>
      </c>
      <c r="G923" s="88"/>
      <c r="H923" s="89"/>
      <c r="I923" s="468" t="e">
        <f t="shared" si="111"/>
        <v>#DIV/0!</v>
      </c>
      <c r="J923" s="126"/>
      <c r="K923" s="89"/>
      <c r="L923" s="391"/>
      <c r="M923" s="88"/>
      <c r="N923" s="89"/>
      <c r="O923" s="442"/>
      <c r="P923" s="89"/>
      <c r="Q923" s="89"/>
      <c r="R923" s="362"/>
    </row>
    <row r="924" spans="1:18" ht="24">
      <c r="A924" s="124">
        <v>4305</v>
      </c>
      <c r="B924" s="128" t="s">
        <v>510</v>
      </c>
      <c r="C924" s="174"/>
      <c r="D924" s="74">
        <f t="shared" si="109"/>
        <v>18636</v>
      </c>
      <c r="E924" s="74">
        <f t="shared" si="112"/>
        <v>18636</v>
      </c>
      <c r="F924" s="491">
        <f t="shared" si="110"/>
        <v>100</v>
      </c>
      <c r="G924" s="88">
        <f>18361+275</f>
        <v>18636</v>
      </c>
      <c r="H924" s="89">
        <v>18636</v>
      </c>
      <c r="I924" s="468">
        <f t="shared" si="111"/>
        <v>100</v>
      </c>
      <c r="J924" s="126"/>
      <c r="K924" s="89"/>
      <c r="L924" s="391"/>
      <c r="M924" s="88"/>
      <c r="N924" s="89"/>
      <c r="O924" s="442"/>
      <c r="P924" s="89"/>
      <c r="Q924" s="89"/>
      <c r="R924" s="362"/>
    </row>
    <row r="925" spans="1:18" ht="24">
      <c r="A925" s="124">
        <v>4355</v>
      </c>
      <c r="B925" s="128" t="s">
        <v>48</v>
      </c>
      <c r="C925" s="174"/>
      <c r="D925" s="74">
        <f>G925+J925+P925+M925</f>
        <v>500</v>
      </c>
      <c r="E925" s="74">
        <f>SUM(H925+K925+N925+Q925)</f>
        <v>500</v>
      </c>
      <c r="F925" s="491">
        <f t="shared" si="110"/>
        <v>100</v>
      </c>
      <c r="G925" s="88">
        <v>500</v>
      </c>
      <c r="H925" s="89">
        <v>500</v>
      </c>
      <c r="I925" s="468">
        <f t="shared" si="111"/>
        <v>100</v>
      </c>
      <c r="J925" s="126"/>
      <c r="K925" s="89"/>
      <c r="L925" s="391"/>
      <c r="M925" s="88"/>
      <c r="N925" s="89"/>
      <c r="O925" s="442"/>
      <c r="P925" s="89"/>
      <c r="Q925" s="89"/>
      <c r="R925" s="362"/>
    </row>
    <row r="926" spans="1:18" ht="24">
      <c r="A926" s="124">
        <v>4415</v>
      </c>
      <c r="B926" s="128" t="s">
        <v>484</v>
      </c>
      <c r="C926" s="174"/>
      <c r="D926" s="74">
        <f>G926+J926+P926+M926</f>
        <v>3000</v>
      </c>
      <c r="E926" s="74">
        <f>SUM(H926+K926+N926+Q926)</f>
        <v>3000</v>
      </c>
      <c r="F926" s="491">
        <f>E926/D926*100</f>
        <v>100</v>
      </c>
      <c r="G926" s="88">
        <v>3000</v>
      </c>
      <c r="H926" s="89">
        <v>3000</v>
      </c>
      <c r="I926" s="468">
        <f t="shared" si="111"/>
        <v>100</v>
      </c>
      <c r="J926" s="126"/>
      <c r="K926" s="89"/>
      <c r="L926" s="391"/>
      <c r="M926" s="88"/>
      <c r="N926" s="89"/>
      <c r="O926" s="442"/>
      <c r="P926" s="89"/>
      <c r="Q926" s="89"/>
      <c r="R926" s="362"/>
    </row>
    <row r="927" spans="1:18" ht="24">
      <c r="A927" s="124">
        <v>4425</v>
      </c>
      <c r="B927" s="128" t="s">
        <v>556</v>
      </c>
      <c r="C927" s="174"/>
      <c r="D927" s="74">
        <f t="shared" si="109"/>
        <v>84349</v>
      </c>
      <c r="E927" s="74">
        <f t="shared" si="112"/>
        <v>84349</v>
      </c>
      <c r="F927" s="491">
        <f t="shared" si="110"/>
        <v>100</v>
      </c>
      <c r="G927" s="88">
        <f>87758-3409</f>
        <v>84349</v>
      </c>
      <c r="H927" s="89">
        <v>84349</v>
      </c>
      <c r="I927" s="468">
        <f t="shared" si="111"/>
        <v>100</v>
      </c>
      <c r="J927" s="126"/>
      <c r="K927" s="89"/>
      <c r="L927" s="391"/>
      <c r="M927" s="88"/>
      <c r="N927" s="89"/>
      <c r="O927" s="224"/>
      <c r="P927" s="89"/>
      <c r="Q927" s="89"/>
      <c r="R927" s="362"/>
    </row>
    <row r="928" spans="1:18" ht="12.75">
      <c r="A928" s="124">
        <v>4435</v>
      </c>
      <c r="B928" s="206" t="s">
        <v>512</v>
      </c>
      <c r="C928" s="174"/>
      <c r="D928" s="74">
        <f t="shared" si="109"/>
        <v>2588</v>
      </c>
      <c r="E928" s="74">
        <f t="shared" si="112"/>
        <v>2588</v>
      </c>
      <c r="F928" s="491">
        <f t="shared" si="110"/>
        <v>100</v>
      </c>
      <c r="G928" s="88">
        <f>2600-12</f>
        <v>2588</v>
      </c>
      <c r="H928" s="89">
        <v>2588</v>
      </c>
      <c r="I928" s="468">
        <f t="shared" si="111"/>
        <v>100</v>
      </c>
      <c r="J928" s="126"/>
      <c r="K928" s="89"/>
      <c r="L928" s="391"/>
      <c r="M928" s="88"/>
      <c r="N928" s="89"/>
      <c r="O928" s="224"/>
      <c r="P928" s="89"/>
      <c r="Q928" s="89"/>
      <c r="R928" s="362"/>
    </row>
    <row r="929" spans="1:18" ht="60">
      <c r="A929" s="124">
        <v>4745</v>
      </c>
      <c r="B929" s="337" t="s">
        <v>290</v>
      </c>
      <c r="C929" s="174"/>
      <c r="D929" s="74">
        <f t="shared" si="109"/>
        <v>1000</v>
      </c>
      <c r="E929" s="74">
        <f t="shared" si="112"/>
        <v>1000</v>
      </c>
      <c r="F929" s="491">
        <f t="shared" si="110"/>
        <v>100</v>
      </c>
      <c r="G929" s="88">
        <v>1000</v>
      </c>
      <c r="H929" s="89">
        <v>1000</v>
      </c>
      <c r="I929" s="468">
        <f t="shared" si="111"/>
        <v>100</v>
      </c>
      <c r="J929" s="126"/>
      <c r="K929" s="89"/>
      <c r="L929" s="391"/>
      <c r="M929" s="88"/>
      <c r="N929" s="89"/>
      <c r="O929" s="224"/>
      <c r="P929" s="89"/>
      <c r="Q929" s="89"/>
      <c r="R929" s="362"/>
    </row>
    <row r="930" spans="1:18" ht="36">
      <c r="A930" s="124">
        <v>4755</v>
      </c>
      <c r="B930" s="337" t="s">
        <v>291</v>
      </c>
      <c r="C930" s="174"/>
      <c r="D930" s="74">
        <f t="shared" si="109"/>
        <v>3400</v>
      </c>
      <c r="E930" s="74">
        <f t="shared" si="112"/>
        <v>3400</v>
      </c>
      <c r="F930" s="491">
        <f t="shared" si="110"/>
        <v>100</v>
      </c>
      <c r="G930" s="88">
        <v>3400</v>
      </c>
      <c r="H930" s="89">
        <v>3400</v>
      </c>
      <c r="I930" s="468">
        <f t="shared" si="111"/>
        <v>100</v>
      </c>
      <c r="J930" s="126"/>
      <c r="K930" s="89"/>
      <c r="L930" s="391"/>
      <c r="M930" s="88"/>
      <c r="N930" s="89"/>
      <c r="O930" s="224"/>
      <c r="P930" s="89"/>
      <c r="Q930" s="89"/>
      <c r="R930" s="362"/>
    </row>
    <row r="931" spans="1:18" s="143" customFormat="1" ht="48">
      <c r="A931" s="135"/>
      <c r="B931" s="136" t="s">
        <v>397</v>
      </c>
      <c r="C931" s="137"/>
      <c r="D931" s="139">
        <f>G931+J931+P931+M931</f>
        <v>37300</v>
      </c>
      <c r="E931" s="139">
        <f>SUM(H931+K931+N931+Q931)</f>
        <v>37299</v>
      </c>
      <c r="F931" s="491">
        <f t="shared" si="110"/>
        <v>99.99731903485255</v>
      </c>
      <c r="G931" s="137"/>
      <c r="H931" s="139"/>
      <c r="I931" s="468"/>
      <c r="J931" s="140"/>
      <c r="K931" s="139"/>
      <c r="L931" s="403"/>
      <c r="M931" s="137">
        <f>SUM(M932:M935)</f>
        <v>37300</v>
      </c>
      <c r="N931" s="139">
        <f>SUM(N932:N935)</f>
        <v>37299</v>
      </c>
      <c r="O931" s="459">
        <f>N931/M931*100</f>
        <v>99.99731903485255</v>
      </c>
      <c r="P931" s="139"/>
      <c r="Q931" s="139"/>
      <c r="R931" s="364"/>
    </row>
    <row r="932" spans="1:18" ht="24">
      <c r="A932" s="124">
        <v>4215</v>
      </c>
      <c r="B932" s="128" t="s">
        <v>502</v>
      </c>
      <c r="C932" s="174"/>
      <c r="D932" s="74">
        <f>G932+J932+P932+M932</f>
        <v>1700</v>
      </c>
      <c r="E932" s="74">
        <f>SUM(H932+K932+N932+Q932)</f>
        <v>1700</v>
      </c>
      <c r="F932" s="491">
        <f t="shared" si="110"/>
        <v>100</v>
      </c>
      <c r="G932" s="88"/>
      <c r="H932" s="89"/>
      <c r="I932" s="468"/>
      <c r="J932" s="126"/>
      <c r="K932" s="89"/>
      <c r="L932" s="391"/>
      <c r="M932" s="88">
        <v>1700</v>
      </c>
      <c r="N932" s="89">
        <v>1700</v>
      </c>
      <c r="O932" s="442">
        <f>N932/M932*100</f>
        <v>100</v>
      </c>
      <c r="P932" s="89"/>
      <c r="Q932" s="89"/>
      <c r="R932" s="362"/>
    </row>
    <row r="933" spans="1:18" ht="24">
      <c r="A933" s="124">
        <v>4305</v>
      </c>
      <c r="B933" s="128" t="s">
        <v>510</v>
      </c>
      <c r="C933" s="174"/>
      <c r="D933" s="74">
        <f>G933+J933+P933+M933</f>
        <v>35063</v>
      </c>
      <c r="E933" s="74">
        <f>SUM(H933+K933+N933+Q933)</f>
        <v>35062</v>
      </c>
      <c r="F933" s="491">
        <f t="shared" si="110"/>
        <v>99.99714799075949</v>
      </c>
      <c r="G933" s="88"/>
      <c r="H933" s="89"/>
      <c r="I933" s="468"/>
      <c r="J933" s="126"/>
      <c r="K933" s="89"/>
      <c r="L933" s="391"/>
      <c r="M933" s="88">
        <v>35063</v>
      </c>
      <c r="N933" s="89">
        <v>35062</v>
      </c>
      <c r="O933" s="442">
        <f>N933/M933*100</f>
        <v>99.99714799075949</v>
      </c>
      <c r="P933" s="89"/>
      <c r="Q933" s="89"/>
      <c r="R933" s="362"/>
    </row>
    <row r="934" spans="1:18" ht="48">
      <c r="A934" s="172">
        <v>4365</v>
      </c>
      <c r="B934" s="337" t="s">
        <v>297</v>
      </c>
      <c r="C934" s="174"/>
      <c r="D934" s="74">
        <f>G934+J934+P934+M934</f>
        <v>179</v>
      </c>
      <c r="E934" s="74">
        <f>SUM(H934+K934+N934+Q934)</f>
        <v>179</v>
      </c>
      <c r="F934" s="491">
        <f t="shared" si="110"/>
        <v>100</v>
      </c>
      <c r="G934" s="88"/>
      <c r="H934" s="89"/>
      <c r="I934" s="468"/>
      <c r="J934" s="126"/>
      <c r="K934" s="89"/>
      <c r="L934" s="391"/>
      <c r="M934" s="88">
        <v>179</v>
      </c>
      <c r="N934" s="89">
        <v>179</v>
      </c>
      <c r="O934" s="442">
        <f>N934/M934*100</f>
        <v>100</v>
      </c>
      <c r="P934" s="89"/>
      <c r="Q934" s="89"/>
      <c r="R934" s="362"/>
    </row>
    <row r="935" spans="1:18" ht="12.75">
      <c r="A935" s="158">
        <v>4435</v>
      </c>
      <c r="B935" s="258" t="s">
        <v>512</v>
      </c>
      <c r="C935" s="176"/>
      <c r="D935" s="161">
        <f>G935+J935+P935+M935</f>
        <v>358</v>
      </c>
      <c r="E935" s="161">
        <f>SUM(H935+K935+N935+Q935)</f>
        <v>358</v>
      </c>
      <c r="F935" s="527">
        <f t="shared" si="110"/>
        <v>100</v>
      </c>
      <c r="G935" s="160"/>
      <c r="H935" s="155"/>
      <c r="I935" s="469"/>
      <c r="J935" s="162"/>
      <c r="K935" s="155"/>
      <c r="L935" s="415"/>
      <c r="M935" s="160">
        <v>358</v>
      </c>
      <c r="N935" s="155">
        <v>358</v>
      </c>
      <c r="O935" s="462">
        <f>N935/M935*100</f>
        <v>100</v>
      </c>
      <c r="P935" s="155"/>
      <c r="Q935" s="155"/>
      <c r="R935" s="366"/>
    </row>
    <row r="936" spans="1:18" s="143" customFormat="1" ht="84">
      <c r="A936" s="135"/>
      <c r="B936" s="136" t="s">
        <v>466</v>
      </c>
      <c r="C936" s="137">
        <f>SUM(C937:C943)</f>
        <v>122205</v>
      </c>
      <c r="D936" s="139">
        <f t="shared" si="109"/>
        <v>122205</v>
      </c>
      <c r="E936" s="139">
        <f t="shared" si="112"/>
        <v>61100</v>
      </c>
      <c r="F936" s="491">
        <f t="shared" si="110"/>
        <v>49.997954257190784</v>
      </c>
      <c r="G936" s="137"/>
      <c r="H936" s="139"/>
      <c r="I936" s="280"/>
      <c r="J936" s="140"/>
      <c r="K936" s="139"/>
      <c r="L936" s="403"/>
      <c r="M936" s="137">
        <f>SUM(M937:M943)</f>
        <v>122205</v>
      </c>
      <c r="N936" s="139">
        <f>SUM(N937:N943)</f>
        <v>61100</v>
      </c>
      <c r="O936" s="459">
        <f aca="true" t="shared" si="113" ref="O936:O943">N936/M936*100</f>
        <v>49.997954257190784</v>
      </c>
      <c r="P936" s="139"/>
      <c r="Q936" s="139"/>
      <c r="R936" s="364"/>
    </row>
    <row r="937" spans="1:18" ht="24">
      <c r="A937" s="124">
        <v>4115</v>
      </c>
      <c r="B937" s="277" t="s">
        <v>498</v>
      </c>
      <c r="C937" s="174">
        <v>90</v>
      </c>
      <c r="D937" s="74">
        <f t="shared" si="109"/>
        <v>90</v>
      </c>
      <c r="E937" s="74">
        <f t="shared" si="112"/>
        <v>30</v>
      </c>
      <c r="F937" s="491">
        <f t="shared" si="110"/>
        <v>33.33333333333333</v>
      </c>
      <c r="G937" s="88"/>
      <c r="H937" s="89"/>
      <c r="I937" s="280"/>
      <c r="J937" s="126"/>
      <c r="K937" s="89"/>
      <c r="L937" s="391"/>
      <c r="M937" s="88">
        <v>90</v>
      </c>
      <c r="N937" s="89">
        <v>30</v>
      </c>
      <c r="O937" s="442">
        <f t="shared" si="113"/>
        <v>33.33333333333333</v>
      </c>
      <c r="P937" s="89"/>
      <c r="Q937" s="89"/>
      <c r="R937" s="362"/>
    </row>
    <row r="938" spans="1:18" ht="12.75">
      <c r="A938" s="124">
        <v>4125</v>
      </c>
      <c r="B938" s="277" t="s">
        <v>571</v>
      </c>
      <c r="C938" s="174">
        <v>30</v>
      </c>
      <c r="D938" s="74">
        <f t="shared" si="109"/>
        <v>30</v>
      </c>
      <c r="E938" s="74">
        <f t="shared" si="112"/>
        <v>10</v>
      </c>
      <c r="F938" s="491">
        <f t="shared" si="110"/>
        <v>33.33333333333333</v>
      </c>
      <c r="G938" s="88"/>
      <c r="H938" s="89"/>
      <c r="I938" s="280"/>
      <c r="J938" s="126"/>
      <c r="K938" s="89"/>
      <c r="L938" s="391"/>
      <c r="M938" s="88">
        <v>30</v>
      </c>
      <c r="N938" s="89">
        <v>10</v>
      </c>
      <c r="O938" s="442">
        <f t="shared" si="113"/>
        <v>33.33333333333333</v>
      </c>
      <c r="P938" s="89"/>
      <c r="Q938" s="89"/>
      <c r="R938" s="362"/>
    </row>
    <row r="939" spans="1:18" ht="24">
      <c r="A939" s="124">
        <v>4175</v>
      </c>
      <c r="B939" s="128" t="s">
        <v>536</v>
      </c>
      <c r="C939" s="174">
        <v>480</v>
      </c>
      <c r="D939" s="74">
        <f t="shared" si="109"/>
        <v>480</v>
      </c>
      <c r="E939" s="74">
        <f t="shared" si="112"/>
        <v>160</v>
      </c>
      <c r="F939" s="491">
        <f t="shared" si="110"/>
        <v>33.33333333333333</v>
      </c>
      <c r="G939" s="88"/>
      <c r="H939" s="89"/>
      <c r="I939" s="280"/>
      <c r="J939" s="126"/>
      <c r="K939" s="89"/>
      <c r="L939" s="391"/>
      <c r="M939" s="88">
        <v>480</v>
      </c>
      <c r="N939" s="89">
        <v>160</v>
      </c>
      <c r="O939" s="442">
        <f t="shared" si="113"/>
        <v>33.33333333333333</v>
      </c>
      <c r="P939" s="89"/>
      <c r="Q939" s="89"/>
      <c r="R939" s="362"/>
    </row>
    <row r="940" spans="1:18" ht="24" hidden="1">
      <c r="A940" s="124">
        <v>4215</v>
      </c>
      <c r="B940" s="128" t="s">
        <v>502</v>
      </c>
      <c r="C940" s="174"/>
      <c r="D940" s="74">
        <f>G940+J940+P940+M940</f>
        <v>0</v>
      </c>
      <c r="E940" s="74">
        <f>SUM(H940+K940+N940+Q940)</f>
        <v>0</v>
      </c>
      <c r="F940" s="491" t="e">
        <f t="shared" si="110"/>
        <v>#DIV/0!</v>
      </c>
      <c r="G940" s="88"/>
      <c r="H940" s="89"/>
      <c r="I940" s="280"/>
      <c r="J940" s="126"/>
      <c r="K940" s="89"/>
      <c r="L940" s="391"/>
      <c r="M940" s="88"/>
      <c r="N940" s="89"/>
      <c r="O940" s="442" t="e">
        <f t="shared" si="113"/>
        <v>#DIV/0!</v>
      </c>
      <c r="P940" s="89"/>
      <c r="Q940" s="89"/>
      <c r="R940" s="362"/>
    </row>
    <row r="941" spans="1:18" ht="36">
      <c r="A941" s="124">
        <v>4245</v>
      </c>
      <c r="B941" s="128" t="s">
        <v>563</v>
      </c>
      <c r="C941" s="174">
        <v>400</v>
      </c>
      <c r="D941" s="74">
        <f t="shared" si="109"/>
        <v>400</v>
      </c>
      <c r="E941" s="74">
        <f t="shared" si="112"/>
        <v>400</v>
      </c>
      <c r="F941" s="491">
        <f t="shared" si="110"/>
        <v>100</v>
      </c>
      <c r="G941" s="88"/>
      <c r="H941" s="89"/>
      <c r="I941" s="280"/>
      <c r="J941" s="126"/>
      <c r="K941" s="89"/>
      <c r="L941" s="391"/>
      <c r="M941" s="88">
        <v>400</v>
      </c>
      <c r="N941" s="89">
        <v>400</v>
      </c>
      <c r="O941" s="442">
        <f t="shared" si="113"/>
        <v>100</v>
      </c>
      <c r="P941" s="89"/>
      <c r="Q941" s="89"/>
      <c r="R941" s="362"/>
    </row>
    <row r="942" spans="1:18" ht="24">
      <c r="A942" s="124">
        <v>4305</v>
      </c>
      <c r="B942" s="128" t="s">
        <v>510</v>
      </c>
      <c r="C942" s="174">
        <v>110605</v>
      </c>
      <c r="D942" s="74">
        <f t="shared" si="109"/>
        <v>110605</v>
      </c>
      <c r="E942" s="74">
        <f t="shared" si="112"/>
        <v>55200</v>
      </c>
      <c r="F942" s="491">
        <f t="shared" si="110"/>
        <v>49.907327878486505</v>
      </c>
      <c r="G942" s="88"/>
      <c r="H942" s="89"/>
      <c r="I942" s="280"/>
      <c r="J942" s="126"/>
      <c r="K942" s="89"/>
      <c r="L942" s="391"/>
      <c r="M942" s="88">
        <v>110605</v>
      </c>
      <c r="N942" s="89">
        <v>55200</v>
      </c>
      <c r="O942" s="442">
        <f t="shared" si="113"/>
        <v>49.907327878486505</v>
      </c>
      <c r="P942" s="89"/>
      <c r="Q942" s="89"/>
      <c r="R942" s="362"/>
    </row>
    <row r="943" spans="1:18" ht="24.75" thickBot="1">
      <c r="A943" s="124">
        <v>4425</v>
      </c>
      <c r="B943" s="277" t="s">
        <v>556</v>
      </c>
      <c r="C943" s="174">
        <v>10600</v>
      </c>
      <c r="D943" s="74">
        <f t="shared" si="109"/>
        <v>10600</v>
      </c>
      <c r="E943" s="74">
        <f>SUM(H943+K943+N943+Q943)</f>
        <v>5300</v>
      </c>
      <c r="F943" s="491">
        <f t="shared" si="110"/>
        <v>50</v>
      </c>
      <c r="G943" s="88"/>
      <c r="H943" s="89"/>
      <c r="I943" s="280"/>
      <c r="J943" s="126"/>
      <c r="K943" s="89"/>
      <c r="L943" s="391"/>
      <c r="M943" s="88">
        <v>10600</v>
      </c>
      <c r="N943" s="89">
        <v>5300</v>
      </c>
      <c r="O943" s="442">
        <f t="shared" si="113"/>
        <v>50</v>
      </c>
      <c r="P943" s="89"/>
      <c r="Q943" s="89"/>
      <c r="R943" s="362"/>
    </row>
    <row r="944" spans="1:18" s="143" customFormat="1" ht="13.5" hidden="1" thickBot="1">
      <c r="A944" s="135"/>
      <c r="B944" s="136" t="s">
        <v>340</v>
      </c>
      <c r="C944" s="137"/>
      <c r="D944" s="139">
        <f t="shared" si="109"/>
        <v>0</v>
      </c>
      <c r="E944" s="139">
        <f>SUM(H944+K944+N944+Q944)</f>
        <v>0</v>
      </c>
      <c r="F944" s="491" t="e">
        <f t="shared" si="110"/>
        <v>#DIV/0!</v>
      </c>
      <c r="G944" s="137">
        <f>SUM(G945:G947)</f>
        <v>0</v>
      </c>
      <c r="H944" s="139">
        <f>SUM(H945:H947)</f>
        <v>0</v>
      </c>
      <c r="I944" s="280" t="e">
        <f t="shared" si="111"/>
        <v>#DIV/0!</v>
      </c>
      <c r="J944" s="140"/>
      <c r="K944" s="139"/>
      <c r="L944" s="403"/>
      <c r="M944" s="137"/>
      <c r="N944" s="139"/>
      <c r="O944" s="459"/>
      <c r="P944" s="139"/>
      <c r="Q944" s="139"/>
      <c r="R944" s="364"/>
    </row>
    <row r="945" spans="1:18" ht="24.75" hidden="1" thickBot="1">
      <c r="A945" s="124">
        <v>4170</v>
      </c>
      <c r="B945" s="128" t="s">
        <v>300</v>
      </c>
      <c r="C945" s="174"/>
      <c r="D945" s="74">
        <f t="shared" si="109"/>
        <v>0</v>
      </c>
      <c r="E945" s="74">
        <f>SUM(H945+K945+N945+Q945)</f>
        <v>0</v>
      </c>
      <c r="F945" s="491" t="e">
        <f t="shared" si="110"/>
        <v>#DIV/0!</v>
      </c>
      <c r="G945" s="88"/>
      <c r="H945" s="89"/>
      <c r="I945" s="468" t="e">
        <f t="shared" si="111"/>
        <v>#DIV/0!</v>
      </c>
      <c r="J945" s="126"/>
      <c r="K945" s="89"/>
      <c r="L945" s="391"/>
      <c r="M945" s="88"/>
      <c r="N945" s="89"/>
      <c r="O945" s="442"/>
      <c r="P945" s="89"/>
      <c r="Q945" s="89"/>
      <c r="R945" s="362"/>
    </row>
    <row r="946" spans="1:18" ht="24.75" hidden="1" thickBot="1">
      <c r="A946" s="124">
        <v>4110</v>
      </c>
      <c r="B946" s="128" t="s">
        <v>498</v>
      </c>
      <c r="C946" s="174"/>
      <c r="D946" s="74">
        <f t="shared" si="109"/>
        <v>0</v>
      </c>
      <c r="E946" s="74">
        <f>SUM(H946+K946+N946+Q946)</f>
        <v>0</v>
      </c>
      <c r="F946" s="491" t="e">
        <f t="shared" si="110"/>
        <v>#DIV/0!</v>
      </c>
      <c r="G946" s="88"/>
      <c r="H946" s="89"/>
      <c r="I946" s="280" t="e">
        <f t="shared" si="111"/>
        <v>#DIV/0!</v>
      </c>
      <c r="J946" s="126"/>
      <c r="K946" s="89"/>
      <c r="L946" s="391"/>
      <c r="M946" s="88"/>
      <c r="N946" s="89"/>
      <c r="O946" s="442"/>
      <c r="P946" s="89"/>
      <c r="Q946" s="89"/>
      <c r="R946" s="362"/>
    </row>
    <row r="947" spans="1:18" ht="13.5" hidden="1" thickBot="1">
      <c r="A947" s="124">
        <v>4120</v>
      </c>
      <c r="B947" s="128" t="s">
        <v>571</v>
      </c>
      <c r="C947" s="174"/>
      <c r="D947" s="74">
        <f t="shared" si="109"/>
        <v>0</v>
      </c>
      <c r="E947" s="74">
        <f>SUM(H947+K947+N947+Q947)</f>
        <v>0</v>
      </c>
      <c r="F947" s="491" t="e">
        <f t="shared" si="110"/>
        <v>#DIV/0!</v>
      </c>
      <c r="G947" s="88"/>
      <c r="H947" s="89"/>
      <c r="I947" s="280" t="e">
        <f t="shared" si="111"/>
        <v>#DIV/0!</v>
      </c>
      <c r="J947" s="126"/>
      <c r="K947" s="89"/>
      <c r="L947" s="391"/>
      <c r="M947" s="88"/>
      <c r="N947" s="89"/>
      <c r="O947" s="442"/>
      <c r="P947" s="89"/>
      <c r="Q947" s="89"/>
      <c r="R947" s="362"/>
    </row>
    <row r="948" spans="1:18" ht="27" customHeight="1" thickBot="1" thickTop="1">
      <c r="A948" s="114">
        <v>803</v>
      </c>
      <c r="B948" s="115" t="s">
        <v>76</v>
      </c>
      <c r="C948" s="133">
        <f>SUM(C949)+C959</f>
        <v>15000</v>
      </c>
      <c r="D948" s="59">
        <f t="shared" si="109"/>
        <v>45530</v>
      </c>
      <c r="E948" s="59">
        <f>E949+E959</f>
        <v>20427</v>
      </c>
      <c r="F948" s="524">
        <f t="shared" si="110"/>
        <v>44.864924225785195</v>
      </c>
      <c r="G948" s="116">
        <f>G949+G959</f>
        <v>45530</v>
      </c>
      <c r="H948" s="107">
        <f>H949+H959</f>
        <v>20427</v>
      </c>
      <c r="I948" s="416">
        <f t="shared" si="111"/>
        <v>44.864924225785195</v>
      </c>
      <c r="J948" s="117"/>
      <c r="K948" s="107"/>
      <c r="L948" s="419"/>
      <c r="M948" s="116"/>
      <c r="N948" s="107"/>
      <c r="O948" s="390"/>
      <c r="P948" s="107"/>
      <c r="Q948" s="107"/>
      <c r="R948" s="373"/>
    </row>
    <row r="949" spans="1:18" ht="23.25" customHeight="1" thickTop="1">
      <c r="A949" s="255">
        <v>80309</v>
      </c>
      <c r="B949" s="256" t="s">
        <v>240</v>
      </c>
      <c r="C949" s="215">
        <f>SUM(C950:C951)</f>
        <v>10000</v>
      </c>
      <c r="D949" s="67">
        <f t="shared" si="109"/>
        <v>20530</v>
      </c>
      <c r="E949" s="67">
        <f>H949+K949+Q949+N949</f>
        <v>16380</v>
      </c>
      <c r="F949" s="525">
        <f t="shared" si="110"/>
        <v>79.78567949342425</v>
      </c>
      <c r="G949" s="257">
        <f>SUM(G950:G951)</f>
        <v>20530</v>
      </c>
      <c r="H949" s="186">
        <f>SUM(H950:H951)</f>
        <v>16380</v>
      </c>
      <c r="I949" s="382">
        <f t="shared" si="111"/>
        <v>79.78567949342425</v>
      </c>
      <c r="J949" s="269"/>
      <c r="K949" s="186"/>
      <c r="L949" s="420"/>
      <c r="M949" s="257"/>
      <c r="N949" s="186"/>
      <c r="O949" s="412"/>
      <c r="P949" s="186"/>
      <c r="Q949" s="186"/>
      <c r="R949" s="380"/>
    </row>
    <row r="950" spans="1:18" ht="12.75">
      <c r="A950" s="108">
        <v>3250</v>
      </c>
      <c r="B950" s="199" t="s">
        <v>301</v>
      </c>
      <c r="C950" s="102">
        <v>10000</v>
      </c>
      <c r="D950" s="103">
        <f t="shared" si="109"/>
        <v>20530</v>
      </c>
      <c r="E950" s="103">
        <f aca="true" t="shared" si="114" ref="E950:E958">SUM(H950+K950+N950+Q950)</f>
        <v>16380</v>
      </c>
      <c r="F950" s="526">
        <f t="shared" si="110"/>
        <v>79.78567949342425</v>
      </c>
      <c r="G950" s="90">
        <f>10000+10530</f>
        <v>20530</v>
      </c>
      <c r="H950" s="104">
        <v>16380</v>
      </c>
      <c r="I950" s="357">
        <f t="shared" si="111"/>
        <v>79.78567949342425</v>
      </c>
      <c r="J950" s="200"/>
      <c r="K950" s="104"/>
      <c r="L950" s="414"/>
      <c r="M950" s="90"/>
      <c r="N950" s="104"/>
      <c r="O950" s="388"/>
      <c r="P950" s="104"/>
      <c r="Q950" s="104"/>
      <c r="R950" s="365"/>
    </row>
    <row r="951" spans="1:18" s="143" customFormat="1" ht="48" hidden="1">
      <c r="A951" s="135"/>
      <c r="B951" s="136" t="s">
        <v>302</v>
      </c>
      <c r="C951" s="137">
        <f>SUM(C952:C958)</f>
        <v>0</v>
      </c>
      <c r="D951" s="139">
        <f t="shared" si="109"/>
        <v>0</v>
      </c>
      <c r="E951" s="139">
        <f t="shared" si="114"/>
        <v>0</v>
      </c>
      <c r="F951" s="491" t="e">
        <f t="shared" si="110"/>
        <v>#DIV/0!</v>
      </c>
      <c r="G951" s="137">
        <f>SUM(G952:G958)</f>
        <v>0</v>
      </c>
      <c r="H951" s="139">
        <f>SUM(H952:H958)</f>
        <v>0</v>
      </c>
      <c r="I951" s="280" t="e">
        <f t="shared" si="111"/>
        <v>#DIV/0!</v>
      </c>
      <c r="J951" s="140"/>
      <c r="K951" s="139"/>
      <c r="L951" s="403"/>
      <c r="M951" s="137"/>
      <c r="N951" s="139"/>
      <c r="O951" s="399"/>
      <c r="P951" s="139"/>
      <c r="Q951" s="139"/>
      <c r="R951" s="364"/>
    </row>
    <row r="952" spans="1:18" ht="24" hidden="1">
      <c r="A952" s="124">
        <v>3218</v>
      </c>
      <c r="B952" s="128" t="s">
        <v>77</v>
      </c>
      <c r="C952" s="174"/>
      <c r="D952" s="74">
        <f t="shared" si="109"/>
        <v>0</v>
      </c>
      <c r="E952" s="74">
        <f t="shared" si="114"/>
        <v>0</v>
      </c>
      <c r="F952" s="491" t="e">
        <f t="shared" si="110"/>
        <v>#DIV/0!</v>
      </c>
      <c r="G952" s="88"/>
      <c r="H952" s="89"/>
      <c r="I952" s="468" t="e">
        <f t="shared" si="111"/>
        <v>#DIV/0!</v>
      </c>
      <c r="J952" s="126"/>
      <c r="K952" s="89"/>
      <c r="L952" s="391"/>
      <c r="M952" s="88"/>
      <c r="N952" s="89"/>
      <c r="O952" s="368"/>
      <c r="P952" s="89"/>
      <c r="Q952" s="89"/>
      <c r="R952" s="362"/>
    </row>
    <row r="953" spans="1:18" ht="24" hidden="1">
      <c r="A953" s="124">
        <v>3219</v>
      </c>
      <c r="B953" s="128" t="s">
        <v>77</v>
      </c>
      <c r="C953" s="174"/>
      <c r="D953" s="74">
        <f t="shared" si="109"/>
        <v>0</v>
      </c>
      <c r="E953" s="74">
        <f t="shared" si="114"/>
        <v>0</v>
      </c>
      <c r="F953" s="491" t="e">
        <f t="shared" si="110"/>
        <v>#DIV/0!</v>
      </c>
      <c r="G953" s="88"/>
      <c r="H953" s="89"/>
      <c r="I953" s="468" t="e">
        <f t="shared" si="111"/>
        <v>#DIV/0!</v>
      </c>
      <c r="J953" s="126"/>
      <c r="K953" s="89"/>
      <c r="L953" s="391"/>
      <c r="M953" s="88"/>
      <c r="N953" s="89"/>
      <c r="O953" s="368"/>
      <c r="P953" s="89"/>
      <c r="Q953" s="89"/>
      <c r="R953" s="362"/>
    </row>
    <row r="954" spans="1:18" ht="24" hidden="1">
      <c r="A954" s="124">
        <v>3210</v>
      </c>
      <c r="B954" s="128" t="s">
        <v>77</v>
      </c>
      <c r="C954" s="174"/>
      <c r="D954" s="74">
        <f>G954+J954+P954+M954</f>
        <v>0</v>
      </c>
      <c r="E954" s="74">
        <f>SUM(H954+K954+N954+Q954)</f>
        <v>0</v>
      </c>
      <c r="F954" s="491" t="e">
        <f>E954/D954*100</f>
        <v>#DIV/0!</v>
      </c>
      <c r="G954" s="88"/>
      <c r="H954" s="89"/>
      <c r="I954" s="468" t="e">
        <f t="shared" si="111"/>
        <v>#DIV/0!</v>
      </c>
      <c r="J954" s="126"/>
      <c r="K954" s="89"/>
      <c r="L954" s="391"/>
      <c r="M954" s="88"/>
      <c r="N954" s="89"/>
      <c r="O954" s="368"/>
      <c r="P954" s="89"/>
      <c r="Q954" s="89"/>
      <c r="R954" s="362"/>
    </row>
    <row r="955" spans="1:18" ht="24" hidden="1">
      <c r="A955" s="124">
        <v>4218</v>
      </c>
      <c r="B955" s="277" t="s">
        <v>502</v>
      </c>
      <c r="C955" s="174"/>
      <c r="D955" s="74">
        <f aca="true" t="shared" si="115" ref="D955:D963">G955+J955+P955+M955</f>
        <v>0</v>
      </c>
      <c r="E955" s="74">
        <f t="shared" si="114"/>
        <v>0</v>
      </c>
      <c r="F955" s="491" t="e">
        <f t="shared" si="110"/>
        <v>#DIV/0!</v>
      </c>
      <c r="G955" s="88"/>
      <c r="H955" s="89"/>
      <c r="I955" s="468" t="e">
        <f t="shared" si="111"/>
        <v>#DIV/0!</v>
      </c>
      <c r="J955" s="126"/>
      <c r="K955" s="89"/>
      <c r="L955" s="391"/>
      <c r="M955" s="88"/>
      <c r="N955" s="89"/>
      <c r="O955" s="368"/>
      <c r="P955" s="89"/>
      <c r="Q955" s="89"/>
      <c r="R955" s="362"/>
    </row>
    <row r="956" spans="1:18" ht="24" hidden="1">
      <c r="A956" s="124">
        <v>4219</v>
      </c>
      <c r="B956" s="277" t="s">
        <v>502</v>
      </c>
      <c r="C956" s="174"/>
      <c r="D956" s="74">
        <f t="shared" si="115"/>
        <v>0</v>
      </c>
      <c r="E956" s="74">
        <f t="shared" si="114"/>
        <v>0</v>
      </c>
      <c r="F956" s="491" t="e">
        <f t="shared" si="110"/>
        <v>#DIV/0!</v>
      </c>
      <c r="G956" s="88"/>
      <c r="H956" s="89"/>
      <c r="I956" s="468" t="e">
        <f t="shared" si="111"/>
        <v>#DIV/0!</v>
      </c>
      <c r="J956" s="126"/>
      <c r="K956" s="89"/>
      <c r="L956" s="391"/>
      <c r="M956" s="88"/>
      <c r="N956" s="89"/>
      <c r="O956" s="368"/>
      <c r="P956" s="89"/>
      <c r="Q956" s="89"/>
      <c r="R956" s="362"/>
    </row>
    <row r="957" spans="1:18" ht="24" hidden="1">
      <c r="A957" s="124">
        <v>4308</v>
      </c>
      <c r="B957" s="128" t="s">
        <v>510</v>
      </c>
      <c r="C957" s="174"/>
      <c r="D957" s="74">
        <f t="shared" si="115"/>
        <v>0</v>
      </c>
      <c r="E957" s="74">
        <f t="shared" si="114"/>
        <v>0</v>
      </c>
      <c r="F957" s="491"/>
      <c r="G957" s="88"/>
      <c r="H957" s="89"/>
      <c r="I957" s="280"/>
      <c r="J957" s="126"/>
      <c r="K957" s="89"/>
      <c r="L957" s="391"/>
      <c r="M957" s="88"/>
      <c r="N957" s="89"/>
      <c r="O957" s="368"/>
      <c r="P957" s="89"/>
      <c r="Q957" s="89"/>
      <c r="R957" s="362"/>
    </row>
    <row r="958" spans="1:18" ht="24" hidden="1">
      <c r="A958" s="124">
        <v>4309</v>
      </c>
      <c r="B958" s="128" t="s">
        <v>510</v>
      </c>
      <c r="C958" s="176"/>
      <c r="D958" s="74">
        <f t="shared" si="115"/>
        <v>0</v>
      </c>
      <c r="E958" s="74">
        <f t="shared" si="114"/>
        <v>0</v>
      </c>
      <c r="F958" s="491"/>
      <c r="G958" s="160"/>
      <c r="H958" s="155"/>
      <c r="I958" s="280"/>
      <c r="J958" s="162"/>
      <c r="K958" s="155"/>
      <c r="L958" s="415"/>
      <c r="M958" s="160"/>
      <c r="N958" s="155"/>
      <c r="O958" s="387"/>
      <c r="P958" s="155"/>
      <c r="Q958" s="155"/>
      <c r="R958" s="366"/>
    </row>
    <row r="959" spans="1:18" ht="17.25" customHeight="1">
      <c r="A959" s="150">
        <v>80395</v>
      </c>
      <c r="B959" s="187" t="s">
        <v>529</v>
      </c>
      <c r="C959" s="94">
        <f>C960+C962</f>
        <v>5000</v>
      </c>
      <c r="D959" s="95">
        <f t="shared" si="115"/>
        <v>25000</v>
      </c>
      <c r="E959" s="95">
        <f>SUM(E960:E962)</f>
        <v>4047</v>
      </c>
      <c r="F959" s="448">
        <f aca="true" t="shared" si="116" ref="F959:F968">E959/D959*100</f>
        <v>16.188</v>
      </c>
      <c r="G959" s="94">
        <f>SUM(G960:G962)</f>
        <v>25000</v>
      </c>
      <c r="H959" s="95">
        <f>SUM(H960:H962)</f>
        <v>4047</v>
      </c>
      <c r="I959" s="448">
        <f>H959/G959*100</f>
        <v>16.188</v>
      </c>
      <c r="J959" s="148"/>
      <c r="K959" s="149"/>
      <c r="L959" s="406"/>
      <c r="M959" s="146"/>
      <c r="N959" s="149"/>
      <c r="O959" s="381"/>
      <c r="P959" s="149"/>
      <c r="Q959" s="149"/>
      <c r="R959" s="372"/>
    </row>
    <row r="960" spans="1:18" ht="40.5" customHeight="1">
      <c r="A960" s="124">
        <v>3040</v>
      </c>
      <c r="B960" s="195" t="s">
        <v>78</v>
      </c>
      <c r="C960" s="102">
        <v>5000</v>
      </c>
      <c r="D960" s="103">
        <f t="shared" si="115"/>
        <v>5000</v>
      </c>
      <c r="E960" s="103">
        <f>SUM(H960+K960+N960+Q960)</f>
        <v>4047</v>
      </c>
      <c r="F960" s="526">
        <f t="shared" si="116"/>
        <v>80.94</v>
      </c>
      <c r="G960" s="90">
        <v>5000</v>
      </c>
      <c r="H960" s="104">
        <v>4047</v>
      </c>
      <c r="I960" s="470">
        <f>H960/G960*100</f>
        <v>80.94</v>
      </c>
      <c r="J960" s="200"/>
      <c r="K960" s="104"/>
      <c r="L960" s="414"/>
      <c r="M960" s="90"/>
      <c r="N960" s="104"/>
      <c r="O960" s="304"/>
      <c r="P960" s="104"/>
      <c r="Q960" s="104"/>
      <c r="R960" s="365"/>
    </row>
    <row r="961" spans="1:18" ht="40.5" customHeight="1" thickBot="1">
      <c r="A961" s="124">
        <v>2520</v>
      </c>
      <c r="B961" s="206" t="s">
        <v>373</v>
      </c>
      <c r="C961" s="174"/>
      <c r="D961" s="74">
        <f>G961+J961+P961+M961</f>
        <v>20000</v>
      </c>
      <c r="E961" s="74">
        <f>SUM(H961+K961+N961+Q961)</f>
        <v>0</v>
      </c>
      <c r="F961" s="491">
        <f>E961/D961*100</f>
        <v>0</v>
      </c>
      <c r="G961" s="88">
        <v>20000</v>
      </c>
      <c r="H961" s="89"/>
      <c r="I961" s="468">
        <f>H961/G961*100</f>
        <v>0</v>
      </c>
      <c r="J961" s="126"/>
      <c r="K961" s="89"/>
      <c r="L961" s="391"/>
      <c r="M961" s="88"/>
      <c r="N961" s="89"/>
      <c r="O961" s="224"/>
      <c r="P961" s="89"/>
      <c r="Q961" s="89"/>
      <c r="R961" s="362"/>
    </row>
    <row r="962" spans="1:18" ht="96.75" hidden="1" thickBot="1">
      <c r="A962" s="124">
        <v>6220</v>
      </c>
      <c r="B962" s="206" t="s">
        <v>428</v>
      </c>
      <c r="C962" s="174"/>
      <c r="D962" s="74">
        <f t="shared" si="115"/>
        <v>0</v>
      </c>
      <c r="E962" s="74">
        <f>SUM(H962+K962+N962+Q962)</f>
        <v>0</v>
      </c>
      <c r="F962" s="491" t="e">
        <f t="shared" si="116"/>
        <v>#DIV/0!</v>
      </c>
      <c r="G962" s="88">
        <f>271500-271500</f>
        <v>0</v>
      </c>
      <c r="H962" s="89"/>
      <c r="I962" s="468" t="e">
        <f>H962/G962*100</f>
        <v>#DIV/0!</v>
      </c>
      <c r="J962" s="126"/>
      <c r="K962" s="89"/>
      <c r="L962" s="391"/>
      <c r="M962" s="88"/>
      <c r="N962" s="89"/>
      <c r="O962" s="224"/>
      <c r="P962" s="89"/>
      <c r="Q962" s="89"/>
      <c r="R962" s="362"/>
    </row>
    <row r="963" spans="1:18" s="118" customFormat="1" ht="17.25" customHeight="1" thickBot="1" thickTop="1">
      <c r="A963" s="114">
        <v>851</v>
      </c>
      <c r="B963" s="115" t="s">
        <v>79</v>
      </c>
      <c r="C963" s="116">
        <f>C967+C971+C978+C994+C996+C1012+C964</f>
        <v>2786300</v>
      </c>
      <c r="D963" s="59">
        <f t="shared" si="115"/>
        <v>3447749</v>
      </c>
      <c r="E963" s="107">
        <f>H963+K963+Q963+N963</f>
        <v>1184942</v>
      </c>
      <c r="F963" s="524">
        <f t="shared" si="116"/>
        <v>34.36856917368405</v>
      </c>
      <c r="G963" s="116">
        <f>G967+G971+G978+G994+G996+G1012+G964</f>
        <v>3439749</v>
      </c>
      <c r="H963" s="107">
        <f>H967+H971+H978+H994+H996+H1012+H964</f>
        <v>1181484</v>
      </c>
      <c r="I963" s="416">
        <f t="shared" si="111"/>
        <v>34.34797132000038</v>
      </c>
      <c r="J963" s="117"/>
      <c r="K963" s="107"/>
      <c r="L963" s="419"/>
      <c r="M963" s="116"/>
      <c r="N963" s="107"/>
      <c r="O963" s="461"/>
      <c r="P963" s="107">
        <f>P967+P971+P978+P994+P996+P1012</f>
        <v>8000</v>
      </c>
      <c r="Q963" s="107">
        <f>Q967+Q971+Q978+Q994+Q996+Q1012</f>
        <v>3458</v>
      </c>
      <c r="R963" s="354">
        <f>Q963/P963*100</f>
        <v>43.225</v>
      </c>
    </row>
    <row r="964" spans="1:18" s="118" customFormat="1" ht="17.25" customHeight="1" hidden="1">
      <c r="A964" s="255">
        <v>85111</v>
      </c>
      <c r="B964" s="256" t="s">
        <v>80</v>
      </c>
      <c r="C964" s="257">
        <f>SUM(C965)</f>
        <v>0</v>
      </c>
      <c r="D964" s="138">
        <f>G964+J964+M964+P964</f>
        <v>0</v>
      </c>
      <c r="E964" s="513">
        <f>Q964+N964+K964+H964</f>
        <v>0</v>
      </c>
      <c r="F964" s="497" t="e">
        <f t="shared" si="116"/>
        <v>#DIV/0!</v>
      </c>
      <c r="G964" s="257">
        <f>SUM(G965:G966)</f>
        <v>0</v>
      </c>
      <c r="H964" s="186">
        <f>SUM(H965:H966)</f>
        <v>0</v>
      </c>
      <c r="I964" s="382" t="e">
        <f>H964/G964*100</f>
        <v>#DIV/0!</v>
      </c>
      <c r="J964" s="269"/>
      <c r="K964" s="186"/>
      <c r="L964" s="420"/>
      <c r="M964" s="257"/>
      <c r="N964" s="186"/>
      <c r="O964" s="412"/>
      <c r="P964" s="186"/>
      <c r="Q964" s="186"/>
      <c r="R964" s="382"/>
    </row>
    <row r="965" spans="1:18" s="12" customFormat="1" ht="60.75" hidden="1" thickTop="1">
      <c r="A965" s="172">
        <v>2800</v>
      </c>
      <c r="B965" s="206" t="s">
        <v>350</v>
      </c>
      <c r="C965" s="174"/>
      <c r="D965" s="103">
        <f>G965+J965+M965+P965</f>
        <v>0</v>
      </c>
      <c r="E965" s="103">
        <f>Q965+N965+K965+H965</f>
        <v>0</v>
      </c>
      <c r="F965" s="468" t="e">
        <f t="shared" si="116"/>
        <v>#DIV/0!</v>
      </c>
      <c r="G965" s="174"/>
      <c r="H965" s="74"/>
      <c r="I965" s="468" t="e">
        <f>H965/G965*100</f>
        <v>#DIV/0!</v>
      </c>
      <c r="J965" s="175"/>
      <c r="K965" s="74"/>
      <c r="L965" s="391"/>
      <c r="M965" s="174"/>
      <c r="N965" s="74"/>
      <c r="O965" s="368"/>
      <c r="P965" s="74"/>
      <c r="Q965" s="74"/>
      <c r="R965" s="280"/>
    </row>
    <row r="966" spans="1:18" s="12" customFormat="1" ht="24.75" hidden="1" thickTop="1">
      <c r="A966" s="172">
        <v>4300</v>
      </c>
      <c r="B966" s="206" t="s">
        <v>510</v>
      </c>
      <c r="C966" s="174"/>
      <c r="D966" s="74">
        <f>G966+J966+M966+P966</f>
        <v>0</v>
      </c>
      <c r="E966" s="74">
        <f>Q966+N966+K966+H966</f>
        <v>0</v>
      </c>
      <c r="F966" s="468" t="e">
        <f t="shared" si="116"/>
        <v>#DIV/0!</v>
      </c>
      <c r="G966" s="174"/>
      <c r="H966" s="74"/>
      <c r="I966" s="280" t="e">
        <f>H966/G966*100</f>
        <v>#DIV/0!</v>
      </c>
      <c r="J966" s="175"/>
      <c r="K966" s="74"/>
      <c r="L966" s="391"/>
      <c r="M966" s="174"/>
      <c r="N966" s="74"/>
      <c r="O966" s="368"/>
      <c r="P966" s="74"/>
      <c r="Q966" s="74"/>
      <c r="R966" s="280"/>
    </row>
    <row r="967" spans="1:18" ht="25.5" customHeight="1" thickTop="1">
      <c r="A967" s="119">
        <v>85149</v>
      </c>
      <c r="B967" s="185" t="s">
        <v>81</v>
      </c>
      <c r="C967" s="82">
        <f>SUM(C968:C970)</f>
        <v>150000</v>
      </c>
      <c r="D967" s="95">
        <f>G967+J967+P967+M967</f>
        <v>237000</v>
      </c>
      <c r="E967" s="87">
        <f>SUM(E968:E970)</f>
        <v>25085</v>
      </c>
      <c r="F967" s="523">
        <f t="shared" si="116"/>
        <v>10.584388185654008</v>
      </c>
      <c r="G967" s="82">
        <f>SUM(G968:G970)</f>
        <v>237000</v>
      </c>
      <c r="H967" s="87">
        <f>SUM(H968:H970)</f>
        <v>25085</v>
      </c>
      <c r="I967" s="413">
        <f>H967/G967*100</f>
        <v>10.584388185654008</v>
      </c>
      <c r="J967" s="156"/>
      <c r="K967" s="87"/>
      <c r="L967" s="271"/>
      <c r="M967" s="82"/>
      <c r="N967" s="87"/>
      <c r="O967" s="400"/>
      <c r="P967" s="87"/>
      <c r="Q967" s="87"/>
      <c r="R967" s="359"/>
    </row>
    <row r="968" spans="1:18" ht="24">
      <c r="A968" s="108">
        <v>4210</v>
      </c>
      <c r="B968" s="287" t="s">
        <v>502</v>
      </c>
      <c r="C968" s="90"/>
      <c r="D968" s="103">
        <f>G968+J968+P968+M968</f>
        <v>100</v>
      </c>
      <c r="E968" s="104">
        <f>SUM(H968+K968+N968+Q968)</f>
        <v>85</v>
      </c>
      <c r="F968" s="526">
        <f t="shared" si="116"/>
        <v>85</v>
      </c>
      <c r="G968" s="90">
        <v>100</v>
      </c>
      <c r="H968" s="104">
        <v>85</v>
      </c>
      <c r="I968" s="357">
        <f>H968/G968*100</f>
        <v>85</v>
      </c>
      <c r="J968" s="200"/>
      <c r="K968" s="104"/>
      <c r="L968" s="414"/>
      <c r="M968" s="90"/>
      <c r="N968" s="104"/>
      <c r="O968" s="388"/>
      <c r="P968" s="104"/>
      <c r="Q968" s="104"/>
      <c r="R968" s="365"/>
    </row>
    <row r="969" spans="1:18" ht="52.5" customHeight="1" hidden="1">
      <c r="A969" s="124">
        <v>2570</v>
      </c>
      <c r="B969" s="287" t="s">
        <v>83</v>
      </c>
      <c r="C969" s="88"/>
      <c r="D969" s="74">
        <f>G969+J969+P969+M969</f>
        <v>0</v>
      </c>
      <c r="E969" s="89">
        <f>SUM(H969+K969+N969+Q969)</f>
        <v>0</v>
      </c>
      <c r="F969" s="495"/>
      <c r="G969" s="88"/>
      <c r="H969" s="89"/>
      <c r="I969" s="224"/>
      <c r="J969" s="126"/>
      <c r="K969" s="89"/>
      <c r="L969" s="391"/>
      <c r="M969" s="88"/>
      <c r="N969" s="89"/>
      <c r="O969" s="368"/>
      <c r="P969" s="89"/>
      <c r="Q969" s="89"/>
      <c r="R969" s="362"/>
    </row>
    <row r="970" spans="1:18" ht="16.5" customHeight="1">
      <c r="A970" s="158">
        <v>4300</v>
      </c>
      <c r="B970" s="278" t="s">
        <v>510</v>
      </c>
      <c r="C970" s="160">
        <v>150000</v>
      </c>
      <c r="D970" s="161">
        <f aca="true" t="shared" si="117" ref="D970:D999">G970+J970+P970+M970</f>
        <v>236900</v>
      </c>
      <c r="E970" s="155">
        <f aca="true" t="shared" si="118" ref="E970:E977">SUM(H970+K970+N970+Q970)</f>
        <v>25000</v>
      </c>
      <c r="F970" s="527">
        <f aca="true" t="shared" si="119" ref="F970:F1034">E970/D970*100</f>
        <v>10.552975939214859</v>
      </c>
      <c r="G970" s="160">
        <f>150000-100+72000+15000</f>
        <v>236900</v>
      </c>
      <c r="H970" s="163">
        <v>25000</v>
      </c>
      <c r="I970" s="323">
        <f>H970/G970*100</f>
        <v>10.552975939214859</v>
      </c>
      <c r="J970" s="264"/>
      <c r="K970" s="155"/>
      <c r="L970" s="415"/>
      <c r="M970" s="263"/>
      <c r="N970" s="163"/>
      <c r="O970" s="409"/>
      <c r="P970" s="163"/>
      <c r="Q970" s="163"/>
      <c r="R970" s="378"/>
    </row>
    <row r="971" spans="1:18" s="118" customFormat="1" ht="13.5" customHeight="1">
      <c r="A971" s="119">
        <v>85153</v>
      </c>
      <c r="B971" s="185" t="s">
        <v>84</v>
      </c>
      <c r="C971" s="121">
        <f>SUM(C972:C977)</f>
        <v>150000</v>
      </c>
      <c r="D971" s="95">
        <f t="shared" si="117"/>
        <v>150000</v>
      </c>
      <c r="E971" s="84">
        <f t="shared" si="118"/>
        <v>53527</v>
      </c>
      <c r="F971" s="523">
        <f t="shared" si="119"/>
        <v>35.684666666666665</v>
      </c>
      <c r="G971" s="121">
        <f>SUM(G972:G977)</f>
        <v>150000</v>
      </c>
      <c r="H971" s="84">
        <f>SUM(H972:H977)</f>
        <v>53527</v>
      </c>
      <c r="I971" s="413">
        <f aca="true" t="shared" si="120" ref="I971:I1019">H971/G971*100</f>
        <v>35.684666666666665</v>
      </c>
      <c r="J971" s="123"/>
      <c r="K971" s="84"/>
      <c r="L971" s="417"/>
      <c r="M971" s="121"/>
      <c r="N971" s="84"/>
      <c r="O971" s="381"/>
      <c r="P971" s="84"/>
      <c r="Q971" s="84"/>
      <c r="R971" s="372"/>
    </row>
    <row r="972" spans="1:18" ht="72" customHeight="1" hidden="1">
      <c r="A972" s="250">
        <v>2620</v>
      </c>
      <c r="B972" s="199" t="s">
        <v>85</v>
      </c>
      <c r="C972" s="90"/>
      <c r="D972" s="103">
        <f t="shared" si="117"/>
        <v>0</v>
      </c>
      <c r="E972" s="104">
        <f t="shared" si="118"/>
        <v>0</v>
      </c>
      <c r="F972" s="526" t="e">
        <f t="shared" si="119"/>
        <v>#DIV/0!</v>
      </c>
      <c r="G972" s="90">
        <f>3000-3000</f>
        <v>0</v>
      </c>
      <c r="H972" s="104">
        <f>3000-3000</f>
        <v>0</v>
      </c>
      <c r="I972" s="357" t="e">
        <f t="shared" si="120"/>
        <v>#DIV/0!</v>
      </c>
      <c r="J972" s="200"/>
      <c r="K972" s="104"/>
      <c r="L972" s="414"/>
      <c r="M972" s="90"/>
      <c r="N972" s="104"/>
      <c r="O972" s="388"/>
      <c r="P972" s="104"/>
      <c r="Q972" s="104"/>
      <c r="R972" s="365"/>
    </row>
    <row r="973" spans="1:18" ht="72" hidden="1">
      <c r="A973" s="124">
        <v>2570</v>
      </c>
      <c r="B973" s="287" t="s">
        <v>86</v>
      </c>
      <c r="C973" s="88"/>
      <c r="D973" s="74">
        <f t="shared" si="117"/>
        <v>0</v>
      </c>
      <c r="E973" s="89">
        <f t="shared" si="118"/>
        <v>0</v>
      </c>
      <c r="F973" s="491" t="e">
        <f t="shared" si="119"/>
        <v>#DIV/0!</v>
      </c>
      <c r="G973" s="88"/>
      <c r="H973" s="89"/>
      <c r="I973" s="280" t="e">
        <f t="shared" si="120"/>
        <v>#DIV/0!</v>
      </c>
      <c r="J973" s="126"/>
      <c r="K973" s="89"/>
      <c r="L973" s="391"/>
      <c r="M973" s="88"/>
      <c r="N973" s="89"/>
      <c r="O973" s="368"/>
      <c r="P973" s="89"/>
      <c r="Q973" s="89"/>
      <c r="R973" s="362"/>
    </row>
    <row r="974" spans="1:18" ht="61.5" customHeight="1">
      <c r="A974" s="184">
        <v>2820</v>
      </c>
      <c r="B974" s="128" t="s">
        <v>87</v>
      </c>
      <c r="C974" s="88">
        <v>100000</v>
      </c>
      <c r="D974" s="74">
        <f t="shared" si="117"/>
        <v>100000</v>
      </c>
      <c r="E974" s="89">
        <f t="shared" si="118"/>
        <v>45420</v>
      </c>
      <c r="F974" s="491">
        <f t="shared" si="119"/>
        <v>45.42</v>
      </c>
      <c r="G974" s="88">
        <v>100000</v>
      </c>
      <c r="H974" s="89">
        <v>45420</v>
      </c>
      <c r="I974" s="468">
        <f t="shared" si="120"/>
        <v>45.42</v>
      </c>
      <c r="J974" s="126"/>
      <c r="K974" s="89"/>
      <c r="L974" s="391"/>
      <c r="M974" s="88"/>
      <c r="N974" s="89"/>
      <c r="O974" s="368"/>
      <c r="P974" s="89"/>
      <c r="Q974" s="89"/>
      <c r="R974" s="362"/>
    </row>
    <row r="975" spans="1:18" ht="24" hidden="1">
      <c r="A975" s="124">
        <v>4170</v>
      </c>
      <c r="B975" s="128" t="s">
        <v>536</v>
      </c>
      <c r="C975" s="88"/>
      <c r="D975" s="74">
        <f t="shared" si="117"/>
        <v>0</v>
      </c>
      <c r="E975" s="89">
        <f t="shared" si="118"/>
        <v>0</v>
      </c>
      <c r="F975" s="491" t="e">
        <f t="shared" si="119"/>
        <v>#DIV/0!</v>
      </c>
      <c r="G975" s="88"/>
      <c r="H975" s="89"/>
      <c r="I975" s="468" t="e">
        <f t="shared" si="120"/>
        <v>#DIV/0!</v>
      </c>
      <c r="J975" s="126"/>
      <c r="K975" s="89"/>
      <c r="L975" s="391"/>
      <c r="M975" s="88"/>
      <c r="N975" s="89"/>
      <c r="O975" s="368"/>
      <c r="P975" s="89"/>
      <c r="Q975" s="89"/>
      <c r="R975" s="362"/>
    </row>
    <row r="976" spans="1:18" ht="24">
      <c r="A976" s="124">
        <v>4210</v>
      </c>
      <c r="B976" s="128" t="s">
        <v>502</v>
      </c>
      <c r="C976" s="88">
        <v>10000</v>
      </c>
      <c r="D976" s="74">
        <f t="shared" si="117"/>
        <v>10000</v>
      </c>
      <c r="E976" s="89">
        <f t="shared" si="118"/>
        <v>1139</v>
      </c>
      <c r="F976" s="491">
        <f t="shared" si="119"/>
        <v>11.39</v>
      </c>
      <c r="G976" s="88">
        <v>10000</v>
      </c>
      <c r="H976" s="89">
        <v>1139</v>
      </c>
      <c r="I976" s="468">
        <f t="shared" si="120"/>
        <v>11.39</v>
      </c>
      <c r="J976" s="126"/>
      <c r="K976" s="89"/>
      <c r="L976" s="391"/>
      <c r="M976" s="88"/>
      <c r="N976" s="89"/>
      <c r="O976" s="368"/>
      <c r="P976" s="89"/>
      <c r="Q976" s="89"/>
      <c r="R976" s="362"/>
    </row>
    <row r="977" spans="1:18" ht="12.75" customHeight="1">
      <c r="A977" s="124">
        <v>4300</v>
      </c>
      <c r="B977" s="128" t="s">
        <v>510</v>
      </c>
      <c r="C977" s="88">
        <v>40000</v>
      </c>
      <c r="D977" s="74">
        <f t="shared" si="117"/>
        <v>40000</v>
      </c>
      <c r="E977" s="89">
        <f t="shared" si="118"/>
        <v>6968</v>
      </c>
      <c r="F977" s="491">
        <f t="shared" si="119"/>
        <v>17.419999999999998</v>
      </c>
      <c r="G977" s="88">
        <v>40000</v>
      </c>
      <c r="H977" s="89">
        <v>6968</v>
      </c>
      <c r="I977" s="468">
        <f t="shared" si="120"/>
        <v>17.419999999999998</v>
      </c>
      <c r="J977" s="126"/>
      <c r="K977" s="89"/>
      <c r="L977" s="391"/>
      <c r="M977" s="88"/>
      <c r="N977" s="89"/>
      <c r="O977" s="368"/>
      <c r="P977" s="89"/>
      <c r="Q977" s="89"/>
      <c r="R977" s="362"/>
    </row>
    <row r="978" spans="1:18" ht="24" customHeight="1">
      <c r="A978" s="119">
        <v>85154</v>
      </c>
      <c r="B978" s="185" t="s">
        <v>88</v>
      </c>
      <c r="C978" s="121">
        <f>SUM(C979:C993)</f>
        <v>1589300</v>
      </c>
      <c r="D978" s="95">
        <f t="shared" si="117"/>
        <v>2178749</v>
      </c>
      <c r="E978" s="84">
        <f>H978+K978+Q978+N978</f>
        <v>552143</v>
      </c>
      <c r="F978" s="523">
        <f t="shared" si="119"/>
        <v>25.34220325517074</v>
      </c>
      <c r="G978" s="121">
        <f>SUM(G979:G993)</f>
        <v>2178749</v>
      </c>
      <c r="H978" s="84">
        <f>SUM(H979:H993)</f>
        <v>552143</v>
      </c>
      <c r="I978" s="413">
        <f t="shared" si="120"/>
        <v>25.34220325517074</v>
      </c>
      <c r="J978" s="123"/>
      <c r="K978" s="84"/>
      <c r="L978" s="417"/>
      <c r="M978" s="121"/>
      <c r="N978" s="84"/>
      <c r="O978" s="381"/>
      <c r="P978" s="84"/>
      <c r="Q978" s="84"/>
      <c r="R978" s="372"/>
    </row>
    <row r="979" spans="1:18" ht="48">
      <c r="A979" s="108">
        <v>2480</v>
      </c>
      <c r="B979" s="199" t="s">
        <v>89</v>
      </c>
      <c r="C979" s="90">
        <v>80000</v>
      </c>
      <c r="D979" s="103">
        <f t="shared" si="117"/>
        <v>80000</v>
      </c>
      <c r="E979" s="104">
        <f aca="true" t="shared" si="121" ref="E979:E993">SUM(H979+K979+N979+Q979)</f>
        <v>7779</v>
      </c>
      <c r="F979" s="526">
        <f t="shared" si="119"/>
        <v>9.72375</v>
      </c>
      <c r="G979" s="90">
        <v>80000</v>
      </c>
      <c r="H979" s="104">
        <v>7779</v>
      </c>
      <c r="I979" s="357">
        <f t="shared" si="120"/>
        <v>9.72375</v>
      </c>
      <c r="J979" s="200"/>
      <c r="K979" s="104"/>
      <c r="L979" s="414"/>
      <c r="M979" s="90"/>
      <c r="N979" s="104"/>
      <c r="O979" s="388"/>
      <c r="P979" s="104"/>
      <c r="Q979" s="104"/>
      <c r="R979" s="365"/>
    </row>
    <row r="980" spans="1:18" ht="72">
      <c r="A980" s="124">
        <v>2820</v>
      </c>
      <c r="B980" s="128" t="s">
        <v>87</v>
      </c>
      <c r="C980" s="88">
        <v>440000</v>
      </c>
      <c r="D980" s="74">
        <f t="shared" si="117"/>
        <v>440000</v>
      </c>
      <c r="E980" s="89">
        <f t="shared" si="121"/>
        <v>239557</v>
      </c>
      <c r="F980" s="491">
        <f t="shared" si="119"/>
        <v>54.44477272727273</v>
      </c>
      <c r="G980" s="88">
        <v>440000</v>
      </c>
      <c r="H980" s="89">
        <v>239557</v>
      </c>
      <c r="I980" s="280">
        <f t="shared" si="120"/>
        <v>54.44477272727273</v>
      </c>
      <c r="J980" s="126"/>
      <c r="K980" s="89"/>
      <c r="L980" s="391"/>
      <c r="M980" s="88"/>
      <c r="N980" s="89"/>
      <c r="O980" s="368"/>
      <c r="P980" s="89"/>
      <c r="Q980" s="89"/>
      <c r="R980" s="362"/>
    </row>
    <row r="981" spans="1:18" ht="25.5" customHeight="1" hidden="1">
      <c r="A981" s="124">
        <v>3030</v>
      </c>
      <c r="B981" s="128" t="s">
        <v>490</v>
      </c>
      <c r="C981" s="88"/>
      <c r="D981" s="74">
        <f t="shared" si="117"/>
        <v>0</v>
      </c>
      <c r="E981" s="89">
        <f t="shared" si="121"/>
        <v>0</v>
      </c>
      <c r="F981" s="491" t="e">
        <f t="shared" si="119"/>
        <v>#DIV/0!</v>
      </c>
      <c r="G981" s="88"/>
      <c r="H981" s="89"/>
      <c r="I981" s="280" t="e">
        <f t="shared" si="120"/>
        <v>#DIV/0!</v>
      </c>
      <c r="J981" s="126"/>
      <c r="K981" s="89"/>
      <c r="L981" s="391"/>
      <c r="M981" s="88"/>
      <c r="N981" s="89"/>
      <c r="O981" s="368"/>
      <c r="P981" s="89"/>
      <c r="Q981" s="89"/>
      <c r="R981" s="362"/>
    </row>
    <row r="982" spans="1:18" ht="25.5" customHeight="1">
      <c r="A982" s="124">
        <v>4170</v>
      </c>
      <c r="B982" s="128" t="s">
        <v>536</v>
      </c>
      <c r="C982" s="88">
        <v>65500</v>
      </c>
      <c r="D982" s="74">
        <f>G982+J982+P982+M982</f>
        <v>65500</v>
      </c>
      <c r="E982" s="89">
        <f>SUM(H982+K982+N982+Q982)</f>
        <v>21763</v>
      </c>
      <c r="F982" s="491">
        <f>E982/D982*100</f>
        <v>33.22595419847328</v>
      </c>
      <c r="G982" s="88">
        <v>65500</v>
      </c>
      <c r="H982" s="89">
        <v>21763</v>
      </c>
      <c r="I982" s="280">
        <f t="shared" si="120"/>
        <v>33.22595419847328</v>
      </c>
      <c r="J982" s="126"/>
      <c r="K982" s="89"/>
      <c r="L982" s="391"/>
      <c r="M982" s="88"/>
      <c r="N982" s="89"/>
      <c r="O982" s="368"/>
      <c r="P982" s="89"/>
      <c r="Q982" s="89"/>
      <c r="R982" s="362"/>
    </row>
    <row r="983" spans="1:18" ht="24" customHeight="1">
      <c r="A983" s="124">
        <v>4210</v>
      </c>
      <c r="B983" s="128" t="s">
        <v>502</v>
      </c>
      <c r="C983" s="88">
        <v>40000</v>
      </c>
      <c r="D983" s="74">
        <f t="shared" si="117"/>
        <v>40000</v>
      </c>
      <c r="E983" s="89">
        <f t="shared" si="121"/>
        <v>24459</v>
      </c>
      <c r="F983" s="491">
        <f t="shared" si="119"/>
        <v>61.1475</v>
      </c>
      <c r="G983" s="88">
        <v>40000</v>
      </c>
      <c r="H983" s="89">
        <v>24459</v>
      </c>
      <c r="I983" s="280">
        <f t="shared" si="120"/>
        <v>61.1475</v>
      </c>
      <c r="J983" s="126"/>
      <c r="K983" s="89"/>
      <c r="L983" s="391"/>
      <c r="M983" s="88"/>
      <c r="N983" s="89"/>
      <c r="O983" s="368"/>
      <c r="P983" s="89"/>
      <c r="Q983" s="89"/>
      <c r="R983" s="362"/>
    </row>
    <row r="984" spans="1:18" ht="36">
      <c r="A984" s="124">
        <v>4240</v>
      </c>
      <c r="B984" s="128" t="s">
        <v>563</v>
      </c>
      <c r="C984" s="88">
        <v>10000</v>
      </c>
      <c r="D984" s="74">
        <f t="shared" si="117"/>
        <v>10000</v>
      </c>
      <c r="E984" s="89">
        <f t="shared" si="121"/>
        <v>9203</v>
      </c>
      <c r="F984" s="491">
        <f t="shared" si="119"/>
        <v>92.03</v>
      </c>
      <c r="G984" s="88">
        <v>10000</v>
      </c>
      <c r="H984" s="89">
        <v>9203</v>
      </c>
      <c r="I984" s="280">
        <f t="shared" si="120"/>
        <v>92.03</v>
      </c>
      <c r="J984" s="126"/>
      <c r="K984" s="89"/>
      <c r="L984" s="391"/>
      <c r="M984" s="88"/>
      <c r="N984" s="89"/>
      <c r="O984" s="368"/>
      <c r="P984" s="89"/>
      <c r="Q984" s="89"/>
      <c r="R984" s="362"/>
    </row>
    <row r="985" spans="1:18" ht="13.5" customHeight="1">
      <c r="A985" s="124">
        <v>4300</v>
      </c>
      <c r="B985" s="128" t="s">
        <v>510</v>
      </c>
      <c r="C985" s="88">
        <v>933300</v>
      </c>
      <c r="D985" s="74">
        <f t="shared" si="117"/>
        <v>1147749</v>
      </c>
      <c r="E985" s="89">
        <f t="shared" si="121"/>
        <v>247676</v>
      </c>
      <c r="F985" s="491">
        <f t="shared" si="119"/>
        <v>21.579282578333764</v>
      </c>
      <c r="G985" s="88">
        <f>933300+85000+129449</f>
        <v>1147749</v>
      </c>
      <c r="H985" s="89">
        <v>247676</v>
      </c>
      <c r="I985" s="280">
        <f t="shared" si="120"/>
        <v>21.579282578333764</v>
      </c>
      <c r="J985" s="126"/>
      <c r="K985" s="89"/>
      <c r="L985" s="391"/>
      <c r="M985" s="88"/>
      <c r="N985" s="89"/>
      <c r="O985" s="368"/>
      <c r="P985" s="89"/>
      <c r="Q985" s="89"/>
      <c r="R985" s="362"/>
    </row>
    <row r="986" spans="1:18" ht="36">
      <c r="A986" s="124">
        <v>4390</v>
      </c>
      <c r="B986" s="206" t="s">
        <v>268</v>
      </c>
      <c r="C986" s="88">
        <v>10000</v>
      </c>
      <c r="D986" s="74">
        <f>G986+J986+P986+M986</f>
        <v>10000</v>
      </c>
      <c r="E986" s="89">
        <f>SUM(H986+K986+N986+Q986)</f>
        <v>0</v>
      </c>
      <c r="F986" s="491">
        <f>E986/D986*100</f>
        <v>0</v>
      </c>
      <c r="G986" s="88">
        <v>10000</v>
      </c>
      <c r="H986" s="89"/>
      <c r="I986" s="280">
        <f t="shared" si="120"/>
        <v>0</v>
      </c>
      <c r="J986" s="126"/>
      <c r="K986" s="89"/>
      <c r="L986" s="391"/>
      <c r="M986" s="88"/>
      <c r="N986" s="89"/>
      <c r="O986" s="368"/>
      <c r="P986" s="89"/>
      <c r="Q986" s="89"/>
      <c r="R986" s="362"/>
    </row>
    <row r="987" spans="1:18" ht="13.5" customHeight="1">
      <c r="A987" s="124">
        <v>4410</v>
      </c>
      <c r="B987" s="128" t="s">
        <v>484</v>
      </c>
      <c r="C987" s="88">
        <v>2600</v>
      </c>
      <c r="D987" s="74">
        <f t="shared" si="117"/>
        <v>2600</v>
      </c>
      <c r="E987" s="89">
        <f t="shared" si="121"/>
        <v>0</v>
      </c>
      <c r="F987" s="491">
        <f t="shared" si="119"/>
        <v>0</v>
      </c>
      <c r="G987" s="88">
        <v>2600</v>
      </c>
      <c r="H987" s="89"/>
      <c r="I987" s="280">
        <f t="shared" si="120"/>
        <v>0</v>
      </c>
      <c r="J987" s="126"/>
      <c r="K987" s="89"/>
      <c r="L987" s="391"/>
      <c r="M987" s="88"/>
      <c r="N987" s="89"/>
      <c r="O987" s="368"/>
      <c r="P987" s="89"/>
      <c r="Q987" s="89"/>
      <c r="R987" s="362"/>
    </row>
    <row r="988" spans="1:18" ht="13.5" customHeight="1" hidden="1">
      <c r="A988" s="124">
        <v>4430</v>
      </c>
      <c r="B988" s="128" t="s">
        <v>512</v>
      </c>
      <c r="C988" s="88"/>
      <c r="D988" s="74">
        <f t="shared" si="117"/>
        <v>0</v>
      </c>
      <c r="E988" s="89">
        <f t="shared" si="121"/>
        <v>0</v>
      </c>
      <c r="F988" s="491" t="e">
        <f t="shared" si="119"/>
        <v>#DIV/0!</v>
      </c>
      <c r="G988" s="88"/>
      <c r="H988" s="89"/>
      <c r="I988" s="280" t="e">
        <f t="shared" si="120"/>
        <v>#DIV/0!</v>
      </c>
      <c r="J988" s="126"/>
      <c r="K988" s="89"/>
      <c r="L988" s="391"/>
      <c r="M988" s="88"/>
      <c r="N988" s="89"/>
      <c r="O988" s="368"/>
      <c r="P988" s="89"/>
      <c r="Q988" s="89"/>
      <c r="R988" s="362"/>
    </row>
    <row r="989" spans="1:18" ht="36">
      <c r="A989" s="124">
        <v>4610</v>
      </c>
      <c r="B989" s="128" t="s">
        <v>94</v>
      </c>
      <c r="C989" s="88">
        <v>3000</v>
      </c>
      <c r="D989" s="74">
        <f>G989+J989+P989+M989</f>
        <v>3000</v>
      </c>
      <c r="E989" s="89">
        <f>SUM(H989+K989+N989+Q989)</f>
        <v>1556</v>
      </c>
      <c r="F989" s="491">
        <f>E989/D989*100</f>
        <v>51.866666666666674</v>
      </c>
      <c r="G989" s="88">
        <v>3000</v>
      </c>
      <c r="H989" s="89">
        <v>1556</v>
      </c>
      <c r="I989" s="280">
        <f t="shared" si="120"/>
        <v>51.866666666666674</v>
      </c>
      <c r="J989" s="126"/>
      <c r="K989" s="89"/>
      <c r="L989" s="391"/>
      <c r="M989" s="88"/>
      <c r="N989" s="89"/>
      <c r="O989" s="368"/>
      <c r="P989" s="89"/>
      <c r="Q989" s="89"/>
      <c r="R989" s="362"/>
    </row>
    <row r="990" spans="1:18" ht="36">
      <c r="A990" s="172">
        <v>4700</v>
      </c>
      <c r="B990" s="337" t="s">
        <v>285</v>
      </c>
      <c r="C990" s="88">
        <v>4000</v>
      </c>
      <c r="D990" s="74">
        <f>G990+J990+P990+M990</f>
        <v>4000</v>
      </c>
      <c r="E990" s="89">
        <f>SUM(H990+K990+N990+Q990)</f>
        <v>0</v>
      </c>
      <c r="F990" s="491">
        <f>E990/D990*100</f>
        <v>0</v>
      </c>
      <c r="G990" s="88">
        <v>4000</v>
      </c>
      <c r="H990" s="89"/>
      <c r="I990" s="280">
        <f t="shared" si="120"/>
        <v>0</v>
      </c>
      <c r="J990" s="126"/>
      <c r="K990" s="89"/>
      <c r="L990" s="391"/>
      <c r="M990" s="88"/>
      <c r="N990" s="89"/>
      <c r="O990" s="368"/>
      <c r="P990" s="89"/>
      <c r="Q990" s="89"/>
      <c r="R990" s="362"/>
    </row>
    <row r="991" spans="1:18" ht="60">
      <c r="A991" s="197">
        <v>4740</v>
      </c>
      <c r="B991" s="198" t="s">
        <v>290</v>
      </c>
      <c r="C991" s="160">
        <v>900</v>
      </c>
      <c r="D991" s="161">
        <f>G991+J991+P991+M991</f>
        <v>900</v>
      </c>
      <c r="E991" s="155">
        <f>SUM(H991+K991+N991+Q991)</f>
        <v>150</v>
      </c>
      <c r="F991" s="527">
        <f>E991/D991*100</f>
        <v>16.666666666666664</v>
      </c>
      <c r="G991" s="160">
        <v>900</v>
      </c>
      <c r="H991" s="155">
        <v>150</v>
      </c>
      <c r="I991" s="323">
        <f t="shared" si="120"/>
        <v>16.666666666666664</v>
      </c>
      <c r="J991" s="162"/>
      <c r="K991" s="155"/>
      <c r="L991" s="415"/>
      <c r="M991" s="160"/>
      <c r="N991" s="155"/>
      <c r="O991" s="387"/>
      <c r="P991" s="155"/>
      <c r="Q991" s="155"/>
      <c r="R991" s="366"/>
    </row>
    <row r="992" spans="1:18" ht="36" hidden="1">
      <c r="A992" s="172">
        <v>4750</v>
      </c>
      <c r="B992" s="337" t="s">
        <v>291</v>
      </c>
      <c r="C992" s="88"/>
      <c r="D992" s="74">
        <f>G992+J992+P992+M992</f>
        <v>0</v>
      </c>
      <c r="E992" s="89">
        <f>SUM(H992+K992+N992+Q992)</f>
        <v>0</v>
      </c>
      <c r="F992" s="491" t="e">
        <f>E992/D992*100</f>
        <v>#DIV/0!</v>
      </c>
      <c r="G992" s="88"/>
      <c r="H992" s="89"/>
      <c r="I992" s="280" t="e">
        <f t="shared" si="120"/>
        <v>#DIV/0!</v>
      </c>
      <c r="J992" s="126"/>
      <c r="K992" s="89"/>
      <c r="L992" s="391"/>
      <c r="M992" s="88"/>
      <c r="N992" s="89"/>
      <c r="O992" s="368"/>
      <c r="P992" s="89"/>
      <c r="Q992" s="89"/>
      <c r="R992" s="362"/>
    </row>
    <row r="993" spans="1:18" ht="24">
      <c r="A993" s="158">
        <v>6050</v>
      </c>
      <c r="B993" s="159" t="s">
        <v>537</v>
      </c>
      <c r="C993" s="160"/>
      <c r="D993" s="161">
        <f t="shared" si="117"/>
        <v>375000</v>
      </c>
      <c r="E993" s="155">
        <f t="shared" si="121"/>
        <v>0</v>
      </c>
      <c r="F993" s="527">
        <f t="shared" si="119"/>
        <v>0</v>
      </c>
      <c r="G993" s="160">
        <v>375000</v>
      </c>
      <c r="H993" s="155"/>
      <c r="I993" s="323">
        <f t="shared" si="120"/>
        <v>0</v>
      </c>
      <c r="J993" s="162"/>
      <c r="K993" s="155"/>
      <c r="L993" s="415"/>
      <c r="M993" s="160"/>
      <c r="N993" s="155"/>
      <c r="O993" s="387"/>
      <c r="P993" s="155"/>
      <c r="Q993" s="155"/>
      <c r="R993" s="366"/>
    </row>
    <row r="994" spans="1:18" s="118" customFormat="1" ht="73.5" customHeight="1">
      <c r="A994" s="119">
        <v>85156</v>
      </c>
      <c r="B994" s="185" t="s">
        <v>90</v>
      </c>
      <c r="C994" s="121">
        <f>SUM(C995)</f>
        <v>8000</v>
      </c>
      <c r="D994" s="95">
        <f t="shared" si="117"/>
        <v>8000</v>
      </c>
      <c r="E994" s="84">
        <f>SUM(E995)</f>
        <v>3458</v>
      </c>
      <c r="F994" s="523">
        <f>E994/D994*100</f>
        <v>43.225</v>
      </c>
      <c r="G994" s="121"/>
      <c r="H994" s="84"/>
      <c r="I994" s="372"/>
      <c r="J994" s="123"/>
      <c r="K994" s="84"/>
      <c r="L994" s="417"/>
      <c r="M994" s="121"/>
      <c r="N994" s="84"/>
      <c r="O994" s="406"/>
      <c r="P994" s="84">
        <f>SUM(P995)</f>
        <v>8000</v>
      </c>
      <c r="Q994" s="84">
        <f>SUM(Q995)</f>
        <v>3458</v>
      </c>
      <c r="R994" s="448">
        <f>Q994/P994*100</f>
        <v>43.225</v>
      </c>
    </row>
    <row r="995" spans="1:18" s="118" customFormat="1" ht="23.25" customHeight="1">
      <c r="A995" s="124">
        <v>4130</v>
      </c>
      <c r="B995" s="128" t="s">
        <v>51</v>
      </c>
      <c r="C995" s="88">
        <v>8000</v>
      </c>
      <c r="D995" s="74">
        <f t="shared" si="117"/>
        <v>8000</v>
      </c>
      <c r="E995" s="89">
        <f>SUM(H995+K995+N995+Q995)</f>
        <v>3458</v>
      </c>
      <c r="F995" s="491">
        <f>E995/D995*100</f>
        <v>43.225</v>
      </c>
      <c r="G995" s="88"/>
      <c r="H995" s="89"/>
      <c r="I995" s="362"/>
      <c r="J995" s="126"/>
      <c r="K995" s="89"/>
      <c r="L995" s="391"/>
      <c r="M995" s="88"/>
      <c r="N995" s="89"/>
      <c r="O995" s="391"/>
      <c r="P995" s="89">
        <v>8000</v>
      </c>
      <c r="Q995" s="89">
        <v>3458</v>
      </c>
      <c r="R995" s="442">
        <f>Q995/P995*100</f>
        <v>43.225</v>
      </c>
    </row>
    <row r="996" spans="1:18" ht="13.5" customHeight="1" hidden="1">
      <c r="A996" s="119">
        <v>85158</v>
      </c>
      <c r="B996" s="276" t="s">
        <v>91</v>
      </c>
      <c r="C996" s="121">
        <f>SUM(C998:C1011)</f>
        <v>0</v>
      </c>
      <c r="D996" s="95">
        <f t="shared" si="117"/>
        <v>0</v>
      </c>
      <c r="E996" s="84">
        <f>SUM(E997:E1011)</f>
        <v>0</v>
      </c>
      <c r="F996" s="523" t="e">
        <f t="shared" si="119"/>
        <v>#DIV/0!</v>
      </c>
      <c r="G996" s="281">
        <f>SUM(G997:G1011)</f>
        <v>0</v>
      </c>
      <c r="H996" s="84">
        <f>SUM(H997:H1011)</f>
        <v>0</v>
      </c>
      <c r="I996" s="413" t="e">
        <f t="shared" si="120"/>
        <v>#DIV/0!</v>
      </c>
      <c r="J996" s="123"/>
      <c r="K996" s="84"/>
      <c r="L996" s="417"/>
      <c r="M996" s="121"/>
      <c r="N996" s="84"/>
      <c r="O996" s="381"/>
      <c r="P996" s="84"/>
      <c r="Q996" s="84"/>
      <c r="R996" s="471"/>
    </row>
    <row r="997" spans="1:18" ht="36.75" customHeight="1" hidden="1">
      <c r="A997" s="108">
        <v>3020</v>
      </c>
      <c r="B997" s="199" t="s">
        <v>540</v>
      </c>
      <c r="C997" s="102">
        <v>0</v>
      </c>
      <c r="D997" s="103">
        <f>G997+J997+P997+M997</f>
        <v>0</v>
      </c>
      <c r="E997" s="104">
        <f>SUM(H997+K997+N997+Q997)</f>
        <v>0</v>
      </c>
      <c r="F997" s="526" t="e">
        <f t="shared" si="119"/>
        <v>#DIV/0!</v>
      </c>
      <c r="G997" s="90"/>
      <c r="H997" s="104"/>
      <c r="I997" s="357" t="e">
        <f>H997/G997*100</f>
        <v>#DIV/0!</v>
      </c>
      <c r="J997" s="288"/>
      <c r="K997" s="283"/>
      <c r="L997" s="425"/>
      <c r="M997" s="289"/>
      <c r="N997" s="283"/>
      <c r="O997" s="388"/>
      <c r="P997" s="283"/>
      <c r="Q997" s="283"/>
      <c r="R997" s="472"/>
    </row>
    <row r="998" spans="1:18" ht="24.75" customHeight="1" hidden="1">
      <c r="A998" s="124">
        <v>4010</v>
      </c>
      <c r="B998" s="277" t="s">
        <v>9</v>
      </c>
      <c r="C998" s="88"/>
      <c r="D998" s="74">
        <f t="shared" si="117"/>
        <v>0</v>
      </c>
      <c r="E998" s="89">
        <f>SUM(H998+K998+N998+Q998)</f>
        <v>0</v>
      </c>
      <c r="F998" s="491" t="e">
        <f t="shared" si="119"/>
        <v>#DIV/0!</v>
      </c>
      <c r="G998" s="88"/>
      <c r="H998" s="89"/>
      <c r="I998" s="280" t="e">
        <f t="shared" si="120"/>
        <v>#DIV/0!</v>
      </c>
      <c r="J998" s="126"/>
      <c r="K998" s="89"/>
      <c r="L998" s="391"/>
      <c r="M998" s="88"/>
      <c r="N998" s="89"/>
      <c r="O998" s="368"/>
      <c r="P998" s="89"/>
      <c r="Q998" s="89"/>
      <c r="R998" s="473"/>
    </row>
    <row r="999" spans="1:18" ht="21.75" customHeight="1" hidden="1">
      <c r="A999" s="124">
        <v>4040</v>
      </c>
      <c r="B999" s="277" t="s">
        <v>541</v>
      </c>
      <c r="C999" s="88"/>
      <c r="D999" s="74">
        <f t="shared" si="117"/>
        <v>0</v>
      </c>
      <c r="E999" s="89">
        <f>SUM(H999+K999+N999+Q999)</f>
        <v>0</v>
      </c>
      <c r="F999" s="491" t="e">
        <f t="shared" si="119"/>
        <v>#DIV/0!</v>
      </c>
      <c r="G999" s="88"/>
      <c r="H999" s="89"/>
      <c r="I999" s="280" t="e">
        <f t="shared" si="120"/>
        <v>#DIV/0!</v>
      </c>
      <c r="J999" s="126"/>
      <c r="K999" s="89"/>
      <c r="L999" s="391"/>
      <c r="M999" s="88"/>
      <c r="N999" s="89"/>
      <c r="O999" s="368"/>
      <c r="P999" s="89"/>
      <c r="Q999" s="89"/>
      <c r="R999" s="473"/>
    </row>
    <row r="1000" spans="1:18" ht="24.75" customHeight="1" hidden="1">
      <c r="A1000" s="124">
        <v>4110</v>
      </c>
      <c r="B1000" s="277" t="s">
        <v>498</v>
      </c>
      <c r="C1000" s="88"/>
      <c r="D1000" s="74">
        <f>G1000+J1000+P1000+M1000</f>
        <v>0</v>
      </c>
      <c r="E1000" s="89">
        <f>SUM(H1000+K1000+N1000+Q1000)</f>
        <v>0</v>
      </c>
      <c r="F1000" s="491" t="e">
        <f t="shared" si="119"/>
        <v>#DIV/0!</v>
      </c>
      <c r="G1000" s="88"/>
      <c r="H1000" s="89"/>
      <c r="I1000" s="280" t="e">
        <f t="shared" si="120"/>
        <v>#DIV/0!</v>
      </c>
      <c r="J1000" s="126"/>
      <c r="K1000" s="89"/>
      <c r="L1000" s="391"/>
      <c r="M1000" s="89"/>
      <c r="N1000" s="89"/>
      <c r="O1000" s="368"/>
      <c r="P1000" s="89"/>
      <c r="Q1000" s="89"/>
      <c r="R1000" s="473"/>
    </row>
    <row r="1001" spans="1:18" ht="11.25" customHeight="1" hidden="1">
      <c r="A1001" s="124">
        <v>4120</v>
      </c>
      <c r="B1001" s="277" t="s">
        <v>571</v>
      </c>
      <c r="C1001" s="88"/>
      <c r="D1001" s="74">
        <f>G1001+J1001+P1001+M1001</f>
        <v>0</v>
      </c>
      <c r="E1001" s="89">
        <f>SUM(H1001+K1001+N1001+Q1001)</f>
        <v>0</v>
      </c>
      <c r="F1001" s="491" t="e">
        <f t="shared" si="119"/>
        <v>#DIV/0!</v>
      </c>
      <c r="G1001" s="88"/>
      <c r="H1001" s="89"/>
      <c r="I1001" s="280" t="e">
        <f t="shared" si="120"/>
        <v>#DIV/0!</v>
      </c>
      <c r="J1001" s="126"/>
      <c r="K1001" s="89"/>
      <c r="L1001" s="391"/>
      <c r="M1001" s="89"/>
      <c r="N1001" s="89"/>
      <c r="O1001" s="368"/>
      <c r="P1001" s="89"/>
      <c r="Q1001" s="89"/>
      <c r="R1001" s="473"/>
    </row>
    <row r="1002" spans="1:18" ht="22.5" customHeight="1" hidden="1">
      <c r="A1002" s="124">
        <v>4210</v>
      </c>
      <c r="B1002" s="277" t="s">
        <v>502</v>
      </c>
      <c r="C1002" s="88"/>
      <c r="D1002" s="74">
        <f aca="true" t="shared" si="122" ref="D1002:D1019">G1002+J1002+P1002+M1002</f>
        <v>0</v>
      </c>
      <c r="E1002" s="89">
        <f aca="true" t="shared" si="123" ref="E1002:E1011">SUM(H1002+K1002+N1002+Q1002)</f>
        <v>0</v>
      </c>
      <c r="F1002" s="491" t="e">
        <f t="shared" si="119"/>
        <v>#DIV/0!</v>
      </c>
      <c r="G1002" s="88"/>
      <c r="H1002" s="89"/>
      <c r="I1002" s="280" t="e">
        <f t="shared" si="120"/>
        <v>#DIV/0!</v>
      </c>
      <c r="J1002" s="126"/>
      <c r="K1002" s="89"/>
      <c r="L1002" s="391"/>
      <c r="M1002" s="89"/>
      <c r="N1002" s="89"/>
      <c r="O1002" s="368"/>
      <c r="P1002" s="89"/>
      <c r="Q1002" s="89"/>
      <c r="R1002" s="473"/>
    </row>
    <row r="1003" spans="1:18" ht="11.25" customHeight="1" hidden="1">
      <c r="A1003" s="124">
        <v>4260</v>
      </c>
      <c r="B1003" s="277" t="s">
        <v>506</v>
      </c>
      <c r="C1003" s="88"/>
      <c r="D1003" s="74">
        <f t="shared" si="122"/>
        <v>0</v>
      </c>
      <c r="E1003" s="89">
        <f t="shared" si="123"/>
        <v>0</v>
      </c>
      <c r="F1003" s="491" t="e">
        <f t="shared" si="119"/>
        <v>#DIV/0!</v>
      </c>
      <c r="G1003" s="88"/>
      <c r="H1003" s="89"/>
      <c r="I1003" s="280" t="e">
        <f t="shared" si="120"/>
        <v>#DIV/0!</v>
      </c>
      <c r="J1003" s="126"/>
      <c r="K1003" s="89"/>
      <c r="L1003" s="391"/>
      <c r="M1003" s="89"/>
      <c r="N1003" s="89"/>
      <c r="O1003" s="368"/>
      <c r="P1003" s="89"/>
      <c r="Q1003" s="89"/>
      <c r="R1003" s="473"/>
    </row>
    <row r="1004" spans="1:18" ht="11.25" customHeight="1" hidden="1">
      <c r="A1004" s="124">
        <v>4270</v>
      </c>
      <c r="B1004" s="277" t="s">
        <v>508</v>
      </c>
      <c r="C1004" s="88"/>
      <c r="D1004" s="74">
        <f t="shared" si="122"/>
        <v>0</v>
      </c>
      <c r="E1004" s="89">
        <f t="shared" si="123"/>
        <v>0</v>
      </c>
      <c r="F1004" s="491" t="e">
        <f t="shared" si="119"/>
        <v>#DIV/0!</v>
      </c>
      <c r="G1004" s="88"/>
      <c r="H1004" s="89"/>
      <c r="I1004" s="280" t="e">
        <f t="shared" si="120"/>
        <v>#DIV/0!</v>
      </c>
      <c r="J1004" s="126"/>
      <c r="K1004" s="89"/>
      <c r="L1004" s="391"/>
      <c r="M1004" s="89"/>
      <c r="N1004" s="89"/>
      <c r="O1004" s="368"/>
      <c r="P1004" s="89"/>
      <c r="Q1004" s="89"/>
      <c r="R1004" s="473"/>
    </row>
    <row r="1005" spans="1:18" ht="24" customHeight="1" hidden="1">
      <c r="A1005" s="124">
        <v>4280</v>
      </c>
      <c r="B1005" s="277" t="s">
        <v>92</v>
      </c>
      <c r="C1005" s="88"/>
      <c r="D1005" s="74">
        <f t="shared" si="122"/>
        <v>0</v>
      </c>
      <c r="E1005" s="89">
        <f t="shared" si="123"/>
        <v>0</v>
      </c>
      <c r="F1005" s="491" t="e">
        <f t="shared" si="119"/>
        <v>#DIV/0!</v>
      </c>
      <c r="G1005" s="88"/>
      <c r="H1005" s="89"/>
      <c r="I1005" s="280" t="e">
        <f t="shared" si="120"/>
        <v>#DIV/0!</v>
      </c>
      <c r="J1005" s="126"/>
      <c r="K1005" s="89"/>
      <c r="L1005" s="391"/>
      <c r="M1005" s="89"/>
      <c r="N1005" s="89"/>
      <c r="O1005" s="368"/>
      <c r="P1005" s="89"/>
      <c r="Q1005" s="89"/>
      <c r="R1005" s="473"/>
    </row>
    <row r="1006" spans="1:18" ht="11.25" customHeight="1" hidden="1">
      <c r="A1006" s="124">
        <v>4300</v>
      </c>
      <c r="B1006" s="277" t="s">
        <v>510</v>
      </c>
      <c r="C1006" s="88"/>
      <c r="D1006" s="74">
        <f t="shared" si="122"/>
        <v>0</v>
      </c>
      <c r="E1006" s="89">
        <f t="shared" si="123"/>
        <v>0</v>
      </c>
      <c r="F1006" s="491" t="e">
        <f t="shared" si="119"/>
        <v>#DIV/0!</v>
      </c>
      <c r="G1006" s="88"/>
      <c r="H1006" s="89"/>
      <c r="I1006" s="280" t="e">
        <f t="shared" si="120"/>
        <v>#DIV/0!</v>
      </c>
      <c r="J1006" s="126"/>
      <c r="K1006" s="89"/>
      <c r="L1006" s="391"/>
      <c r="M1006" s="89"/>
      <c r="N1006" s="89"/>
      <c r="O1006" s="368"/>
      <c r="P1006" s="89"/>
      <c r="Q1006" s="89"/>
      <c r="R1006" s="473"/>
    </row>
    <row r="1007" spans="1:18" ht="12.75" customHeight="1" hidden="1">
      <c r="A1007" s="124">
        <v>4410</v>
      </c>
      <c r="B1007" s="277" t="s">
        <v>484</v>
      </c>
      <c r="C1007" s="88"/>
      <c r="D1007" s="74">
        <f t="shared" si="122"/>
        <v>0</v>
      </c>
      <c r="E1007" s="89">
        <f t="shared" si="123"/>
        <v>0</v>
      </c>
      <c r="F1007" s="491" t="e">
        <f t="shared" si="119"/>
        <v>#DIV/0!</v>
      </c>
      <c r="G1007" s="88"/>
      <c r="H1007" s="89"/>
      <c r="I1007" s="280" t="e">
        <f t="shared" si="120"/>
        <v>#DIV/0!</v>
      </c>
      <c r="J1007" s="126"/>
      <c r="K1007" s="89"/>
      <c r="L1007" s="391"/>
      <c r="M1007" s="89"/>
      <c r="N1007" s="89"/>
      <c r="O1007" s="368"/>
      <c r="P1007" s="89"/>
      <c r="Q1007" s="89"/>
      <c r="R1007" s="473"/>
    </row>
    <row r="1008" spans="1:18" ht="12.75" customHeight="1" hidden="1">
      <c r="A1008" s="124">
        <v>4430</v>
      </c>
      <c r="B1008" s="277" t="s">
        <v>512</v>
      </c>
      <c r="C1008" s="88"/>
      <c r="D1008" s="74">
        <f t="shared" si="122"/>
        <v>0</v>
      </c>
      <c r="E1008" s="89">
        <f t="shared" si="123"/>
        <v>0</v>
      </c>
      <c r="F1008" s="491" t="e">
        <f t="shared" si="119"/>
        <v>#DIV/0!</v>
      </c>
      <c r="G1008" s="88"/>
      <c r="H1008" s="127"/>
      <c r="I1008" s="280" t="e">
        <f t="shared" si="120"/>
        <v>#DIV/0!</v>
      </c>
      <c r="J1008" s="153"/>
      <c r="K1008" s="89"/>
      <c r="L1008" s="391"/>
      <c r="M1008" s="127"/>
      <c r="N1008" s="127"/>
      <c r="O1008" s="401"/>
      <c r="P1008" s="127"/>
      <c r="Q1008" s="127"/>
      <c r="R1008" s="474"/>
    </row>
    <row r="1009" spans="1:18" ht="11.25" customHeight="1" hidden="1">
      <c r="A1009" s="124">
        <v>4440</v>
      </c>
      <c r="B1009" s="277" t="s">
        <v>514</v>
      </c>
      <c r="C1009" s="88"/>
      <c r="D1009" s="74">
        <f t="shared" si="122"/>
        <v>0</v>
      </c>
      <c r="E1009" s="89">
        <f t="shared" si="123"/>
        <v>0</v>
      </c>
      <c r="F1009" s="491" t="e">
        <f t="shared" si="119"/>
        <v>#DIV/0!</v>
      </c>
      <c r="G1009" s="88"/>
      <c r="H1009" s="89"/>
      <c r="I1009" s="280" t="e">
        <f t="shared" si="120"/>
        <v>#DIV/0!</v>
      </c>
      <c r="J1009" s="126"/>
      <c r="K1009" s="89"/>
      <c r="L1009" s="391"/>
      <c r="M1009" s="89"/>
      <c r="N1009" s="89"/>
      <c r="O1009" s="368"/>
      <c r="P1009" s="89"/>
      <c r="Q1009" s="89"/>
      <c r="R1009" s="473"/>
    </row>
    <row r="1010" spans="1:18" s="118" customFormat="1" ht="12.75" customHeight="1" hidden="1">
      <c r="A1010" s="124">
        <v>4480</v>
      </c>
      <c r="B1010" s="277" t="s">
        <v>516</v>
      </c>
      <c r="C1010" s="88"/>
      <c r="D1010" s="74">
        <f t="shared" si="122"/>
        <v>0</v>
      </c>
      <c r="E1010" s="89">
        <f t="shared" si="123"/>
        <v>0</v>
      </c>
      <c r="F1010" s="491" t="e">
        <f t="shared" si="119"/>
        <v>#DIV/0!</v>
      </c>
      <c r="G1010" s="88"/>
      <c r="H1010" s="89"/>
      <c r="I1010" s="280" t="e">
        <f t="shared" si="120"/>
        <v>#DIV/0!</v>
      </c>
      <c r="J1010" s="126"/>
      <c r="K1010" s="89"/>
      <c r="L1010" s="391"/>
      <c r="M1010" s="89"/>
      <c r="N1010" s="89"/>
      <c r="O1010" s="368"/>
      <c r="P1010" s="89"/>
      <c r="Q1010" s="89"/>
      <c r="R1010" s="473"/>
    </row>
    <row r="1011" spans="1:18" s="118" customFormat="1" ht="36" hidden="1">
      <c r="A1011" s="158">
        <v>4520</v>
      </c>
      <c r="B1011" s="278" t="s">
        <v>93</v>
      </c>
      <c r="C1011" s="160"/>
      <c r="D1011" s="161">
        <f t="shared" si="122"/>
        <v>0</v>
      </c>
      <c r="E1011" s="155">
        <f t="shared" si="123"/>
        <v>0</v>
      </c>
      <c r="F1011" s="527" t="e">
        <f t="shared" si="119"/>
        <v>#DIV/0!</v>
      </c>
      <c r="G1011" s="160"/>
      <c r="H1011" s="155"/>
      <c r="I1011" s="323" t="e">
        <f t="shared" si="120"/>
        <v>#DIV/0!</v>
      </c>
      <c r="J1011" s="162"/>
      <c r="K1011" s="155"/>
      <c r="L1011" s="415"/>
      <c r="M1011" s="155"/>
      <c r="N1011" s="155"/>
      <c r="O1011" s="387"/>
      <c r="P1011" s="155"/>
      <c r="Q1011" s="155"/>
      <c r="R1011" s="475"/>
    </row>
    <row r="1012" spans="1:18" s="290" customFormat="1" ht="11.25" customHeight="1">
      <c r="A1012" s="119">
        <v>85195</v>
      </c>
      <c r="B1012" s="276" t="s">
        <v>529</v>
      </c>
      <c r="C1012" s="121">
        <f>SUM(C1013:C1019)</f>
        <v>889000</v>
      </c>
      <c r="D1012" s="95">
        <f t="shared" si="122"/>
        <v>874000</v>
      </c>
      <c r="E1012" s="84">
        <f>SUM(E1013:E1019)</f>
        <v>550729</v>
      </c>
      <c r="F1012" s="523">
        <f t="shared" si="119"/>
        <v>63.01247139588101</v>
      </c>
      <c r="G1012" s="121">
        <f>SUM(G1013:G1019)</f>
        <v>874000</v>
      </c>
      <c r="H1012" s="84">
        <f>SUM(H1013:H1019)</f>
        <v>550729</v>
      </c>
      <c r="I1012" s="467">
        <f t="shared" si="120"/>
        <v>63.01247139588101</v>
      </c>
      <c r="J1012" s="123"/>
      <c r="K1012" s="84"/>
      <c r="L1012" s="417"/>
      <c r="M1012" s="84"/>
      <c r="N1012" s="84"/>
      <c r="O1012" s="381"/>
      <c r="P1012" s="84"/>
      <c r="Q1012" s="84"/>
      <c r="R1012" s="471"/>
    </row>
    <row r="1013" spans="1:18" s="212" customFormat="1" ht="72">
      <c r="A1013" s="108">
        <v>2820</v>
      </c>
      <c r="B1013" s="301" t="s">
        <v>87</v>
      </c>
      <c r="C1013" s="90">
        <v>140000</v>
      </c>
      <c r="D1013" s="103">
        <f t="shared" si="122"/>
        <v>140000</v>
      </c>
      <c r="E1013" s="104">
        <f aca="true" t="shared" si="124" ref="E1013:E1019">SUM(H1013+K1013+N1013+Q1013)</f>
        <v>79600</v>
      </c>
      <c r="F1013" s="526">
        <f t="shared" si="119"/>
        <v>56.85714285714286</v>
      </c>
      <c r="G1013" s="90">
        <v>140000</v>
      </c>
      <c r="H1013" s="104">
        <v>79600</v>
      </c>
      <c r="I1013" s="470">
        <f t="shared" si="120"/>
        <v>56.85714285714286</v>
      </c>
      <c r="J1013" s="200"/>
      <c r="K1013" s="104"/>
      <c r="L1013" s="414"/>
      <c r="M1013" s="104"/>
      <c r="N1013" s="104"/>
      <c r="O1013" s="388"/>
      <c r="P1013" s="104"/>
      <c r="Q1013" s="104"/>
      <c r="R1013" s="365"/>
    </row>
    <row r="1014" spans="1:18" s="212" customFormat="1" ht="48" hidden="1">
      <c r="A1014" s="124">
        <v>2480</v>
      </c>
      <c r="B1014" s="206" t="s">
        <v>89</v>
      </c>
      <c r="C1014" s="88"/>
      <c r="D1014" s="74">
        <f>G1014+J1014+P1014+M1014</f>
        <v>0</v>
      </c>
      <c r="E1014" s="89">
        <f>SUM(H1014+K1014+N1014+Q1014)</f>
        <v>0</v>
      </c>
      <c r="F1014" s="491" t="e">
        <f>E1014/D1014*100</f>
        <v>#DIV/0!</v>
      </c>
      <c r="G1014" s="88"/>
      <c r="H1014" s="89"/>
      <c r="I1014" s="468" t="e">
        <f t="shared" si="120"/>
        <v>#DIV/0!</v>
      </c>
      <c r="J1014" s="126"/>
      <c r="K1014" s="89"/>
      <c r="L1014" s="391"/>
      <c r="M1014" s="89"/>
      <c r="N1014" s="89"/>
      <c r="O1014" s="368"/>
      <c r="P1014" s="89"/>
      <c r="Q1014" s="89"/>
      <c r="R1014" s="362"/>
    </row>
    <row r="1015" spans="1:18" s="212" customFormat="1" ht="48" hidden="1">
      <c r="A1015" s="124">
        <v>2620</v>
      </c>
      <c r="B1015" s="206" t="s">
        <v>446</v>
      </c>
      <c r="C1015" s="88"/>
      <c r="D1015" s="74">
        <f>G1015+J1015+P1015+M1015</f>
        <v>0</v>
      </c>
      <c r="E1015" s="89">
        <f t="shared" si="124"/>
        <v>0</v>
      </c>
      <c r="F1015" s="491" t="e">
        <f>E1015/D1015*100</f>
        <v>#DIV/0!</v>
      </c>
      <c r="G1015" s="88"/>
      <c r="H1015" s="89"/>
      <c r="I1015" s="468" t="e">
        <f t="shared" si="120"/>
        <v>#DIV/0!</v>
      </c>
      <c r="J1015" s="126"/>
      <c r="K1015" s="89"/>
      <c r="L1015" s="391"/>
      <c r="M1015" s="89"/>
      <c r="N1015" s="89"/>
      <c r="O1015" s="368"/>
      <c r="P1015" s="89"/>
      <c r="Q1015" s="89"/>
      <c r="R1015" s="362"/>
    </row>
    <row r="1016" spans="1:18" s="212" customFormat="1" ht="24">
      <c r="A1016" s="124">
        <v>4210</v>
      </c>
      <c r="B1016" s="128" t="s">
        <v>502</v>
      </c>
      <c r="C1016" s="88"/>
      <c r="D1016" s="74">
        <f>G1016+J1016+P1016+M1016</f>
        <v>200</v>
      </c>
      <c r="E1016" s="89">
        <f t="shared" si="124"/>
        <v>200</v>
      </c>
      <c r="F1016" s="491">
        <f>E1016/D1016*100</f>
        <v>100</v>
      </c>
      <c r="G1016" s="88">
        <v>200</v>
      </c>
      <c r="H1016" s="89">
        <v>200</v>
      </c>
      <c r="I1016" s="468">
        <f t="shared" si="120"/>
        <v>100</v>
      </c>
      <c r="J1016" s="126"/>
      <c r="K1016" s="89"/>
      <c r="L1016" s="391"/>
      <c r="M1016" s="89"/>
      <c r="N1016" s="89"/>
      <c r="O1016" s="368"/>
      <c r="P1016" s="89"/>
      <c r="Q1016" s="89"/>
      <c r="R1016" s="362"/>
    </row>
    <row r="1017" spans="1:18" s="212" customFormat="1" ht="24">
      <c r="A1017" s="124">
        <v>4300</v>
      </c>
      <c r="B1017" s="277" t="s">
        <v>527</v>
      </c>
      <c r="C1017" s="88">
        <v>469000</v>
      </c>
      <c r="D1017" s="74">
        <f t="shared" si="122"/>
        <v>453800</v>
      </c>
      <c r="E1017" s="89">
        <f t="shared" si="124"/>
        <v>190950</v>
      </c>
      <c r="F1017" s="491">
        <f t="shared" si="119"/>
        <v>42.078007933010134</v>
      </c>
      <c r="G1017" s="88">
        <f>469000-200-15000</f>
        <v>453800</v>
      </c>
      <c r="H1017" s="89">
        <v>190950</v>
      </c>
      <c r="I1017" s="468">
        <f t="shared" si="120"/>
        <v>42.078007933010134</v>
      </c>
      <c r="J1017" s="126"/>
      <c r="K1017" s="89"/>
      <c r="L1017" s="391"/>
      <c r="M1017" s="89"/>
      <c r="N1017" s="89"/>
      <c r="O1017" s="368"/>
      <c r="P1017" s="89"/>
      <c r="Q1017" s="89"/>
      <c r="R1017" s="362"/>
    </row>
    <row r="1018" spans="1:18" ht="48" hidden="1">
      <c r="A1018" s="124">
        <v>6050</v>
      </c>
      <c r="B1018" s="128" t="s">
        <v>352</v>
      </c>
      <c r="C1018" s="88"/>
      <c r="D1018" s="74">
        <f>G1018+J1018+P1018+M1018</f>
        <v>0</v>
      </c>
      <c r="E1018" s="89">
        <f t="shared" si="124"/>
        <v>0</v>
      </c>
      <c r="F1018" s="491" t="e">
        <f>E1018/D1018*100</f>
        <v>#DIV/0!</v>
      </c>
      <c r="G1018" s="88"/>
      <c r="H1018" s="127"/>
      <c r="I1018" s="468" t="e">
        <f>H1018/G1018*100</f>
        <v>#DIV/0!</v>
      </c>
      <c r="J1018" s="153"/>
      <c r="K1018" s="89"/>
      <c r="L1018" s="391"/>
      <c r="M1018" s="127"/>
      <c r="N1018" s="127"/>
      <c r="O1018" s="401"/>
      <c r="P1018" s="127"/>
      <c r="Q1018" s="127"/>
      <c r="R1018" s="361"/>
    </row>
    <row r="1019" spans="1:18" ht="36.75" thickBot="1">
      <c r="A1019" s="158">
        <v>6050</v>
      </c>
      <c r="B1019" s="159" t="s">
        <v>303</v>
      </c>
      <c r="C1019" s="88">
        <v>280000</v>
      </c>
      <c r="D1019" s="74">
        <f t="shared" si="122"/>
        <v>280000</v>
      </c>
      <c r="E1019" s="89">
        <f t="shared" si="124"/>
        <v>279979</v>
      </c>
      <c r="F1019" s="491">
        <f t="shared" si="119"/>
        <v>99.99249999999999</v>
      </c>
      <c r="G1019" s="88">
        <v>280000</v>
      </c>
      <c r="H1019" s="127">
        <v>279979</v>
      </c>
      <c r="I1019" s="468">
        <f t="shared" si="120"/>
        <v>99.99249999999999</v>
      </c>
      <c r="J1019" s="153"/>
      <c r="K1019" s="89"/>
      <c r="L1019" s="391"/>
      <c r="M1019" s="127"/>
      <c r="N1019" s="127"/>
      <c r="O1019" s="401"/>
      <c r="P1019" s="127"/>
      <c r="Q1019" s="127"/>
      <c r="R1019" s="361"/>
    </row>
    <row r="1020" spans="1:18" s="13" customFormat="1" ht="27" thickBot="1" thickTop="1">
      <c r="A1020" s="293">
        <v>852</v>
      </c>
      <c r="B1020" s="294" t="s">
        <v>95</v>
      </c>
      <c r="C1020" s="133">
        <f>C1021+C1077+C1080+C1172+C1180+C1200+C1203+C1228+C1206+C1290+C1308+C1260+C1270+C1209+C1211+C1306</f>
        <v>42994110</v>
      </c>
      <c r="D1020" s="59">
        <f>G1020+J1020+P1020+M1020</f>
        <v>43740982</v>
      </c>
      <c r="E1020" s="59">
        <f>H1020+K1020+Q1020+N1020</f>
        <v>20932574</v>
      </c>
      <c r="F1020" s="524">
        <f t="shared" si="119"/>
        <v>47.85574772875469</v>
      </c>
      <c r="G1020" s="133">
        <f>G1021+G1077+G1080+G1172+G1180+G1200+G1203+G1228+G1206+G1290+G1308+G1260+G1270+G1209+G1211+G1306</f>
        <v>18850607</v>
      </c>
      <c r="H1020" s="59">
        <f>H1021+H1077+H1080+H1172+H1180+H1200+H1203+H1228+H1206+H1290+H1308+H1260+H1270+H1209+H1211+H1306</f>
        <v>8913531</v>
      </c>
      <c r="I1020" s="496">
        <f>H1020/G1020*100</f>
        <v>47.28511394885056</v>
      </c>
      <c r="J1020" s="59">
        <f>J1021+J1077+J1080+J1172+J1180+J1200+J1203+J1228+J1206+J1290+J1308+J1260+J1270+J1209+J1211+J1306</f>
        <v>20067002</v>
      </c>
      <c r="K1020" s="59">
        <f>K1021+K1077+K1080+K1172+K1180+K1200+K1203+K1228+K1206+K1290+K1308+K1260+K1270+K1209+K1211+K1306</f>
        <v>9504844</v>
      </c>
      <c r="L1020" s="398">
        <f>K1020/J1020*100</f>
        <v>47.36554070209392</v>
      </c>
      <c r="M1020" s="253">
        <f>M1021+M1077+M1080+M1172+M1180+M1203+M1228+M1206+M1290+M1308+M1260+M1270+M1209+M1211</f>
        <v>4810373</v>
      </c>
      <c r="N1020" s="59">
        <f>N1021+N1077+N1080+N1172+N1180+N1203+N1228+N1206+N1290+N1308+N1260+N1270+N1209+N1211</f>
        <v>2514199</v>
      </c>
      <c r="O1020" s="354">
        <f aca="true" t="shared" si="125" ref="O1020:O1076">N1020/M1020*100</f>
        <v>52.26619640514364</v>
      </c>
      <c r="P1020" s="59">
        <f>P1260</f>
        <v>13000</v>
      </c>
      <c r="Q1020" s="59">
        <f>Q1260</f>
        <v>0</v>
      </c>
      <c r="R1020" s="354">
        <f>Q1020/P1020*100</f>
        <v>0</v>
      </c>
    </row>
    <row r="1021" spans="1:18" s="118" customFormat="1" ht="48" customHeight="1" thickTop="1">
      <c r="A1021" s="255">
        <v>85201</v>
      </c>
      <c r="B1021" s="295" t="s">
        <v>96</v>
      </c>
      <c r="C1021" s="66">
        <f>SUM(C1022:C1026)+C1040+C1058</f>
        <v>979770</v>
      </c>
      <c r="D1021" s="67">
        <f>G1021+J1021+P1021+M1021</f>
        <v>1286171</v>
      </c>
      <c r="E1021" s="192">
        <f>H1021+K1021+Q1021+N1021</f>
        <v>564155</v>
      </c>
      <c r="F1021" s="527">
        <f t="shared" si="119"/>
        <v>43.86314105978132</v>
      </c>
      <c r="G1021" s="257">
        <f>SUM(G1022:G1026)</f>
        <v>230913</v>
      </c>
      <c r="H1021" s="186">
        <f>SUM(H1022:H1026)</f>
        <v>73609</v>
      </c>
      <c r="I1021" s="500">
        <f>H1021/G1021*100</f>
        <v>31.87737372949985</v>
      </c>
      <c r="J1021" s="269"/>
      <c r="K1021" s="186"/>
      <c r="L1021" s="420"/>
      <c r="M1021" s="68">
        <f>SUM(M1022:M1025)+M1040+M1058</f>
        <v>1055258</v>
      </c>
      <c r="N1021" s="68">
        <f>SUM(N1022:N1025)+N1040+N1058</f>
        <v>490546</v>
      </c>
      <c r="O1021" s="462">
        <f t="shared" si="125"/>
        <v>46.485883073144194</v>
      </c>
      <c r="P1021" s="68"/>
      <c r="Q1021" s="68"/>
      <c r="R1021" s="383"/>
    </row>
    <row r="1022" spans="1:18" s="118" customFormat="1" ht="73.5" customHeight="1">
      <c r="A1022" s="124">
        <v>2320</v>
      </c>
      <c r="B1022" s="277" t="s">
        <v>590</v>
      </c>
      <c r="C1022" s="88">
        <v>400000</v>
      </c>
      <c r="D1022" s="74">
        <f aca="true" t="shared" si="126" ref="D1022:E1041">G1022+J1022+P1022+M1022</f>
        <v>400000</v>
      </c>
      <c r="E1022" s="74">
        <f t="shared" si="126"/>
        <v>221461</v>
      </c>
      <c r="F1022" s="491">
        <f t="shared" si="119"/>
        <v>55.365249999999996</v>
      </c>
      <c r="G1022" s="174"/>
      <c r="H1022" s="74"/>
      <c r="I1022" s="493"/>
      <c r="J1022" s="183"/>
      <c r="K1022" s="182"/>
      <c r="L1022" s="403"/>
      <c r="M1022" s="90">
        <v>400000</v>
      </c>
      <c r="N1022" s="104">
        <v>221461</v>
      </c>
      <c r="O1022" s="442">
        <f t="shared" si="125"/>
        <v>55.365249999999996</v>
      </c>
      <c r="P1022" s="89"/>
      <c r="Q1022" s="89"/>
      <c r="R1022" s="362"/>
    </row>
    <row r="1023" spans="1:18" s="118" customFormat="1" ht="50.25" customHeight="1">
      <c r="A1023" s="124">
        <v>2820</v>
      </c>
      <c r="B1023" s="277" t="s">
        <v>97</v>
      </c>
      <c r="C1023" s="88">
        <v>45000</v>
      </c>
      <c r="D1023" s="74">
        <f t="shared" si="126"/>
        <v>45000</v>
      </c>
      <c r="E1023" s="74">
        <f t="shared" si="126"/>
        <v>30000</v>
      </c>
      <c r="F1023" s="491">
        <f t="shared" si="119"/>
        <v>66.66666666666666</v>
      </c>
      <c r="G1023" s="174"/>
      <c r="H1023" s="74"/>
      <c r="I1023" s="493"/>
      <c r="J1023" s="183"/>
      <c r="K1023" s="182"/>
      <c r="L1023" s="403"/>
      <c r="M1023" s="88">
        <v>45000</v>
      </c>
      <c r="N1023" s="89">
        <v>30000</v>
      </c>
      <c r="O1023" s="442">
        <f t="shared" si="125"/>
        <v>66.66666666666666</v>
      </c>
      <c r="P1023" s="89"/>
      <c r="Q1023" s="89"/>
      <c r="R1023" s="362"/>
    </row>
    <row r="1024" spans="1:18" s="118" customFormat="1" ht="16.5" customHeight="1">
      <c r="A1024" s="124">
        <v>4580</v>
      </c>
      <c r="B1024" s="291" t="s">
        <v>549</v>
      </c>
      <c r="C1024" s="88"/>
      <c r="D1024" s="74">
        <f>G1024+J1024+P1024+M1024</f>
        <v>5</v>
      </c>
      <c r="E1024" s="74">
        <f>H1024+K1024+Q1024+N1024</f>
        <v>3</v>
      </c>
      <c r="F1024" s="491">
        <f>E1024/D1024*100</f>
        <v>60</v>
      </c>
      <c r="G1024" s="174"/>
      <c r="H1024" s="74"/>
      <c r="I1024" s="493"/>
      <c r="J1024" s="183"/>
      <c r="K1024" s="182"/>
      <c r="L1024" s="403"/>
      <c r="M1024" s="88">
        <v>5</v>
      </c>
      <c r="N1024" s="89">
        <v>3</v>
      </c>
      <c r="O1024" s="442">
        <f t="shared" si="125"/>
        <v>60</v>
      </c>
      <c r="P1024" s="89"/>
      <c r="Q1024" s="89"/>
      <c r="R1024" s="362"/>
    </row>
    <row r="1025" spans="1:18" s="118" customFormat="1" ht="21.75" customHeight="1">
      <c r="A1025" s="158">
        <v>3110</v>
      </c>
      <c r="B1025" s="278" t="s">
        <v>98</v>
      </c>
      <c r="C1025" s="160">
        <v>30000</v>
      </c>
      <c r="D1025" s="161">
        <f t="shared" si="126"/>
        <v>246615</v>
      </c>
      <c r="E1025" s="161">
        <f t="shared" si="126"/>
        <v>60317</v>
      </c>
      <c r="F1025" s="527">
        <f t="shared" si="119"/>
        <v>24.457960789084197</v>
      </c>
      <c r="G1025" s="176"/>
      <c r="H1025" s="161"/>
      <c r="I1025" s="582"/>
      <c r="J1025" s="193"/>
      <c r="K1025" s="192"/>
      <c r="L1025" s="424"/>
      <c r="M1025" s="160">
        <f>30000+246615-30000</f>
        <v>246615</v>
      </c>
      <c r="N1025" s="155">
        <v>60317</v>
      </c>
      <c r="O1025" s="462">
        <f t="shared" si="125"/>
        <v>24.457960789084197</v>
      </c>
      <c r="P1025" s="155"/>
      <c r="Q1025" s="155"/>
      <c r="R1025" s="366"/>
    </row>
    <row r="1026" spans="1:18" s="143" customFormat="1" ht="12.75" customHeight="1">
      <c r="A1026" s="135"/>
      <c r="B1026" s="339" t="s">
        <v>387</v>
      </c>
      <c r="C1026" s="137">
        <f>SUM(C1027:C1039)</f>
        <v>189840</v>
      </c>
      <c r="D1026" s="139">
        <f>G1026+J1026+P1026+M1026</f>
        <v>230913</v>
      </c>
      <c r="E1026" s="139">
        <f>H1026+K1026+Q1026+N1026</f>
        <v>73609</v>
      </c>
      <c r="F1026" s="528">
        <f>E1026/D1026*100</f>
        <v>31.87737372949985</v>
      </c>
      <c r="G1026" s="347">
        <f>SUM(G1027:G1039)</f>
        <v>230913</v>
      </c>
      <c r="H1026" s="139">
        <f>SUM(H1027:H1039)</f>
        <v>73609</v>
      </c>
      <c r="I1026" s="369">
        <f>H1026/G1026*100</f>
        <v>31.87737372949985</v>
      </c>
      <c r="J1026" s="140"/>
      <c r="K1026" s="139"/>
      <c r="L1026" s="403"/>
      <c r="M1026" s="137"/>
      <c r="N1026" s="139"/>
      <c r="O1026" s="459"/>
      <c r="P1026" s="139"/>
      <c r="Q1026" s="139"/>
      <c r="R1026" s="364"/>
    </row>
    <row r="1027" spans="1:18" s="118" customFormat="1" ht="24">
      <c r="A1027" s="124">
        <v>4010</v>
      </c>
      <c r="B1027" s="277" t="s">
        <v>492</v>
      </c>
      <c r="C1027" s="88">
        <v>72130</v>
      </c>
      <c r="D1027" s="74">
        <f t="shared" si="126"/>
        <v>72130</v>
      </c>
      <c r="E1027" s="74">
        <f t="shared" si="126"/>
        <v>42709</v>
      </c>
      <c r="F1027" s="491">
        <f t="shared" si="119"/>
        <v>59.2111465409677</v>
      </c>
      <c r="G1027" s="88">
        <v>72130</v>
      </c>
      <c r="H1027" s="74">
        <v>42709</v>
      </c>
      <c r="I1027" s="369">
        <f>H1027/G1027*100</f>
        <v>59.2111465409677</v>
      </c>
      <c r="J1027" s="183"/>
      <c r="K1027" s="182"/>
      <c r="L1027" s="403"/>
      <c r="M1027" s="88"/>
      <c r="N1027" s="89"/>
      <c r="O1027" s="224"/>
      <c r="P1027" s="89"/>
      <c r="Q1027" s="89"/>
      <c r="R1027" s="362"/>
    </row>
    <row r="1028" spans="1:18" s="118" customFormat="1" ht="24">
      <c r="A1028" s="124">
        <v>4040</v>
      </c>
      <c r="B1028" s="277" t="s">
        <v>541</v>
      </c>
      <c r="C1028" s="88">
        <v>5300</v>
      </c>
      <c r="D1028" s="74">
        <f t="shared" si="126"/>
        <v>5300</v>
      </c>
      <c r="E1028" s="89">
        <f aca="true" t="shared" si="127" ref="E1028:E1076">SUM(H1028+K1028+N1028+Q1028)</f>
        <v>4961</v>
      </c>
      <c r="F1028" s="491">
        <f t="shared" si="119"/>
        <v>93.60377358490565</v>
      </c>
      <c r="G1028" s="88">
        <v>5300</v>
      </c>
      <c r="H1028" s="74">
        <v>4961</v>
      </c>
      <c r="I1028" s="369">
        <f aca="true" t="shared" si="128" ref="I1028:I1039">H1028/G1028*100</f>
        <v>93.60377358490565</v>
      </c>
      <c r="J1028" s="183"/>
      <c r="K1028" s="182"/>
      <c r="L1028" s="403"/>
      <c r="M1028" s="88"/>
      <c r="N1028" s="89"/>
      <c r="O1028" s="224"/>
      <c r="P1028" s="89"/>
      <c r="Q1028" s="89"/>
      <c r="R1028" s="362"/>
    </row>
    <row r="1029" spans="1:18" s="118" customFormat="1" ht="24">
      <c r="A1029" s="124">
        <v>4110</v>
      </c>
      <c r="B1029" s="277" t="s">
        <v>498</v>
      </c>
      <c r="C1029" s="88">
        <v>12400</v>
      </c>
      <c r="D1029" s="74">
        <f t="shared" si="126"/>
        <v>12400</v>
      </c>
      <c r="E1029" s="89">
        <f t="shared" si="127"/>
        <v>7424</v>
      </c>
      <c r="F1029" s="491">
        <f t="shared" si="119"/>
        <v>59.87096774193549</v>
      </c>
      <c r="G1029" s="88">
        <v>12400</v>
      </c>
      <c r="H1029" s="74">
        <v>7424</v>
      </c>
      <c r="I1029" s="369">
        <f t="shared" si="128"/>
        <v>59.87096774193549</v>
      </c>
      <c r="J1029" s="183"/>
      <c r="K1029" s="182"/>
      <c r="L1029" s="403"/>
      <c r="M1029" s="88"/>
      <c r="N1029" s="89"/>
      <c r="O1029" s="224"/>
      <c r="P1029" s="89"/>
      <c r="Q1029" s="89"/>
      <c r="R1029" s="362"/>
    </row>
    <row r="1030" spans="1:18" s="118" customFormat="1" ht="12.75">
      <c r="A1030" s="124">
        <v>4120</v>
      </c>
      <c r="B1030" s="277" t="s">
        <v>571</v>
      </c>
      <c r="C1030" s="88">
        <v>1900</v>
      </c>
      <c r="D1030" s="74">
        <f t="shared" si="126"/>
        <v>1900</v>
      </c>
      <c r="E1030" s="89">
        <f t="shared" si="127"/>
        <v>1135</v>
      </c>
      <c r="F1030" s="491">
        <f t="shared" si="119"/>
        <v>59.73684210526316</v>
      </c>
      <c r="G1030" s="88">
        <v>1900</v>
      </c>
      <c r="H1030" s="74">
        <v>1135</v>
      </c>
      <c r="I1030" s="369">
        <f t="shared" si="128"/>
        <v>59.73684210526316</v>
      </c>
      <c r="J1030" s="183"/>
      <c r="K1030" s="182"/>
      <c r="L1030" s="403"/>
      <c r="M1030" s="88"/>
      <c r="N1030" s="89"/>
      <c r="O1030" s="224"/>
      <c r="P1030" s="89"/>
      <c r="Q1030" s="89"/>
      <c r="R1030" s="362"/>
    </row>
    <row r="1031" spans="1:18" s="118" customFormat="1" ht="24">
      <c r="A1031" s="124">
        <v>4210</v>
      </c>
      <c r="B1031" s="277" t="s">
        <v>502</v>
      </c>
      <c r="C1031" s="88">
        <v>9500</v>
      </c>
      <c r="D1031" s="74">
        <f t="shared" si="126"/>
        <v>9500</v>
      </c>
      <c r="E1031" s="89">
        <f t="shared" si="127"/>
        <v>2717</v>
      </c>
      <c r="F1031" s="491">
        <f t="shared" si="119"/>
        <v>28.599999999999998</v>
      </c>
      <c r="G1031" s="88">
        <v>9500</v>
      </c>
      <c r="H1031" s="74">
        <v>2717</v>
      </c>
      <c r="I1031" s="369">
        <f t="shared" si="128"/>
        <v>28.599999999999998</v>
      </c>
      <c r="J1031" s="183"/>
      <c r="K1031" s="182"/>
      <c r="L1031" s="403"/>
      <c r="M1031" s="88"/>
      <c r="N1031" s="89"/>
      <c r="O1031" s="224"/>
      <c r="P1031" s="89"/>
      <c r="Q1031" s="89"/>
      <c r="R1031" s="362"/>
    </row>
    <row r="1032" spans="1:18" s="118" customFormat="1" ht="12.75">
      <c r="A1032" s="124">
        <v>4260</v>
      </c>
      <c r="B1032" s="277" t="s">
        <v>506</v>
      </c>
      <c r="C1032" s="88">
        <v>2010</v>
      </c>
      <c r="D1032" s="74">
        <f t="shared" si="126"/>
        <v>7395</v>
      </c>
      <c r="E1032" s="89">
        <f t="shared" si="127"/>
        <v>4372</v>
      </c>
      <c r="F1032" s="491">
        <f t="shared" si="119"/>
        <v>59.12102772143341</v>
      </c>
      <c r="G1032" s="88">
        <f>2010+5385</f>
        <v>7395</v>
      </c>
      <c r="H1032" s="74">
        <v>4372</v>
      </c>
      <c r="I1032" s="369">
        <f t="shared" si="128"/>
        <v>59.12102772143341</v>
      </c>
      <c r="J1032" s="183"/>
      <c r="K1032" s="182"/>
      <c r="L1032" s="403"/>
      <c r="M1032" s="88"/>
      <c r="N1032" s="89"/>
      <c r="O1032" s="224"/>
      <c r="P1032" s="89"/>
      <c r="Q1032" s="89"/>
      <c r="R1032" s="362"/>
    </row>
    <row r="1033" spans="1:18" s="118" customFormat="1" ht="24">
      <c r="A1033" s="124">
        <v>4270</v>
      </c>
      <c r="B1033" s="277" t="s">
        <v>508</v>
      </c>
      <c r="C1033" s="88">
        <v>60000</v>
      </c>
      <c r="D1033" s="74">
        <f t="shared" si="126"/>
        <v>104000</v>
      </c>
      <c r="E1033" s="89">
        <f t="shared" si="127"/>
        <v>0</v>
      </c>
      <c r="F1033" s="491">
        <f t="shared" si="119"/>
        <v>0</v>
      </c>
      <c r="G1033" s="88">
        <f>60000+44000</f>
        <v>104000</v>
      </c>
      <c r="H1033" s="74"/>
      <c r="I1033" s="369">
        <f t="shared" si="128"/>
        <v>0</v>
      </c>
      <c r="J1033" s="183"/>
      <c r="K1033" s="182"/>
      <c r="L1033" s="403"/>
      <c r="M1033" s="88"/>
      <c r="N1033" s="89"/>
      <c r="O1033" s="224"/>
      <c r="P1033" s="89"/>
      <c r="Q1033" s="89"/>
      <c r="R1033" s="362"/>
    </row>
    <row r="1034" spans="1:18" s="118" customFormat="1" ht="24">
      <c r="A1034" s="124">
        <v>4280</v>
      </c>
      <c r="B1034" s="277" t="s">
        <v>545</v>
      </c>
      <c r="C1034" s="88">
        <v>100</v>
      </c>
      <c r="D1034" s="74">
        <f t="shared" si="126"/>
        <v>100</v>
      </c>
      <c r="E1034" s="89">
        <f t="shared" si="127"/>
        <v>0</v>
      </c>
      <c r="F1034" s="491">
        <f t="shared" si="119"/>
        <v>0</v>
      </c>
      <c r="G1034" s="88">
        <v>100</v>
      </c>
      <c r="H1034" s="74"/>
      <c r="I1034" s="369">
        <f t="shared" si="128"/>
        <v>0</v>
      </c>
      <c r="J1034" s="183"/>
      <c r="K1034" s="182"/>
      <c r="L1034" s="403"/>
      <c r="M1034" s="88"/>
      <c r="N1034" s="89"/>
      <c r="O1034" s="224"/>
      <c r="P1034" s="89"/>
      <c r="Q1034" s="89"/>
      <c r="R1034" s="362"/>
    </row>
    <row r="1035" spans="1:18" s="118" customFormat="1" ht="12" customHeight="1">
      <c r="A1035" s="124">
        <v>4300</v>
      </c>
      <c r="B1035" s="277" t="s">
        <v>510</v>
      </c>
      <c r="C1035" s="88">
        <v>18200</v>
      </c>
      <c r="D1035" s="74">
        <f t="shared" si="126"/>
        <v>9083</v>
      </c>
      <c r="E1035" s="89">
        <f t="shared" si="127"/>
        <v>2767</v>
      </c>
      <c r="F1035" s="491">
        <f>E1035/D1035*100</f>
        <v>30.463503247825606</v>
      </c>
      <c r="G1035" s="88">
        <f>18200+883-10000</f>
        <v>9083</v>
      </c>
      <c r="H1035" s="74">
        <v>2767</v>
      </c>
      <c r="I1035" s="369">
        <f t="shared" si="128"/>
        <v>30.463503247825606</v>
      </c>
      <c r="J1035" s="183"/>
      <c r="K1035" s="182"/>
      <c r="L1035" s="403"/>
      <c r="M1035" s="88"/>
      <c r="N1035" s="89"/>
      <c r="O1035" s="224"/>
      <c r="P1035" s="89"/>
      <c r="Q1035" s="89"/>
      <c r="R1035" s="362"/>
    </row>
    <row r="1036" spans="1:18" s="118" customFormat="1" ht="48">
      <c r="A1036" s="172">
        <v>4370</v>
      </c>
      <c r="B1036" s="337" t="s">
        <v>298</v>
      </c>
      <c r="C1036" s="88">
        <v>1200</v>
      </c>
      <c r="D1036" s="74">
        <f t="shared" si="126"/>
        <v>1200</v>
      </c>
      <c r="E1036" s="89">
        <f t="shared" si="127"/>
        <v>630</v>
      </c>
      <c r="F1036" s="491">
        <f>E1036/D1036*100</f>
        <v>52.5</v>
      </c>
      <c r="G1036" s="88">
        <v>1200</v>
      </c>
      <c r="H1036" s="74">
        <v>630</v>
      </c>
      <c r="I1036" s="369">
        <f t="shared" si="128"/>
        <v>52.5</v>
      </c>
      <c r="J1036" s="183"/>
      <c r="K1036" s="182"/>
      <c r="L1036" s="403"/>
      <c r="M1036" s="88"/>
      <c r="N1036" s="89"/>
      <c r="O1036" s="224"/>
      <c r="P1036" s="89"/>
      <c r="Q1036" s="89"/>
      <c r="R1036" s="362"/>
    </row>
    <row r="1037" spans="1:18" s="118" customFormat="1" ht="12.75">
      <c r="A1037" s="124">
        <v>4440</v>
      </c>
      <c r="B1037" s="277" t="s">
        <v>514</v>
      </c>
      <c r="C1037" s="88">
        <v>3030</v>
      </c>
      <c r="D1037" s="74">
        <f t="shared" si="126"/>
        <v>3030</v>
      </c>
      <c r="E1037" s="89">
        <f>SUM(H1037+K1037+N1037+Q1037)</f>
        <v>2720</v>
      </c>
      <c r="F1037" s="491">
        <f>E1037/D1037*100</f>
        <v>89.76897689768977</v>
      </c>
      <c r="G1037" s="88">
        <v>3030</v>
      </c>
      <c r="H1037" s="74">
        <v>2720</v>
      </c>
      <c r="I1037" s="369">
        <f t="shared" si="128"/>
        <v>89.76897689768977</v>
      </c>
      <c r="J1037" s="183"/>
      <c r="K1037" s="182"/>
      <c r="L1037" s="403"/>
      <c r="M1037" s="88"/>
      <c r="N1037" s="89"/>
      <c r="O1037" s="224"/>
      <c r="P1037" s="89"/>
      <c r="Q1037" s="89"/>
      <c r="R1037" s="362"/>
    </row>
    <row r="1038" spans="1:18" s="118" customFormat="1" ht="18.75" customHeight="1">
      <c r="A1038" s="124">
        <v>4480</v>
      </c>
      <c r="B1038" s="277" t="s">
        <v>516</v>
      </c>
      <c r="C1038" s="88">
        <v>570</v>
      </c>
      <c r="D1038" s="74">
        <f t="shared" si="126"/>
        <v>1375</v>
      </c>
      <c r="E1038" s="89">
        <f>SUM(H1038+K1038+N1038+Q1038)</f>
        <v>686</v>
      </c>
      <c r="F1038" s="491">
        <f>E1038/D1038*100</f>
        <v>49.89090909090909</v>
      </c>
      <c r="G1038" s="88">
        <f>570+805</f>
        <v>1375</v>
      </c>
      <c r="H1038" s="74">
        <v>686</v>
      </c>
      <c r="I1038" s="493">
        <f t="shared" si="128"/>
        <v>49.89090909090909</v>
      </c>
      <c r="J1038" s="183"/>
      <c r="K1038" s="182"/>
      <c r="L1038" s="403"/>
      <c r="M1038" s="88"/>
      <c r="N1038" s="89"/>
      <c r="O1038" s="224"/>
      <c r="P1038" s="89"/>
      <c r="Q1038" s="89"/>
      <c r="R1038" s="362"/>
    </row>
    <row r="1039" spans="1:18" s="118" customFormat="1" ht="36">
      <c r="A1039" s="124">
        <v>6060</v>
      </c>
      <c r="B1039" s="277" t="s">
        <v>49</v>
      </c>
      <c r="C1039" s="88">
        <v>3500</v>
      </c>
      <c r="D1039" s="74">
        <f t="shared" si="126"/>
        <v>3500</v>
      </c>
      <c r="E1039" s="89">
        <f t="shared" si="127"/>
        <v>3488</v>
      </c>
      <c r="F1039" s="491">
        <f aca="true" t="shared" si="129" ref="F1039:F1102">E1039/D1039*100</f>
        <v>99.65714285714286</v>
      </c>
      <c r="G1039" s="88">
        <v>3500</v>
      </c>
      <c r="H1039" s="74">
        <v>3488</v>
      </c>
      <c r="I1039" s="362">
        <f t="shared" si="128"/>
        <v>99.65714285714286</v>
      </c>
      <c r="J1039" s="183"/>
      <c r="K1039" s="182"/>
      <c r="L1039" s="403"/>
      <c r="M1039" s="88"/>
      <c r="N1039" s="89"/>
      <c r="O1039" s="224"/>
      <c r="P1039" s="89"/>
      <c r="Q1039" s="89"/>
      <c r="R1039" s="362"/>
    </row>
    <row r="1040" spans="1:18" s="143" customFormat="1" ht="24">
      <c r="A1040" s="135"/>
      <c r="B1040" s="339" t="s">
        <v>304</v>
      </c>
      <c r="C1040" s="137">
        <f>SUM(C1041:C1057)</f>
        <v>178550</v>
      </c>
      <c r="D1040" s="139">
        <f t="shared" si="126"/>
        <v>187707</v>
      </c>
      <c r="E1040" s="139">
        <f t="shared" si="127"/>
        <v>85497</v>
      </c>
      <c r="F1040" s="528">
        <f t="shared" si="129"/>
        <v>45.54811488117119</v>
      </c>
      <c r="G1040" s="137"/>
      <c r="H1040" s="139"/>
      <c r="I1040" s="362"/>
      <c r="J1040" s="140"/>
      <c r="K1040" s="140"/>
      <c r="L1040" s="403"/>
      <c r="M1040" s="140">
        <f>SUM(M1041:M1057)</f>
        <v>187707</v>
      </c>
      <c r="N1040" s="140">
        <f>SUM(N1041:N1057)</f>
        <v>85497</v>
      </c>
      <c r="O1040" s="442">
        <f t="shared" si="125"/>
        <v>45.54811488117119</v>
      </c>
      <c r="P1040" s="139"/>
      <c r="Q1040" s="139"/>
      <c r="R1040" s="364"/>
    </row>
    <row r="1041" spans="1:18" s="118" customFormat="1" ht="24">
      <c r="A1041" s="124">
        <v>4010</v>
      </c>
      <c r="B1041" s="128" t="s">
        <v>492</v>
      </c>
      <c r="C1041" s="88">
        <v>50474</v>
      </c>
      <c r="D1041" s="74">
        <f t="shared" si="126"/>
        <v>50474</v>
      </c>
      <c r="E1041" s="89">
        <f t="shared" si="127"/>
        <v>24094</v>
      </c>
      <c r="F1041" s="491">
        <f t="shared" si="129"/>
        <v>47.73546776558228</v>
      </c>
      <c r="G1041" s="181"/>
      <c r="H1041" s="182"/>
      <c r="I1041" s="362"/>
      <c r="J1041" s="183"/>
      <c r="K1041" s="183"/>
      <c r="L1041" s="403"/>
      <c r="M1041" s="126">
        <v>50474</v>
      </c>
      <c r="N1041" s="89">
        <v>24094</v>
      </c>
      <c r="O1041" s="442">
        <f t="shared" si="125"/>
        <v>47.73546776558228</v>
      </c>
      <c r="P1041" s="89"/>
      <c r="Q1041" s="89"/>
      <c r="R1041" s="362"/>
    </row>
    <row r="1042" spans="1:18" s="118" customFormat="1" ht="24">
      <c r="A1042" s="124">
        <v>4040</v>
      </c>
      <c r="B1042" s="128" t="s">
        <v>541</v>
      </c>
      <c r="C1042" s="88">
        <v>4090</v>
      </c>
      <c r="D1042" s="74">
        <f aca="true" t="shared" si="130" ref="D1042:D1076">G1042+J1042+P1042+M1042</f>
        <v>4090</v>
      </c>
      <c r="E1042" s="89">
        <f t="shared" si="127"/>
        <v>4088</v>
      </c>
      <c r="F1042" s="491">
        <f t="shared" si="129"/>
        <v>99.95110024449878</v>
      </c>
      <c r="G1042" s="181"/>
      <c r="H1042" s="182"/>
      <c r="I1042" s="362"/>
      <c r="J1042" s="183"/>
      <c r="K1042" s="183"/>
      <c r="L1042" s="403"/>
      <c r="M1042" s="126">
        <v>4090</v>
      </c>
      <c r="N1042" s="89">
        <v>4088</v>
      </c>
      <c r="O1042" s="442">
        <f t="shared" si="125"/>
        <v>99.95110024449878</v>
      </c>
      <c r="P1042" s="89"/>
      <c r="Q1042" s="89"/>
      <c r="R1042" s="362"/>
    </row>
    <row r="1043" spans="1:18" s="118" customFormat="1" ht="24">
      <c r="A1043" s="124">
        <v>4110</v>
      </c>
      <c r="B1043" s="128" t="s">
        <v>498</v>
      </c>
      <c r="C1043" s="88">
        <v>8802</v>
      </c>
      <c r="D1043" s="74">
        <f t="shared" si="130"/>
        <v>8802</v>
      </c>
      <c r="E1043" s="89">
        <f t="shared" si="127"/>
        <v>4526</v>
      </c>
      <c r="F1043" s="491">
        <f t="shared" si="129"/>
        <v>51.42013178822995</v>
      </c>
      <c r="G1043" s="181"/>
      <c r="H1043" s="182"/>
      <c r="I1043" s="362"/>
      <c r="J1043" s="183"/>
      <c r="K1043" s="183"/>
      <c r="L1043" s="403"/>
      <c r="M1043" s="126">
        <v>8802</v>
      </c>
      <c r="N1043" s="89">
        <v>4526</v>
      </c>
      <c r="O1043" s="442">
        <f t="shared" si="125"/>
        <v>51.42013178822995</v>
      </c>
      <c r="P1043" s="89"/>
      <c r="Q1043" s="89"/>
      <c r="R1043" s="362"/>
    </row>
    <row r="1044" spans="1:18" s="118" customFormat="1" ht="12.75">
      <c r="A1044" s="124">
        <v>4120</v>
      </c>
      <c r="B1044" s="128" t="s">
        <v>571</v>
      </c>
      <c r="C1044" s="88">
        <v>1340</v>
      </c>
      <c r="D1044" s="74">
        <f t="shared" si="130"/>
        <v>1340</v>
      </c>
      <c r="E1044" s="89">
        <f t="shared" si="127"/>
        <v>691</v>
      </c>
      <c r="F1044" s="491">
        <f t="shared" si="129"/>
        <v>51.56716417910447</v>
      </c>
      <c r="G1044" s="181"/>
      <c r="H1044" s="182"/>
      <c r="I1044" s="362"/>
      <c r="J1044" s="183"/>
      <c r="K1044" s="183"/>
      <c r="L1044" s="403"/>
      <c r="M1044" s="126">
        <v>1340</v>
      </c>
      <c r="N1044" s="89">
        <f>690+1</f>
        <v>691</v>
      </c>
      <c r="O1044" s="442">
        <f t="shared" si="125"/>
        <v>51.56716417910447</v>
      </c>
      <c r="P1044" s="89"/>
      <c r="Q1044" s="89"/>
      <c r="R1044" s="362"/>
    </row>
    <row r="1045" spans="1:18" s="118" customFormat="1" ht="24">
      <c r="A1045" s="124">
        <v>4170</v>
      </c>
      <c r="B1045" s="128" t="s">
        <v>536</v>
      </c>
      <c r="C1045" s="88">
        <v>4605</v>
      </c>
      <c r="D1045" s="74">
        <f t="shared" si="130"/>
        <v>9538</v>
      </c>
      <c r="E1045" s="89">
        <f t="shared" si="127"/>
        <v>4440</v>
      </c>
      <c r="F1045" s="491">
        <f t="shared" si="129"/>
        <v>46.55063954707486</v>
      </c>
      <c r="G1045" s="181"/>
      <c r="H1045" s="182"/>
      <c r="I1045" s="362"/>
      <c r="J1045" s="183"/>
      <c r="K1045" s="183"/>
      <c r="L1045" s="403"/>
      <c r="M1045" s="126">
        <f>4605+4933</f>
        <v>9538</v>
      </c>
      <c r="N1045" s="89">
        <v>4440</v>
      </c>
      <c r="O1045" s="442">
        <f t="shared" si="125"/>
        <v>46.55063954707486</v>
      </c>
      <c r="P1045" s="89"/>
      <c r="Q1045" s="89"/>
      <c r="R1045" s="362"/>
    </row>
    <row r="1046" spans="1:18" s="118" customFormat="1" ht="24">
      <c r="A1046" s="124">
        <v>4210</v>
      </c>
      <c r="B1046" s="128" t="s">
        <v>502</v>
      </c>
      <c r="C1046" s="88">
        <v>15649</v>
      </c>
      <c r="D1046" s="74">
        <f t="shared" si="130"/>
        <v>15649</v>
      </c>
      <c r="E1046" s="89">
        <f t="shared" si="127"/>
        <v>3436</v>
      </c>
      <c r="F1046" s="491">
        <f t="shared" si="129"/>
        <v>21.956674547894433</v>
      </c>
      <c r="G1046" s="181"/>
      <c r="H1046" s="182"/>
      <c r="I1046" s="362"/>
      <c r="J1046" s="183"/>
      <c r="K1046" s="183"/>
      <c r="L1046" s="403"/>
      <c r="M1046" s="126">
        <v>15649</v>
      </c>
      <c r="N1046" s="89">
        <v>3436</v>
      </c>
      <c r="O1046" s="442">
        <f t="shared" si="125"/>
        <v>21.956674547894433</v>
      </c>
      <c r="P1046" s="89"/>
      <c r="Q1046" s="89"/>
      <c r="R1046" s="362"/>
    </row>
    <row r="1047" spans="1:18" s="118" customFormat="1" ht="24">
      <c r="A1047" s="124">
        <v>4230</v>
      </c>
      <c r="B1047" s="128" t="s">
        <v>504</v>
      </c>
      <c r="C1047" s="88">
        <v>155</v>
      </c>
      <c r="D1047" s="74">
        <f t="shared" si="130"/>
        <v>155</v>
      </c>
      <c r="E1047" s="89">
        <f t="shared" si="127"/>
        <v>0</v>
      </c>
      <c r="F1047" s="491">
        <f t="shared" si="129"/>
        <v>0</v>
      </c>
      <c r="G1047" s="181"/>
      <c r="H1047" s="182"/>
      <c r="I1047" s="362"/>
      <c r="J1047" s="183"/>
      <c r="K1047" s="183"/>
      <c r="L1047" s="403"/>
      <c r="M1047" s="126">
        <v>155</v>
      </c>
      <c r="N1047" s="89"/>
      <c r="O1047" s="442">
        <f t="shared" si="125"/>
        <v>0</v>
      </c>
      <c r="P1047" s="89"/>
      <c r="Q1047" s="89"/>
      <c r="R1047" s="362"/>
    </row>
    <row r="1048" spans="1:18" s="118" customFormat="1" ht="12.75">
      <c r="A1048" s="124">
        <v>4260</v>
      </c>
      <c r="B1048" s="128" t="s">
        <v>506</v>
      </c>
      <c r="C1048" s="88">
        <v>5605</v>
      </c>
      <c r="D1048" s="74">
        <f t="shared" si="130"/>
        <v>5605</v>
      </c>
      <c r="E1048" s="89">
        <f t="shared" si="127"/>
        <v>3046</v>
      </c>
      <c r="F1048" s="491">
        <f t="shared" si="129"/>
        <v>54.34433541480821</v>
      </c>
      <c r="G1048" s="181"/>
      <c r="H1048" s="182"/>
      <c r="I1048" s="362"/>
      <c r="J1048" s="183"/>
      <c r="K1048" s="183"/>
      <c r="L1048" s="403"/>
      <c r="M1048" s="126">
        <v>5605</v>
      </c>
      <c r="N1048" s="89">
        <v>3046</v>
      </c>
      <c r="O1048" s="442">
        <f t="shared" si="125"/>
        <v>54.34433541480821</v>
      </c>
      <c r="P1048" s="89"/>
      <c r="Q1048" s="89"/>
      <c r="R1048" s="362"/>
    </row>
    <row r="1049" spans="1:18" s="118" customFormat="1" ht="24">
      <c r="A1049" s="158">
        <v>4270</v>
      </c>
      <c r="B1049" s="159" t="s">
        <v>508</v>
      </c>
      <c r="C1049" s="160">
        <v>2000</v>
      </c>
      <c r="D1049" s="161">
        <f t="shared" si="130"/>
        <v>2000</v>
      </c>
      <c r="E1049" s="155">
        <f t="shared" si="127"/>
        <v>0</v>
      </c>
      <c r="F1049" s="527">
        <f t="shared" si="129"/>
        <v>0</v>
      </c>
      <c r="G1049" s="190"/>
      <c r="H1049" s="192"/>
      <c r="I1049" s="366"/>
      <c r="J1049" s="193"/>
      <c r="K1049" s="193"/>
      <c r="L1049" s="424"/>
      <c r="M1049" s="162">
        <v>2000</v>
      </c>
      <c r="N1049" s="155"/>
      <c r="O1049" s="462">
        <f t="shared" si="125"/>
        <v>0</v>
      </c>
      <c r="P1049" s="155"/>
      <c r="Q1049" s="155"/>
      <c r="R1049" s="366"/>
    </row>
    <row r="1050" spans="1:18" s="118" customFormat="1" ht="24">
      <c r="A1050" s="124">
        <v>4280</v>
      </c>
      <c r="B1050" s="128" t="s">
        <v>305</v>
      </c>
      <c r="C1050" s="88">
        <v>2050</v>
      </c>
      <c r="D1050" s="74">
        <f t="shared" si="130"/>
        <v>2050</v>
      </c>
      <c r="E1050" s="89">
        <f t="shared" si="127"/>
        <v>0</v>
      </c>
      <c r="F1050" s="491">
        <f t="shared" si="129"/>
        <v>0</v>
      </c>
      <c r="G1050" s="181"/>
      <c r="H1050" s="182"/>
      <c r="I1050" s="362"/>
      <c r="J1050" s="183"/>
      <c r="K1050" s="183"/>
      <c r="L1050" s="403"/>
      <c r="M1050" s="126">
        <v>2050</v>
      </c>
      <c r="N1050" s="89"/>
      <c r="O1050" s="442">
        <f t="shared" si="125"/>
        <v>0</v>
      </c>
      <c r="P1050" s="89"/>
      <c r="Q1050" s="89"/>
      <c r="R1050" s="362"/>
    </row>
    <row r="1051" spans="1:18" s="118" customFormat="1" ht="12" customHeight="1">
      <c r="A1051" s="124">
        <v>4300</v>
      </c>
      <c r="B1051" s="128" t="s">
        <v>510</v>
      </c>
      <c r="C1051" s="88">
        <v>81210</v>
      </c>
      <c r="D1051" s="74">
        <f t="shared" si="130"/>
        <v>82580</v>
      </c>
      <c r="E1051" s="89">
        <f t="shared" si="127"/>
        <v>39222</v>
      </c>
      <c r="F1051" s="491">
        <f t="shared" si="129"/>
        <v>47.49576168563817</v>
      </c>
      <c r="G1051" s="181"/>
      <c r="H1051" s="182"/>
      <c r="I1051" s="362"/>
      <c r="J1051" s="183"/>
      <c r="K1051" s="183"/>
      <c r="L1051" s="403"/>
      <c r="M1051" s="126">
        <f>81210+1370</f>
        <v>82580</v>
      </c>
      <c r="N1051" s="89">
        <v>39222</v>
      </c>
      <c r="O1051" s="442">
        <f t="shared" si="125"/>
        <v>47.49576168563817</v>
      </c>
      <c r="P1051" s="89"/>
      <c r="Q1051" s="89"/>
      <c r="R1051" s="362"/>
    </row>
    <row r="1052" spans="1:18" s="118" customFormat="1" ht="24">
      <c r="A1052" s="172">
        <v>4350</v>
      </c>
      <c r="B1052" s="206" t="s">
        <v>48</v>
      </c>
      <c r="C1052" s="88">
        <v>720</v>
      </c>
      <c r="D1052" s="74">
        <f t="shared" si="130"/>
        <v>720</v>
      </c>
      <c r="E1052" s="89">
        <f t="shared" si="127"/>
        <v>350</v>
      </c>
      <c r="F1052" s="491">
        <f t="shared" si="129"/>
        <v>48.61111111111111</v>
      </c>
      <c r="G1052" s="181"/>
      <c r="H1052" s="182"/>
      <c r="I1052" s="362"/>
      <c r="J1052" s="183"/>
      <c r="K1052" s="183"/>
      <c r="L1052" s="403"/>
      <c r="M1052" s="126">
        <v>720</v>
      </c>
      <c r="N1052" s="89">
        <v>350</v>
      </c>
      <c r="O1052" s="442">
        <f t="shared" si="125"/>
        <v>48.61111111111111</v>
      </c>
      <c r="P1052" s="89"/>
      <c r="Q1052" s="89"/>
      <c r="R1052" s="362"/>
    </row>
    <row r="1053" spans="1:18" s="118" customFormat="1" ht="48">
      <c r="A1053" s="172">
        <v>4370</v>
      </c>
      <c r="B1053" s="206" t="s">
        <v>298</v>
      </c>
      <c r="C1053" s="88">
        <v>1230</v>
      </c>
      <c r="D1053" s="74">
        <f t="shared" si="130"/>
        <v>1230</v>
      </c>
      <c r="E1053" s="89">
        <f t="shared" si="127"/>
        <v>600</v>
      </c>
      <c r="F1053" s="491">
        <f t="shared" si="129"/>
        <v>48.78048780487805</v>
      </c>
      <c r="G1053" s="181"/>
      <c r="H1053" s="182"/>
      <c r="I1053" s="362"/>
      <c r="J1053" s="183"/>
      <c r="K1053" s="183"/>
      <c r="L1053" s="403"/>
      <c r="M1053" s="126">
        <v>1230</v>
      </c>
      <c r="N1053" s="89">
        <v>600</v>
      </c>
      <c r="O1053" s="442">
        <f t="shared" si="125"/>
        <v>48.78048780487805</v>
      </c>
      <c r="P1053" s="89"/>
      <c r="Q1053" s="89"/>
      <c r="R1053" s="362"/>
    </row>
    <row r="1054" spans="1:18" s="118" customFormat="1" ht="12" customHeight="1">
      <c r="A1054" s="124">
        <v>4410</v>
      </c>
      <c r="B1054" s="128" t="s">
        <v>484</v>
      </c>
      <c r="C1054" s="88">
        <v>155</v>
      </c>
      <c r="D1054" s="74">
        <f t="shared" si="130"/>
        <v>3009</v>
      </c>
      <c r="E1054" s="89">
        <f t="shared" si="127"/>
        <v>1004</v>
      </c>
      <c r="F1054" s="491">
        <f t="shared" si="129"/>
        <v>33.36656696576936</v>
      </c>
      <c r="G1054" s="181"/>
      <c r="H1054" s="182"/>
      <c r="I1054" s="362"/>
      <c r="J1054" s="183"/>
      <c r="K1054" s="183"/>
      <c r="L1054" s="403"/>
      <c r="M1054" s="126">
        <f>155+2854</f>
        <v>3009</v>
      </c>
      <c r="N1054" s="89">
        <v>1004</v>
      </c>
      <c r="O1054" s="442">
        <f t="shared" si="125"/>
        <v>33.36656696576936</v>
      </c>
      <c r="P1054" s="89"/>
      <c r="Q1054" s="89"/>
      <c r="R1054" s="362"/>
    </row>
    <row r="1055" spans="1:18" s="118" customFormat="1" ht="12" customHeight="1" hidden="1">
      <c r="A1055" s="124">
        <v>4440</v>
      </c>
      <c r="B1055" s="277" t="s">
        <v>514</v>
      </c>
      <c r="C1055" s="126"/>
      <c r="D1055" s="74">
        <f t="shared" si="130"/>
        <v>0</v>
      </c>
      <c r="E1055" s="89">
        <f t="shared" si="127"/>
        <v>0</v>
      </c>
      <c r="F1055" s="491" t="e">
        <f t="shared" si="129"/>
        <v>#DIV/0!</v>
      </c>
      <c r="G1055" s="181"/>
      <c r="H1055" s="182"/>
      <c r="I1055" s="362"/>
      <c r="J1055" s="183"/>
      <c r="K1055" s="183"/>
      <c r="L1055" s="403"/>
      <c r="M1055" s="126"/>
      <c r="N1055" s="89"/>
      <c r="O1055" s="442"/>
      <c r="P1055" s="89"/>
      <c r="Q1055" s="89"/>
      <c r="R1055" s="362"/>
    </row>
    <row r="1056" spans="1:18" s="118" customFormat="1" ht="60">
      <c r="A1056" s="172">
        <v>4740</v>
      </c>
      <c r="B1056" s="337" t="s">
        <v>290</v>
      </c>
      <c r="C1056" s="126">
        <v>155</v>
      </c>
      <c r="D1056" s="74">
        <f t="shared" si="130"/>
        <v>155</v>
      </c>
      <c r="E1056" s="89">
        <f t="shared" si="127"/>
        <v>0</v>
      </c>
      <c r="F1056" s="491">
        <f t="shared" si="129"/>
        <v>0</v>
      </c>
      <c r="G1056" s="181"/>
      <c r="H1056" s="182"/>
      <c r="I1056" s="362"/>
      <c r="J1056" s="183"/>
      <c r="K1056" s="183"/>
      <c r="L1056" s="403"/>
      <c r="M1056" s="126">
        <v>155</v>
      </c>
      <c r="N1056" s="89"/>
      <c r="O1056" s="442">
        <f t="shared" si="125"/>
        <v>0</v>
      </c>
      <c r="P1056" s="89"/>
      <c r="Q1056" s="89"/>
      <c r="R1056" s="362"/>
    </row>
    <row r="1057" spans="1:18" s="118" customFormat="1" ht="36">
      <c r="A1057" s="172">
        <v>4750</v>
      </c>
      <c r="B1057" s="337" t="s">
        <v>291</v>
      </c>
      <c r="C1057" s="126">
        <v>310</v>
      </c>
      <c r="D1057" s="74">
        <f t="shared" si="130"/>
        <v>310</v>
      </c>
      <c r="E1057" s="89">
        <f t="shared" si="127"/>
        <v>0</v>
      </c>
      <c r="F1057" s="491">
        <f t="shared" si="129"/>
        <v>0</v>
      </c>
      <c r="G1057" s="181"/>
      <c r="H1057" s="182"/>
      <c r="I1057" s="362"/>
      <c r="J1057" s="183"/>
      <c r="K1057" s="183"/>
      <c r="L1057" s="403"/>
      <c r="M1057" s="126">
        <v>310</v>
      </c>
      <c r="N1057" s="89"/>
      <c r="O1057" s="442">
        <f t="shared" si="125"/>
        <v>0</v>
      </c>
      <c r="P1057" s="89"/>
      <c r="Q1057" s="89"/>
      <c r="R1057" s="362"/>
    </row>
    <row r="1058" spans="1:18" s="143" customFormat="1" ht="24">
      <c r="A1058" s="135"/>
      <c r="B1058" s="339" t="s">
        <v>306</v>
      </c>
      <c r="C1058" s="137">
        <f>SUM(C1059:C1076)</f>
        <v>136380</v>
      </c>
      <c r="D1058" s="139">
        <f t="shared" si="130"/>
        <v>175931</v>
      </c>
      <c r="E1058" s="139">
        <f t="shared" si="127"/>
        <v>93268</v>
      </c>
      <c r="F1058" s="528">
        <f t="shared" si="129"/>
        <v>53.0139657024629</v>
      </c>
      <c r="G1058" s="137"/>
      <c r="H1058" s="139"/>
      <c r="I1058" s="362"/>
      <c r="J1058" s="140"/>
      <c r="K1058" s="140"/>
      <c r="L1058" s="403"/>
      <c r="M1058" s="140">
        <f>SUM(M1059:M1076)</f>
        <v>175931</v>
      </c>
      <c r="N1058" s="140">
        <f>SUM(N1059:N1076)</f>
        <v>93268</v>
      </c>
      <c r="O1058" s="442">
        <f t="shared" si="125"/>
        <v>53.0139657024629</v>
      </c>
      <c r="P1058" s="139"/>
      <c r="Q1058" s="139"/>
      <c r="R1058" s="364"/>
    </row>
    <row r="1059" spans="1:18" s="12" customFormat="1" ht="24">
      <c r="A1059" s="172">
        <v>4010</v>
      </c>
      <c r="B1059" s="292" t="s">
        <v>492</v>
      </c>
      <c r="C1059" s="174">
        <v>53109</v>
      </c>
      <c r="D1059" s="74">
        <f t="shared" si="130"/>
        <v>53109</v>
      </c>
      <c r="E1059" s="74">
        <f t="shared" si="127"/>
        <v>25289</v>
      </c>
      <c r="F1059" s="491">
        <f t="shared" si="129"/>
        <v>47.617164699015234</v>
      </c>
      <c r="G1059" s="174"/>
      <c r="H1059" s="74"/>
      <c r="I1059" s="362"/>
      <c r="J1059" s="175"/>
      <c r="K1059" s="175"/>
      <c r="L1059" s="391"/>
      <c r="M1059" s="175">
        <v>53109</v>
      </c>
      <c r="N1059" s="74">
        <v>25289</v>
      </c>
      <c r="O1059" s="442">
        <f t="shared" si="125"/>
        <v>47.617164699015234</v>
      </c>
      <c r="P1059" s="74"/>
      <c r="Q1059" s="74"/>
      <c r="R1059" s="362"/>
    </row>
    <row r="1060" spans="1:18" s="12" customFormat="1" ht="24">
      <c r="A1060" s="172">
        <v>4040</v>
      </c>
      <c r="B1060" s="292" t="s">
        <v>541</v>
      </c>
      <c r="C1060" s="174">
        <v>4300</v>
      </c>
      <c r="D1060" s="74">
        <f t="shared" si="130"/>
        <v>4300</v>
      </c>
      <c r="E1060" s="74">
        <f t="shared" si="127"/>
        <v>4299</v>
      </c>
      <c r="F1060" s="491">
        <f t="shared" si="129"/>
        <v>99.9767441860465</v>
      </c>
      <c r="G1060" s="174"/>
      <c r="H1060" s="74"/>
      <c r="I1060" s="362"/>
      <c r="J1060" s="175"/>
      <c r="K1060" s="175"/>
      <c r="L1060" s="391"/>
      <c r="M1060" s="175">
        <v>4300</v>
      </c>
      <c r="N1060" s="74">
        <v>4299</v>
      </c>
      <c r="O1060" s="442">
        <f t="shared" si="125"/>
        <v>99.9767441860465</v>
      </c>
      <c r="P1060" s="74"/>
      <c r="Q1060" s="74"/>
      <c r="R1060" s="362"/>
    </row>
    <row r="1061" spans="1:18" s="12" customFormat="1" ht="24">
      <c r="A1061" s="172">
        <v>4110</v>
      </c>
      <c r="B1061" s="206" t="s">
        <v>498</v>
      </c>
      <c r="C1061" s="174">
        <v>9234</v>
      </c>
      <c r="D1061" s="74">
        <f t="shared" si="130"/>
        <v>9662</v>
      </c>
      <c r="E1061" s="74">
        <f t="shared" si="127"/>
        <v>4993</v>
      </c>
      <c r="F1061" s="491">
        <f t="shared" si="129"/>
        <v>51.67667149658456</v>
      </c>
      <c r="G1061" s="174"/>
      <c r="H1061" s="74"/>
      <c r="I1061" s="362"/>
      <c r="J1061" s="175"/>
      <c r="K1061" s="175"/>
      <c r="L1061" s="391"/>
      <c r="M1061" s="175">
        <f>9234+428</f>
        <v>9662</v>
      </c>
      <c r="N1061" s="74">
        <v>4993</v>
      </c>
      <c r="O1061" s="442">
        <f t="shared" si="125"/>
        <v>51.67667149658456</v>
      </c>
      <c r="P1061" s="74"/>
      <c r="Q1061" s="74"/>
      <c r="R1061" s="362"/>
    </row>
    <row r="1062" spans="1:18" s="12" customFormat="1" ht="12.75">
      <c r="A1062" s="172">
        <v>4120</v>
      </c>
      <c r="B1062" s="206" t="s">
        <v>571</v>
      </c>
      <c r="C1062" s="174">
        <v>1410</v>
      </c>
      <c r="D1062" s="74">
        <f t="shared" si="130"/>
        <v>1484</v>
      </c>
      <c r="E1062" s="74">
        <f t="shared" si="127"/>
        <v>762</v>
      </c>
      <c r="F1062" s="491">
        <f t="shared" si="129"/>
        <v>51.34770889487871</v>
      </c>
      <c r="G1062" s="174"/>
      <c r="H1062" s="74"/>
      <c r="I1062" s="362"/>
      <c r="J1062" s="175"/>
      <c r="K1062" s="175"/>
      <c r="L1062" s="391"/>
      <c r="M1062" s="175">
        <f>1410+74</f>
        <v>1484</v>
      </c>
      <c r="N1062" s="74">
        <v>762</v>
      </c>
      <c r="O1062" s="442">
        <f t="shared" si="125"/>
        <v>51.34770889487871</v>
      </c>
      <c r="P1062" s="74"/>
      <c r="Q1062" s="74"/>
      <c r="R1062" s="362"/>
    </row>
    <row r="1063" spans="1:18" s="12" customFormat="1" ht="24">
      <c r="A1063" s="172">
        <v>4170</v>
      </c>
      <c r="B1063" s="206" t="s">
        <v>536</v>
      </c>
      <c r="C1063" s="174">
        <v>4605</v>
      </c>
      <c r="D1063" s="74">
        <f t="shared" si="130"/>
        <v>9538</v>
      </c>
      <c r="E1063" s="74">
        <f t="shared" si="127"/>
        <v>4440</v>
      </c>
      <c r="F1063" s="491">
        <f t="shared" si="129"/>
        <v>46.55063954707486</v>
      </c>
      <c r="G1063" s="174"/>
      <c r="H1063" s="74"/>
      <c r="I1063" s="362"/>
      <c r="J1063" s="175"/>
      <c r="K1063" s="175"/>
      <c r="L1063" s="391"/>
      <c r="M1063" s="175">
        <f>4605+4933</f>
        <v>9538</v>
      </c>
      <c r="N1063" s="74">
        <v>4440</v>
      </c>
      <c r="O1063" s="442">
        <f t="shared" si="125"/>
        <v>46.55063954707486</v>
      </c>
      <c r="P1063" s="74"/>
      <c r="Q1063" s="74"/>
      <c r="R1063" s="362"/>
    </row>
    <row r="1064" spans="1:18" s="12" customFormat="1" ht="24">
      <c r="A1064" s="172">
        <v>4210</v>
      </c>
      <c r="B1064" s="206" t="s">
        <v>502</v>
      </c>
      <c r="C1064" s="174">
        <v>10760</v>
      </c>
      <c r="D1064" s="74">
        <f t="shared" si="130"/>
        <v>10760</v>
      </c>
      <c r="E1064" s="74">
        <f t="shared" si="127"/>
        <v>7473</v>
      </c>
      <c r="F1064" s="491">
        <f t="shared" si="129"/>
        <v>69.45167286245353</v>
      </c>
      <c r="G1064" s="174"/>
      <c r="H1064" s="74"/>
      <c r="I1064" s="362"/>
      <c r="J1064" s="175"/>
      <c r="K1064" s="175"/>
      <c r="L1064" s="391"/>
      <c r="M1064" s="175">
        <v>10760</v>
      </c>
      <c r="N1064" s="74">
        <f>7473+1-1</f>
        <v>7473</v>
      </c>
      <c r="O1064" s="442">
        <f t="shared" si="125"/>
        <v>69.45167286245353</v>
      </c>
      <c r="P1064" s="74"/>
      <c r="Q1064" s="74"/>
      <c r="R1064" s="362"/>
    </row>
    <row r="1065" spans="1:18" s="12" customFormat="1" ht="24">
      <c r="A1065" s="172">
        <v>4230</v>
      </c>
      <c r="B1065" s="206" t="s">
        <v>504</v>
      </c>
      <c r="C1065" s="174">
        <v>155</v>
      </c>
      <c r="D1065" s="74">
        <f t="shared" si="130"/>
        <v>155</v>
      </c>
      <c r="E1065" s="74">
        <f t="shared" si="127"/>
        <v>0</v>
      </c>
      <c r="F1065" s="491">
        <f t="shared" si="129"/>
        <v>0</v>
      </c>
      <c r="G1065" s="174"/>
      <c r="H1065" s="74"/>
      <c r="I1065" s="362"/>
      <c r="J1065" s="175"/>
      <c r="K1065" s="175"/>
      <c r="L1065" s="391"/>
      <c r="M1065" s="175">
        <v>155</v>
      </c>
      <c r="N1065" s="74"/>
      <c r="O1065" s="442">
        <f t="shared" si="125"/>
        <v>0</v>
      </c>
      <c r="P1065" s="74"/>
      <c r="Q1065" s="74"/>
      <c r="R1065" s="362"/>
    </row>
    <row r="1066" spans="1:18" s="12" customFormat="1" ht="36">
      <c r="A1066" s="172">
        <v>4240</v>
      </c>
      <c r="B1066" s="206" t="s">
        <v>563</v>
      </c>
      <c r="C1066" s="174">
        <v>4000</v>
      </c>
      <c r="D1066" s="74">
        <f t="shared" si="130"/>
        <v>4000</v>
      </c>
      <c r="E1066" s="74">
        <f>SUM(H1066+K1066+N1066+Q1066)</f>
        <v>0</v>
      </c>
      <c r="F1066" s="491">
        <f>E1066/D1066*100</f>
        <v>0</v>
      </c>
      <c r="G1066" s="174"/>
      <c r="H1066" s="74"/>
      <c r="I1066" s="362"/>
      <c r="J1066" s="175"/>
      <c r="K1066" s="175"/>
      <c r="L1066" s="391"/>
      <c r="M1066" s="175">
        <v>4000</v>
      </c>
      <c r="N1066" s="74"/>
      <c r="O1066" s="442">
        <f t="shared" si="125"/>
        <v>0</v>
      </c>
      <c r="P1066" s="74"/>
      <c r="Q1066" s="74"/>
      <c r="R1066" s="362"/>
    </row>
    <row r="1067" spans="1:18" s="12" customFormat="1" ht="12.75">
      <c r="A1067" s="172">
        <v>4260</v>
      </c>
      <c r="B1067" s="206" t="s">
        <v>506</v>
      </c>
      <c r="C1067" s="174">
        <v>4550</v>
      </c>
      <c r="D1067" s="74">
        <f t="shared" si="130"/>
        <v>4550</v>
      </c>
      <c r="E1067" s="74">
        <f t="shared" si="127"/>
        <v>2221</v>
      </c>
      <c r="F1067" s="491">
        <f t="shared" si="129"/>
        <v>48.81318681318682</v>
      </c>
      <c r="G1067" s="174"/>
      <c r="H1067" s="74"/>
      <c r="I1067" s="362"/>
      <c r="J1067" s="175"/>
      <c r="K1067" s="175"/>
      <c r="L1067" s="391"/>
      <c r="M1067" s="175">
        <v>4550</v>
      </c>
      <c r="N1067" s="74">
        <f>2222-1</f>
        <v>2221</v>
      </c>
      <c r="O1067" s="442">
        <f t="shared" si="125"/>
        <v>48.81318681318682</v>
      </c>
      <c r="P1067" s="74"/>
      <c r="Q1067" s="74"/>
      <c r="R1067" s="362"/>
    </row>
    <row r="1068" spans="1:18" s="12" customFormat="1" ht="11.25" customHeight="1" hidden="1">
      <c r="A1068" s="172">
        <v>4270</v>
      </c>
      <c r="B1068" s="206" t="s">
        <v>508</v>
      </c>
      <c r="C1068" s="174"/>
      <c r="D1068" s="74">
        <f t="shared" si="130"/>
        <v>0</v>
      </c>
      <c r="E1068" s="74">
        <f t="shared" si="127"/>
        <v>0</v>
      </c>
      <c r="F1068" s="491" t="e">
        <f t="shared" si="129"/>
        <v>#DIV/0!</v>
      </c>
      <c r="G1068" s="174"/>
      <c r="H1068" s="74"/>
      <c r="I1068" s="362"/>
      <c r="J1068" s="175"/>
      <c r="K1068" s="175"/>
      <c r="L1068" s="391"/>
      <c r="M1068" s="175"/>
      <c r="N1068" s="74"/>
      <c r="O1068" s="442" t="e">
        <f t="shared" si="125"/>
        <v>#DIV/0!</v>
      </c>
      <c r="P1068" s="74"/>
      <c r="Q1068" s="74"/>
      <c r="R1068" s="362"/>
    </row>
    <row r="1069" spans="1:18" s="12" customFormat="1" ht="12" customHeight="1" hidden="1">
      <c r="A1069" s="172">
        <v>4280</v>
      </c>
      <c r="B1069" s="206" t="s">
        <v>305</v>
      </c>
      <c r="C1069" s="174"/>
      <c r="D1069" s="74">
        <f t="shared" si="130"/>
        <v>0</v>
      </c>
      <c r="E1069" s="74">
        <f t="shared" si="127"/>
        <v>0</v>
      </c>
      <c r="F1069" s="491"/>
      <c r="G1069" s="174"/>
      <c r="H1069" s="74"/>
      <c r="I1069" s="362"/>
      <c r="J1069" s="175"/>
      <c r="K1069" s="175"/>
      <c r="L1069" s="391"/>
      <c r="M1069" s="175"/>
      <c r="N1069" s="74"/>
      <c r="O1069" s="442" t="e">
        <f t="shared" si="125"/>
        <v>#DIV/0!</v>
      </c>
      <c r="P1069" s="74"/>
      <c r="Q1069" s="74"/>
      <c r="R1069" s="362"/>
    </row>
    <row r="1070" spans="1:18" s="12" customFormat="1" ht="12" customHeight="1">
      <c r="A1070" s="172">
        <v>4300</v>
      </c>
      <c r="B1070" s="206" t="s">
        <v>510</v>
      </c>
      <c r="C1070" s="174">
        <v>41750</v>
      </c>
      <c r="D1070" s="74">
        <f t="shared" si="130"/>
        <v>73012</v>
      </c>
      <c r="E1070" s="74">
        <f t="shared" si="127"/>
        <v>42104</v>
      </c>
      <c r="F1070" s="491">
        <f t="shared" si="129"/>
        <v>57.667232783652</v>
      </c>
      <c r="G1070" s="174"/>
      <c r="H1070" s="74"/>
      <c r="I1070" s="362"/>
      <c r="J1070" s="175"/>
      <c r="K1070" s="175"/>
      <c r="L1070" s="391"/>
      <c r="M1070" s="175">
        <f>41750+1262+30000</f>
        <v>73012</v>
      </c>
      <c r="N1070" s="74">
        <v>42104</v>
      </c>
      <c r="O1070" s="442">
        <f t="shared" si="125"/>
        <v>57.667232783652</v>
      </c>
      <c r="P1070" s="74"/>
      <c r="Q1070" s="74"/>
      <c r="R1070" s="362"/>
    </row>
    <row r="1071" spans="1:18" s="12" customFormat="1" ht="12" customHeight="1">
      <c r="A1071" s="172">
        <v>4350</v>
      </c>
      <c r="B1071" s="206" t="s">
        <v>48</v>
      </c>
      <c r="C1071" s="174">
        <v>900</v>
      </c>
      <c r="D1071" s="74">
        <f t="shared" si="130"/>
        <v>900</v>
      </c>
      <c r="E1071" s="74"/>
      <c r="F1071" s="491"/>
      <c r="G1071" s="174"/>
      <c r="H1071" s="74"/>
      <c r="I1071" s="362"/>
      <c r="J1071" s="175"/>
      <c r="K1071" s="175"/>
      <c r="L1071" s="391"/>
      <c r="M1071" s="175">
        <v>900</v>
      </c>
      <c r="N1071" s="74">
        <f>255-1</f>
        <v>254</v>
      </c>
      <c r="O1071" s="442">
        <f t="shared" si="125"/>
        <v>28.22222222222222</v>
      </c>
      <c r="P1071" s="74"/>
      <c r="Q1071" s="74"/>
      <c r="R1071" s="362"/>
    </row>
    <row r="1072" spans="1:18" s="12" customFormat="1" ht="48">
      <c r="A1072" s="172">
        <v>4370</v>
      </c>
      <c r="B1072" s="206" t="s">
        <v>298</v>
      </c>
      <c r="C1072" s="174">
        <v>985</v>
      </c>
      <c r="D1072" s="74">
        <f t="shared" si="130"/>
        <v>985</v>
      </c>
      <c r="E1072" s="74">
        <f t="shared" si="127"/>
        <v>480</v>
      </c>
      <c r="F1072" s="491">
        <f t="shared" si="129"/>
        <v>48.73096446700508</v>
      </c>
      <c r="G1072" s="174"/>
      <c r="H1072" s="74"/>
      <c r="I1072" s="362"/>
      <c r="J1072" s="175"/>
      <c r="K1072" s="175"/>
      <c r="L1072" s="391"/>
      <c r="M1072" s="175">
        <v>985</v>
      </c>
      <c r="N1072" s="74">
        <v>480</v>
      </c>
      <c r="O1072" s="442">
        <f t="shared" si="125"/>
        <v>48.73096446700508</v>
      </c>
      <c r="P1072" s="74"/>
      <c r="Q1072" s="74"/>
      <c r="R1072" s="362"/>
    </row>
    <row r="1073" spans="1:18" s="12" customFormat="1" ht="12" customHeight="1">
      <c r="A1073" s="197">
        <v>4410</v>
      </c>
      <c r="B1073" s="258" t="s">
        <v>484</v>
      </c>
      <c r="C1073" s="176">
        <v>155</v>
      </c>
      <c r="D1073" s="161">
        <f t="shared" si="130"/>
        <v>3009</v>
      </c>
      <c r="E1073" s="161">
        <f t="shared" si="127"/>
        <v>953</v>
      </c>
      <c r="F1073" s="527">
        <f t="shared" si="129"/>
        <v>31.67165171153207</v>
      </c>
      <c r="G1073" s="176"/>
      <c r="H1073" s="161"/>
      <c r="I1073" s="366"/>
      <c r="J1073" s="177"/>
      <c r="K1073" s="177"/>
      <c r="L1073" s="415"/>
      <c r="M1073" s="177">
        <f>155+2854</f>
        <v>3009</v>
      </c>
      <c r="N1073" s="161">
        <v>953</v>
      </c>
      <c r="O1073" s="462">
        <f t="shared" si="125"/>
        <v>31.67165171153207</v>
      </c>
      <c r="P1073" s="161"/>
      <c r="Q1073" s="161"/>
      <c r="R1073" s="366"/>
    </row>
    <row r="1074" spans="1:18" s="12" customFormat="1" ht="12" customHeight="1" hidden="1">
      <c r="A1074" s="172">
        <v>4440</v>
      </c>
      <c r="B1074" s="292" t="s">
        <v>514</v>
      </c>
      <c r="C1074" s="175"/>
      <c r="D1074" s="74">
        <f t="shared" si="130"/>
        <v>0</v>
      </c>
      <c r="E1074" s="74">
        <f t="shared" si="127"/>
        <v>0</v>
      </c>
      <c r="F1074" s="491" t="e">
        <f t="shared" si="129"/>
        <v>#DIV/0!</v>
      </c>
      <c r="G1074" s="174"/>
      <c r="H1074" s="74"/>
      <c r="I1074" s="362"/>
      <c r="J1074" s="175"/>
      <c r="K1074" s="175"/>
      <c r="L1074" s="391"/>
      <c r="M1074" s="175"/>
      <c r="N1074" s="74"/>
      <c r="O1074" s="442"/>
      <c r="P1074" s="74"/>
      <c r="Q1074" s="74"/>
      <c r="R1074" s="362"/>
    </row>
    <row r="1075" spans="1:18" s="12" customFormat="1" ht="60">
      <c r="A1075" s="172">
        <v>4740</v>
      </c>
      <c r="B1075" s="337" t="s">
        <v>290</v>
      </c>
      <c r="C1075" s="175">
        <v>155</v>
      </c>
      <c r="D1075" s="74">
        <f t="shared" si="130"/>
        <v>155</v>
      </c>
      <c r="E1075" s="74">
        <f t="shared" si="127"/>
        <v>0</v>
      </c>
      <c r="F1075" s="491">
        <f t="shared" si="129"/>
        <v>0</v>
      </c>
      <c r="G1075" s="174"/>
      <c r="H1075" s="74"/>
      <c r="I1075" s="362"/>
      <c r="J1075" s="175"/>
      <c r="K1075" s="175"/>
      <c r="L1075" s="391"/>
      <c r="M1075" s="175">
        <v>155</v>
      </c>
      <c r="N1075" s="74"/>
      <c r="O1075" s="442">
        <f t="shared" si="125"/>
        <v>0</v>
      </c>
      <c r="P1075" s="74"/>
      <c r="Q1075" s="74"/>
      <c r="R1075" s="362"/>
    </row>
    <row r="1076" spans="1:18" s="12" customFormat="1" ht="36">
      <c r="A1076" s="197">
        <v>4750</v>
      </c>
      <c r="B1076" s="198" t="s">
        <v>291</v>
      </c>
      <c r="C1076" s="177">
        <v>312</v>
      </c>
      <c r="D1076" s="161">
        <f t="shared" si="130"/>
        <v>312</v>
      </c>
      <c r="E1076" s="161">
        <f t="shared" si="127"/>
        <v>0</v>
      </c>
      <c r="F1076" s="462">
        <f t="shared" si="129"/>
        <v>0</v>
      </c>
      <c r="G1076" s="176"/>
      <c r="H1076" s="161"/>
      <c r="I1076" s="366"/>
      <c r="J1076" s="177"/>
      <c r="K1076" s="177"/>
      <c r="L1076" s="415"/>
      <c r="M1076" s="177">
        <v>312</v>
      </c>
      <c r="N1076" s="161"/>
      <c r="O1076" s="462">
        <f t="shared" si="125"/>
        <v>0</v>
      </c>
      <c r="P1076" s="161"/>
      <c r="Q1076" s="161"/>
      <c r="R1076" s="366"/>
    </row>
    <row r="1077" spans="1:18" s="143" customFormat="1" ht="12" customHeight="1">
      <c r="A1077" s="201">
        <v>85202</v>
      </c>
      <c r="B1077" s="296" t="s">
        <v>100</v>
      </c>
      <c r="C1077" s="203">
        <f>SUM(C1078:C1079)</f>
        <v>700000</v>
      </c>
      <c r="D1077" s="122">
        <f aca="true" t="shared" si="131" ref="D1077:E1079">G1077+J1077+M1077+P1077</f>
        <v>700000</v>
      </c>
      <c r="E1077" s="122">
        <f t="shared" si="131"/>
        <v>415687</v>
      </c>
      <c r="F1077" s="527">
        <f t="shared" si="129"/>
        <v>59.383857142857146</v>
      </c>
      <c r="G1077" s="203">
        <f>SUM(G1078:G1079)</f>
        <v>700000</v>
      </c>
      <c r="H1077" s="122">
        <f>SUM(H1078:H1079)</f>
        <v>415687</v>
      </c>
      <c r="I1077" s="431">
        <f>H1077/G1077*100</f>
        <v>59.383857142857146</v>
      </c>
      <c r="J1077" s="204"/>
      <c r="K1077" s="204"/>
      <c r="L1077" s="424"/>
      <c r="M1077" s="204"/>
      <c r="N1077" s="122"/>
      <c r="O1077" s="297"/>
      <c r="P1077" s="122"/>
      <c r="Q1077" s="122"/>
      <c r="R1077" s="371"/>
    </row>
    <row r="1078" spans="1:18" s="12" customFormat="1" ht="12" customHeight="1" hidden="1">
      <c r="A1078" s="172">
        <v>4300</v>
      </c>
      <c r="B1078" s="292" t="s">
        <v>527</v>
      </c>
      <c r="C1078" s="174"/>
      <c r="D1078" s="74">
        <f t="shared" si="131"/>
        <v>0</v>
      </c>
      <c r="E1078" s="74">
        <f t="shared" si="131"/>
        <v>0</v>
      </c>
      <c r="F1078" s="491"/>
      <c r="G1078" s="174"/>
      <c r="H1078" s="74"/>
      <c r="I1078" s="369"/>
      <c r="J1078" s="175"/>
      <c r="K1078" s="175"/>
      <c r="L1078" s="391"/>
      <c r="M1078" s="175"/>
      <c r="N1078" s="74"/>
      <c r="O1078" s="224"/>
      <c r="P1078" s="74"/>
      <c r="Q1078" s="74"/>
      <c r="R1078" s="362"/>
    </row>
    <row r="1079" spans="1:18" s="12" customFormat="1" ht="24">
      <c r="A1079" s="197">
        <v>4330</v>
      </c>
      <c r="B1079" s="298" t="s">
        <v>99</v>
      </c>
      <c r="C1079" s="176">
        <v>700000</v>
      </c>
      <c r="D1079" s="74">
        <f t="shared" si="131"/>
        <v>700000</v>
      </c>
      <c r="E1079" s="74">
        <f t="shared" si="131"/>
        <v>415687</v>
      </c>
      <c r="F1079" s="491">
        <f t="shared" si="129"/>
        <v>59.383857142857146</v>
      </c>
      <c r="G1079" s="176">
        <v>700000</v>
      </c>
      <c r="H1079" s="161">
        <v>415687</v>
      </c>
      <c r="I1079" s="431">
        <f>H1079/G1079*100</f>
        <v>59.383857142857146</v>
      </c>
      <c r="J1079" s="177"/>
      <c r="K1079" s="177"/>
      <c r="L1079" s="415"/>
      <c r="M1079" s="177"/>
      <c r="N1079" s="161"/>
      <c r="O1079" s="274"/>
      <c r="P1079" s="161"/>
      <c r="Q1079" s="161"/>
      <c r="R1079" s="366"/>
    </row>
    <row r="1080" spans="1:18" s="12" customFormat="1" ht="12.75">
      <c r="A1080" s="150">
        <v>85203</v>
      </c>
      <c r="B1080" s="299" t="s">
        <v>101</v>
      </c>
      <c r="C1080" s="94">
        <f>C1088+C1108+C1151+C1128+C1081</f>
        <v>1137000</v>
      </c>
      <c r="D1080" s="95">
        <f>G1080+J1080+P1080+M1080</f>
        <v>1115940</v>
      </c>
      <c r="E1080" s="95">
        <f aca="true" t="shared" si="132" ref="D1080:E1098">H1080+K1080+Q1080+N1080</f>
        <v>625652</v>
      </c>
      <c r="F1080" s="523">
        <f t="shared" si="129"/>
        <v>56.06502141692206</v>
      </c>
      <c r="G1080" s="94">
        <f>G1088+G1108+G1151+G1081+G1087</f>
        <v>478940</v>
      </c>
      <c r="H1080" s="95">
        <f>H1088+H1108+H1151+H1081+H1087</f>
        <v>380674</v>
      </c>
      <c r="I1080" s="413">
        <f>H1080/G1080*100</f>
        <v>79.48260742472961</v>
      </c>
      <c r="J1080" s="171">
        <f>J1088+J1108+J1151+J1128+SUM(J1081:J1086)</f>
        <v>637000</v>
      </c>
      <c r="K1080" s="171">
        <f>K1088+K1108+K1151+K1128+SUM(K1081:K1086)</f>
        <v>244978</v>
      </c>
      <c r="L1080" s="316">
        <f aca="true" t="shared" si="133" ref="L1080:L1086">K1080/J1080*100</f>
        <v>38.45808477237049</v>
      </c>
      <c r="M1080" s="95"/>
      <c r="N1080" s="95"/>
      <c r="O1080" s="316"/>
      <c r="P1080" s="95"/>
      <c r="Q1080" s="95"/>
      <c r="R1080" s="372"/>
    </row>
    <row r="1081" spans="1:18" s="12" customFormat="1" ht="72">
      <c r="A1081" s="124">
        <v>2820</v>
      </c>
      <c r="B1081" s="292" t="s">
        <v>87</v>
      </c>
      <c r="C1081" s="174">
        <f>176400+210000</f>
        <v>386400</v>
      </c>
      <c r="D1081" s="74">
        <f t="shared" si="132"/>
        <v>386400</v>
      </c>
      <c r="E1081" s="74">
        <f t="shared" si="132"/>
        <v>202300</v>
      </c>
      <c r="F1081" s="491">
        <f t="shared" si="129"/>
        <v>52.35507246376812</v>
      </c>
      <c r="G1081" s="174">
        <v>210000</v>
      </c>
      <c r="H1081" s="74">
        <v>202300</v>
      </c>
      <c r="I1081" s="280">
        <f aca="true" t="shared" si="134" ref="I1081:I1086">H1081/G1081*100</f>
        <v>96.33333333333334</v>
      </c>
      <c r="J1081" s="175">
        <v>176400</v>
      </c>
      <c r="K1081" s="175"/>
      <c r="L1081" s="224">
        <f t="shared" si="133"/>
        <v>0</v>
      </c>
      <c r="M1081" s="74"/>
      <c r="N1081" s="74"/>
      <c r="O1081" s="224"/>
      <c r="P1081" s="74"/>
      <c r="Q1081" s="74"/>
      <c r="R1081" s="362"/>
    </row>
    <row r="1082" spans="1:18" s="12" customFormat="1" ht="24" hidden="1">
      <c r="A1082" s="172">
        <v>4210</v>
      </c>
      <c r="B1082" s="277" t="s">
        <v>502</v>
      </c>
      <c r="C1082" s="174"/>
      <c r="D1082" s="74">
        <f>G1082+J1082+P1082+M1082</f>
        <v>0</v>
      </c>
      <c r="E1082" s="74">
        <f t="shared" si="132"/>
        <v>0</v>
      </c>
      <c r="F1082" s="491" t="e">
        <f t="shared" si="129"/>
        <v>#DIV/0!</v>
      </c>
      <c r="G1082" s="174"/>
      <c r="H1082" s="74"/>
      <c r="I1082" s="280" t="e">
        <f t="shared" si="134"/>
        <v>#DIV/0!</v>
      </c>
      <c r="J1082" s="175"/>
      <c r="K1082" s="175"/>
      <c r="L1082" s="224" t="e">
        <f t="shared" si="133"/>
        <v>#DIV/0!</v>
      </c>
      <c r="M1082" s="74"/>
      <c r="N1082" s="74"/>
      <c r="O1082" s="224"/>
      <c r="P1082" s="74"/>
      <c r="Q1082" s="74"/>
      <c r="R1082" s="362"/>
    </row>
    <row r="1083" spans="1:18" s="12" customFormat="1" ht="24" hidden="1">
      <c r="A1083" s="172">
        <v>4270</v>
      </c>
      <c r="B1083" s="292" t="s">
        <v>155</v>
      </c>
      <c r="C1083" s="174"/>
      <c r="D1083" s="74">
        <f t="shared" si="132"/>
        <v>0</v>
      </c>
      <c r="E1083" s="74">
        <f t="shared" si="132"/>
        <v>0</v>
      </c>
      <c r="F1083" s="491" t="e">
        <f t="shared" si="129"/>
        <v>#DIV/0!</v>
      </c>
      <c r="G1083" s="174"/>
      <c r="H1083" s="74"/>
      <c r="I1083" s="280" t="e">
        <f t="shared" si="134"/>
        <v>#DIV/0!</v>
      </c>
      <c r="J1083" s="175"/>
      <c r="K1083" s="175"/>
      <c r="L1083" s="224" t="e">
        <f t="shared" si="133"/>
        <v>#DIV/0!</v>
      </c>
      <c r="M1083" s="74"/>
      <c r="N1083" s="74"/>
      <c r="O1083" s="224"/>
      <c r="P1083" s="74"/>
      <c r="Q1083" s="74"/>
      <c r="R1083" s="362"/>
    </row>
    <row r="1084" spans="1:18" s="12" customFormat="1" ht="24" hidden="1">
      <c r="A1084" s="172">
        <v>4300</v>
      </c>
      <c r="B1084" s="277" t="s">
        <v>510</v>
      </c>
      <c r="C1084" s="174"/>
      <c r="D1084" s="74">
        <f t="shared" si="132"/>
        <v>0</v>
      </c>
      <c r="E1084" s="74">
        <f t="shared" si="132"/>
        <v>0</v>
      </c>
      <c r="F1084" s="491" t="e">
        <f t="shared" si="129"/>
        <v>#DIV/0!</v>
      </c>
      <c r="G1084" s="174"/>
      <c r="H1084" s="74"/>
      <c r="I1084" s="280" t="e">
        <f t="shared" si="134"/>
        <v>#DIV/0!</v>
      </c>
      <c r="J1084" s="175"/>
      <c r="K1084" s="175"/>
      <c r="L1084" s="224" t="e">
        <f t="shared" si="133"/>
        <v>#DIV/0!</v>
      </c>
      <c r="M1084" s="74"/>
      <c r="N1084" s="74"/>
      <c r="O1084" s="224"/>
      <c r="P1084" s="74"/>
      <c r="Q1084" s="74"/>
      <c r="R1084" s="362"/>
    </row>
    <row r="1085" spans="1:18" s="12" customFormat="1" ht="24" hidden="1">
      <c r="A1085" s="172">
        <v>6050</v>
      </c>
      <c r="B1085" s="292" t="s">
        <v>574</v>
      </c>
      <c r="C1085" s="174"/>
      <c r="D1085" s="74">
        <f>G1085+J1085+P1085+M1085</f>
        <v>0</v>
      </c>
      <c r="E1085" s="74">
        <f t="shared" si="132"/>
        <v>0</v>
      </c>
      <c r="F1085" s="491" t="e">
        <f t="shared" si="129"/>
        <v>#DIV/0!</v>
      </c>
      <c r="G1085" s="174"/>
      <c r="H1085" s="74"/>
      <c r="I1085" s="280" t="e">
        <f t="shared" si="134"/>
        <v>#DIV/0!</v>
      </c>
      <c r="J1085" s="175"/>
      <c r="K1085" s="175"/>
      <c r="L1085" s="224" t="e">
        <f t="shared" si="133"/>
        <v>#DIV/0!</v>
      </c>
      <c r="M1085" s="74"/>
      <c r="N1085" s="74"/>
      <c r="O1085" s="224"/>
      <c r="P1085" s="74"/>
      <c r="Q1085" s="74"/>
      <c r="R1085" s="362"/>
    </row>
    <row r="1086" spans="1:18" s="12" customFormat="1" ht="36" hidden="1">
      <c r="A1086" s="172">
        <v>6060</v>
      </c>
      <c r="B1086" s="292" t="s">
        <v>445</v>
      </c>
      <c r="C1086" s="174"/>
      <c r="D1086" s="74">
        <f t="shared" si="132"/>
        <v>0</v>
      </c>
      <c r="E1086" s="74">
        <f t="shared" si="132"/>
        <v>0</v>
      </c>
      <c r="F1086" s="491" t="e">
        <f t="shared" si="129"/>
        <v>#DIV/0!</v>
      </c>
      <c r="G1086" s="174"/>
      <c r="H1086" s="74"/>
      <c r="I1086" s="280" t="e">
        <f t="shared" si="134"/>
        <v>#DIV/0!</v>
      </c>
      <c r="J1086" s="175">
        <f>10000-10000</f>
        <v>0</v>
      </c>
      <c r="K1086" s="175"/>
      <c r="L1086" s="224" t="e">
        <f t="shared" si="133"/>
        <v>#DIV/0!</v>
      </c>
      <c r="M1086" s="74"/>
      <c r="N1086" s="74"/>
      <c r="O1086" s="224"/>
      <c r="P1086" s="74"/>
      <c r="Q1086" s="74"/>
      <c r="R1086" s="362"/>
    </row>
    <row r="1087" spans="1:18" s="12" customFormat="1" ht="12.75" hidden="1">
      <c r="A1087" s="172">
        <v>4360</v>
      </c>
      <c r="B1087" s="292"/>
      <c r="C1087" s="174"/>
      <c r="D1087" s="74"/>
      <c r="E1087" s="74">
        <f t="shared" si="132"/>
        <v>0</v>
      </c>
      <c r="F1087" s="491"/>
      <c r="G1087" s="174"/>
      <c r="H1087" s="74"/>
      <c r="I1087" s="280"/>
      <c r="J1087" s="175"/>
      <c r="K1087" s="175"/>
      <c r="L1087" s="224"/>
      <c r="M1087" s="74"/>
      <c r="N1087" s="74"/>
      <c r="O1087" s="224"/>
      <c r="P1087" s="74"/>
      <c r="Q1087" s="74"/>
      <c r="R1087" s="362"/>
    </row>
    <row r="1088" spans="1:18" ht="12.75">
      <c r="A1088" s="119"/>
      <c r="B1088" s="276" t="s">
        <v>102</v>
      </c>
      <c r="C1088" s="121">
        <f>SUM(C1089:C1107)</f>
        <v>194000</v>
      </c>
      <c r="D1088" s="95">
        <f t="shared" si="132"/>
        <v>193544</v>
      </c>
      <c r="E1088" s="84">
        <f t="shared" si="132"/>
        <v>105661</v>
      </c>
      <c r="F1088" s="523">
        <f t="shared" si="129"/>
        <v>54.59275410242632</v>
      </c>
      <c r="G1088" s="94">
        <f>SUM(G1089:G1107)</f>
        <v>193544</v>
      </c>
      <c r="H1088" s="95">
        <f>SUM(H1089:H1107)</f>
        <v>105661</v>
      </c>
      <c r="I1088" s="413">
        <f>H1088/G1088*100</f>
        <v>54.59275410242632</v>
      </c>
      <c r="J1088" s="123"/>
      <c r="K1088" s="123"/>
      <c r="L1088" s="316"/>
      <c r="M1088" s="84"/>
      <c r="N1088" s="84"/>
      <c r="O1088" s="316"/>
      <c r="P1088" s="84"/>
      <c r="Q1088" s="84"/>
      <c r="R1088" s="372"/>
    </row>
    <row r="1089" spans="1:18" ht="36">
      <c r="A1089" s="124">
        <v>3020</v>
      </c>
      <c r="B1089" s="277" t="s">
        <v>562</v>
      </c>
      <c r="C1089" s="88">
        <v>400</v>
      </c>
      <c r="D1089" s="74">
        <f t="shared" si="132"/>
        <v>400</v>
      </c>
      <c r="E1089" s="89">
        <f>SUM(H1089+K1089+N1089+Q1089)</f>
        <v>25</v>
      </c>
      <c r="F1089" s="491">
        <f t="shared" si="129"/>
        <v>6.25</v>
      </c>
      <c r="G1089" s="88">
        <v>400</v>
      </c>
      <c r="H1089" s="74">
        <v>25</v>
      </c>
      <c r="I1089" s="280">
        <f aca="true" t="shared" si="135" ref="I1089:I1125">H1089/G1089*100</f>
        <v>6.25</v>
      </c>
      <c r="J1089" s="126"/>
      <c r="K1089" s="89"/>
      <c r="L1089" s="224"/>
      <c r="M1089" s="89"/>
      <c r="N1089" s="89"/>
      <c r="O1089" s="224"/>
      <c r="P1089" s="89"/>
      <c r="Q1089" s="89"/>
      <c r="R1089" s="362"/>
    </row>
    <row r="1090" spans="1:18" ht="24">
      <c r="A1090" s="124">
        <v>4010</v>
      </c>
      <c r="B1090" s="277" t="s">
        <v>492</v>
      </c>
      <c r="C1090" s="88">
        <v>79472</v>
      </c>
      <c r="D1090" s="74">
        <f t="shared" si="132"/>
        <v>79472</v>
      </c>
      <c r="E1090" s="89">
        <f>SUM(H1090+K1090+N1090+Q1090)</f>
        <v>48876</v>
      </c>
      <c r="F1090" s="491">
        <f>E1090/D1090*100</f>
        <v>61.50090597946447</v>
      </c>
      <c r="G1090" s="88">
        <v>79472</v>
      </c>
      <c r="H1090" s="74">
        <v>48876</v>
      </c>
      <c r="I1090" s="280">
        <f t="shared" si="135"/>
        <v>61.50090597946447</v>
      </c>
      <c r="J1090" s="126"/>
      <c r="K1090" s="89"/>
      <c r="L1090" s="224"/>
      <c r="M1090" s="89"/>
      <c r="N1090" s="89"/>
      <c r="O1090" s="224"/>
      <c r="P1090" s="89"/>
      <c r="Q1090" s="89"/>
      <c r="R1090" s="362"/>
    </row>
    <row r="1091" spans="1:18" ht="24">
      <c r="A1091" s="124">
        <v>4040</v>
      </c>
      <c r="B1091" s="277" t="s">
        <v>541</v>
      </c>
      <c r="C1091" s="88">
        <v>6719</v>
      </c>
      <c r="D1091" s="74">
        <f t="shared" si="132"/>
        <v>6263</v>
      </c>
      <c r="E1091" s="89">
        <f>SUM(H1091+K1091+N1091+Q1091)</f>
        <v>6263</v>
      </c>
      <c r="F1091" s="491">
        <f t="shared" si="129"/>
        <v>100</v>
      </c>
      <c r="G1091" s="88">
        <f>6719-456</f>
        <v>6263</v>
      </c>
      <c r="H1091" s="74">
        <v>6263</v>
      </c>
      <c r="I1091" s="468">
        <f t="shared" si="135"/>
        <v>100</v>
      </c>
      <c r="J1091" s="126"/>
      <c r="K1091" s="89"/>
      <c r="L1091" s="224"/>
      <c r="M1091" s="89"/>
      <c r="N1091" s="89"/>
      <c r="O1091" s="224"/>
      <c r="P1091" s="89"/>
      <c r="Q1091" s="89"/>
      <c r="R1091" s="362"/>
    </row>
    <row r="1092" spans="1:18" ht="24" customHeight="1">
      <c r="A1092" s="124">
        <v>4110</v>
      </c>
      <c r="B1092" s="277" t="s">
        <v>498</v>
      </c>
      <c r="C1092" s="88">
        <v>13808</v>
      </c>
      <c r="D1092" s="74">
        <f t="shared" si="132"/>
        <v>13808</v>
      </c>
      <c r="E1092" s="89">
        <f aca="true" t="shared" si="136" ref="E1092:E1107">SUM(H1092+K1092+N1092+Q1092)</f>
        <v>7773</v>
      </c>
      <c r="F1092" s="491">
        <f t="shared" si="129"/>
        <v>56.29345307068366</v>
      </c>
      <c r="G1092" s="88">
        <v>13808</v>
      </c>
      <c r="H1092" s="74">
        <v>7773</v>
      </c>
      <c r="I1092" s="280">
        <f t="shared" si="135"/>
        <v>56.29345307068366</v>
      </c>
      <c r="J1092" s="126"/>
      <c r="K1092" s="89"/>
      <c r="L1092" s="224"/>
      <c r="M1092" s="89"/>
      <c r="N1092" s="89"/>
      <c r="O1092" s="224"/>
      <c r="P1092" s="89"/>
      <c r="Q1092" s="89"/>
      <c r="R1092" s="362"/>
    </row>
    <row r="1093" spans="1:18" ht="11.25" customHeight="1">
      <c r="A1093" s="124">
        <v>4120</v>
      </c>
      <c r="B1093" s="277" t="s">
        <v>571</v>
      </c>
      <c r="C1093" s="88">
        <v>2112</v>
      </c>
      <c r="D1093" s="74">
        <f t="shared" si="132"/>
        <v>2112</v>
      </c>
      <c r="E1093" s="89">
        <f t="shared" si="136"/>
        <v>1189</v>
      </c>
      <c r="F1093" s="491">
        <f t="shared" si="129"/>
        <v>56.297348484848484</v>
      </c>
      <c r="G1093" s="88">
        <v>2112</v>
      </c>
      <c r="H1093" s="74">
        <v>1189</v>
      </c>
      <c r="I1093" s="280">
        <f t="shared" si="135"/>
        <v>56.297348484848484</v>
      </c>
      <c r="J1093" s="126"/>
      <c r="K1093" s="89"/>
      <c r="L1093" s="224"/>
      <c r="M1093" s="89"/>
      <c r="N1093" s="89"/>
      <c r="O1093" s="224"/>
      <c r="P1093" s="89"/>
      <c r="Q1093" s="89"/>
      <c r="R1093" s="362"/>
    </row>
    <row r="1094" spans="1:18" ht="24">
      <c r="A1094" s="124">
        <v>4210</v>
      </c>
      <c r="B1094" s="277" t="s">
        <v>502</v>
      </c>
      <c r="C1094" s="88">
        <v>4700</v>
      </c>
      <c r="D1094" s="74">
        <f t="shared" si="132"/>
        <v>4700</v>
      </c>
      <c r="E1094" s="89">
        <f t="shared" si="136"/>
        <v>3334</v>
      </c>
      <c r="F1094" s="491">
        <f t="shared" si="129"/>
        <v>70.93617021276596</v>
      </c>
      <c r="G1094" s="88">
        <v>4700</v>
      </c>
      <c r="H1094" s="74">
        <v>3334</v>
      </c>
      <c r="I1094" s="280">
        <f t="shared" si="135"/>
        <v>70.93617021276596</v>
      </c>
      <c r="J1094" s="126"/>
      <c r="K1094" s="89"/>
      <c r="L1094" s="224"/>
      <c r="M1094" s="89"/>
      <c r="N1094" s="89"/>
      <c r="O1094" s="224"/>
      <c r="P1094" s="89"/>
      <c r="Q1094" s="89"/>
      <c r="R1094" s="362"/>
    </row>
    <row r="1095" spans="1:18" ht="24">
      <c r="A1095" s="124">
        <v>4230</v>
      </c>
      <c r="B1095" s="277" t="s">
        <v>504</v>
      </c>
      <c r="C1095" s="88">
        <v>205</v>
      </c>
      <c r="D1095" s="74">
        <f t="shared" si="132"/>
        <v>205</v>
      </c>
      <c r="E1095" s="89">
        <f t="shared" si="136"/>
        <v>0</v>
      </c>
      <c r="F1095" s="491">
        <f t="shared" si="129"/>
        <v>0</v>
      </c>
      <c r="G1095" s="88">
        <v>205</v>
      </c>
      <c r="H1095" s="74"/>
      <c r="I1095" s="280">
        <f t="shared" si="135"/>
        <v>0</v>
      </c>
      <c r="J1095" s="126"/>
      <c r="K1095" s="89"/>
      <c r="L1095" s="224"/>
      <c r="M1095" s="89"/>
      <c r="N1095" s="89"/>
      <c r="O1095" s="224"/>
      <c r="P1095" s="89"/>
      <c r="Q1095" s="89"/>
      <c r="R1095" s="362"/>
    </row>
    <row r="1096" spans="1:18" ht="12.75">
      <c r="A1096" s="124">
        <v>4260</v>
      </c>
      <c r="B1096" s="277" t="s">
        <v>506</v>
      </c>
      <c r="C1096" s="88">
        <v>15890</v>
      </c>
      <c r="D1096" s="74">
        <f t="shared" si="132"/>
        <v>15890</v>
      </c>
      <c r="E1096" s="89">
        <f t="shared" si="136"/>
        <v>7428</v>
      </c>
      <c r="F1096" s="491">
        <f t="shared" si="129"/>
        <v>46.74638137193203</v>
      </c>
      <c r="G1096" s="88">
        <v>15890</v>
      </c>
      <c r="H1096" s="74">
        <f>7428+1-1</f>
        <v>7428</v>
      </c>
      <c r="I1096" s="280">
        <f t="shared" si="135"/>
        <v>46.74638137193203</v>
      </c>
      <c r="J1096" s="126"/>
      <c r="K1096" s="89"/>
      <c r="L1096" s="224"/>
      <c r="M1096" s="89"/>
      <c r="N1096" s="89"/>
      <c r="O1096" s="224"/>
      <c r="P1096" s="89"/>
      <c r="Q1096" s="89"/>
      <c r="R1096" s="362"/>
    </row>
    <row r="1097" spans="1:18" ht="24">
      <c r="A1097" s="124">
        <v>4280</v>
      </c>
      <c r="B1097" s="277" t="s">
        <v>545</v>
      </c>
      <c r="C1097" s="88">
        <v>140</v>
      </c>
      <c r="D1097" s="74">
        <f t="shared" si="132"/>
        <v>140</v>
      </c>
      <c r="E1097" s="89">
        <f t="shared" si="136"/>
        <v>103</v>
      </c>
      <c r="F1097" s="491">
        <f t="shared" si="129"/>
        <v>73.57142857142858</v>
      </c>
      <c r="G1097" s="88">
        <v>140</v>
      </c>
      <c r="H1097" s="74">
        <v>103</v>
      </c>
      <c r="I1097" s="280">
        <f t="shared" si="135"/>
        <v>73.57142857142858</v>
      </c>
      <c r="J1097" s="126"/>
      <c r="K1097" s="89"/>
      <c r="L1097" s="224"/>
      <c r="M1097" s="89"/>
      <c r="N1097" s="89"/>
      <c r="O1097" s="224"/>
      <c r="P1097" s="89"/>
      <c r="Q1097" s="89"/>
      <c r="R1097" s="362"/>
    </row>
    <row r="1098" spans="1:18" ht="12.75" customHeight="1">
      <c r="A1098" s="124">
        <v>4300</v>
      </c>
      <c r="B1098" s="277" t="s">
        <v>510</v>
      </c>
      <c r="C1098" s="88">
        <v>52000</v>
      </c>
      <c r="D1098" s="74">
        <f t="shared" si="132"/>
        <v>52000</v>
      </c>
      <c r="E1098" s="89">
        <f t="shared" si="136"/>
        <v>20725</v>
      </c>
      <c r="F1098" s="491">
        <f t="shared" si="129"/>
        <v>39.85576923076923</v>
      </c>
      <c r="G1098" s="88">
        <v>52000</v>
      </c>
      <c r="H1098" s="74">
        <v>20725</v>
      </c>
      <c r="I1098" s="280">
        <f t="shared" si="135"/>
        <v>39.85576923076923</v>
      </c>
      <c r="J1098" s="126"/>
      <c r="K1098" s="89"/>
      <c r="L1098" s="224"/>
      <c r="M1098" s="89"/>
      <c r="N1098" s="89"/>
      <c r="O1098" s="224"/>
      <c r="P1098" s="89"/>
      <c r="Q1098" s="89"/>
      <c r="R1098" s="362"/>
    </row>
    <row r="1099" spans="1:18" ht="24">
      <c r="A1099" s="124">
        <v>4350</v>
      </c>
      <c r="B1099" s="128" t="s">
        <v>48</v>
      </c>
      <c r="C1099" s="88">
        <v>1069</v>
      </c>
      <c r="D1099" s="74">
        <f aca="true" t="shared" si="137" ref="D1099:E1164">G1099+J1099+P1099+M1099</f>
        <v>1069</v>
      </c>
      <c r="E1099" s="89">
        <f>SUM(H1099+K1099+N1099+Q1099)</f>
        <v>516</v>
      </c>
      <c r="F1099" s="491">
        <f>E1099/D1099*100</f>
        <v>48.26941066417213</v>
      </c>
      <c r="G1099" s="88">
        <v>1069</v>
      </c>
      <c r="H1099" s="74">
        <v>516</v>
      </c>
      <c r="I1099" s="280">
        <f t="shared" si="135"/>
        <v>48.26941066417213</v>
      </c>
      <c r="J1099" s="126"/>
      <c r="K1099" s="89"/>
      <c r="L1099" s="224"/>
      <c r="M1099" s="89"/>
      <c r="N1099" s="89"/>
      <c r="O1099" s="224"/>
      <c r="P1099" s="89"/>
      <c r="Q1099" s="89"/>
      <c r="R1099" s="362"/>
    </row>
    <row r="1100" spans="1:18" ht="48">
      <c r="A1100" s="197">
        <v>4370</v>
      </c>
      <c r="B1100" s="198" t="s">
        <v>298</v>
      </c>
      <c r="C1100" s="160">
        <v>1250</v>
      </c>
      <c r="D1100" s="161">
        <f t="shared" si="137"/>
        <v>1250</v>
      </c>
      <c r="E1100" s="155">
        <f>SUM(H1100+K1100+N1100+Q1100)</f>
        <v>655</v>
      </c>
      <c r="F1100" s="527">
        <f>E1100/D1100*100</f>
        <v>52.400000000000006</v>
      </c>
      <c r="G1100" s="160">
        <v>1250</v>
      </c>
      <c r="H1100" s="161">
        <v>655</v>
      </c>
      <c r="I1100" s="323">
        <f t="shared" si="135"/>
        <v>52.400000000000006</v>
      </c>
      <c r="J1100" s="162"/>
      <c r="K1100" s="155"/>
      <c r="L1100" s="274"/>
      <c r="M1100" s="155"/>
      <c r="N1100" s="155"/>
      <c r="O1100" s="274"/>
      <c r="P1100" s="155"/>
      <c r="Q1100" s="155"/>
      <c r="R1100" s="366"/>
    </row>
    <row r="1101" spans="1:18" ht="24">
      <c r="A1101" s="172">
        <v>4400</v>
      </c>
      <c r="B1101" s="337" t="s">
        <v>289</v>
      </c>
      <c r="C1101" s="88">
        <v>10920</v>
      </c>
      <c r="D1101" s="74">
        <f t="shared" si="137"/>
        <v>10920</v>
      </c>
      <c r="E1101" s="89">
        <f>SUM(H1101+K1101+N1101+Q1101)</f>
        <v>5245</v>
      </c>
      <c r="F1101" s="491">
        <f>E1101/D1101*100</f>
        <v>48.03113553113553</v>
      </c>
      <c r="G1101" s="88">
        <v>10920</v>
      </c>
      <c r="H1101" s="74">
        <v>5245</v>
      </c>
      <c r="I1101" s="280">
        <f t="shared" si="135"/>
        <v>48.03113553113553</v>
      </c>
      <c r="J1101" s="126"/>
      <c r="K1101" s="89"/>
      <c r="L1101" s="224"/>
      <c r="M1101" s="89"/>
      <c r="N1101" s="89"/>
      <c r="O1101" s="224"/>
      <c r="P1101" s="89"/>
      <c r="Q1101" s="89"/>
      <c r="R1101" s="362"/>
    </row>
    <row r="1102" spans="1:18" ht="12.75" customHeight="1">
      <c r="A1102" s="124">
        <v>4410</v>
      </c>
      <c r="B1102" s="277" t="s">
        <v>484</v>
      </c>
      <c r="C1102" s="88">
        <v>205</v>
      </c>
      <c r="D1102" s="74">
        <f t="shared" si="137"/>
        <v>205</v>
      </c>
      <c r="E1102" s="89">
        <f t="shared" si="136"/>
        <v>0</v>
      </c>
      <c r="F1102" s="491">
        <f t="shared" si="129"/>
        <v>0</v>
      </c>
      <c r="G1102" s="88">
        <v>205</v>
      </c>
      <c r="H1102" s="74"/>
      <c r="I1102" s="280">
        <f t="shared" si="135"/>
        <v>0</v>
      </c>
      <c r="J1102" s="126"/>
      <c r="K1102" s="89"/>
      <c r="L1102" s="224"/>
      <c r="M1102" s="89"/>
      <c r="N1102" s="89"/>
      <c r="O1102" s="224"/>
      <c r="P1102" s="89"/>
      <c r="Q1102" s="89"/>
      <c r="R1102" s="362"/>
    </row>
    <row r="1103" spans="1:18" ht="12.75" customHeight="1">
      <c r="A1103" s="124">
        <v>4430</v>
      </c>
      <c r="B1103" s="277" t="s">
        <v>512</v>
      </c>
      <c r="C1103" s="88">
        <v>100</v>
      </c>
      <c r="D1103" s="74">
        <f t="shared" si="137"/>
        <v>100</v>
      </c>
      <c r="E1103" s="89">
        <f t="shared" si="136"/>
        <v>0</v>
      </c>
      <c r="F1103" s="491">
        <f aca="true" t="shared" si="138" ref="F1103:F1132">E1103/D1103*100</f>
        <v>0</v>
      </c>
      <c r="G1103" s="88">
        <v>100</v>
      </c>
      <c r="H1103" s="74"/>
      <c r="I1103" s="280">
        <f t="shared" si="135"/>
        <v>0</v>
      </c>
      <c r="J1103" s="126"/>
      <c r="K1103" s="89"/>
      <c r="L1103" s="224"/>
      <c r="M1103" s="89"/>
      <c r="N1103" s="89"/>
      <c r="O1103" s="224"/>
      <c r="P1103" s="89"/>
      <c r="Q1103" s="89"/>
      <c r="R1103" s="362"/>
    </row>
    <row r="1104" spans="1:18" ht="12.75" customHeight="1">
      <c r="A1104" s="124">
        <v>4480</v>
      </c>
      <c r="B1104" s="277" t="s">
        <v>516</v>
      </c>
      <c r="C1104" s="88">
        <v>1350</v>
      </c>
      <c r="D1104" s="74">
        <f t="shared" si="137"/>
        <v>1350</v>
      </c>
      <c r="E1104" s="89">
        <f>SUM(H1104+K1104+N1104+Q1104)</f>
        <v>665</v>
      </c>
      <c r="F1104" s="491">
        <f t="shared" si="138"/>
        <v>49.25925925925926</v>
      </c>
      <c r="G1104" s="88">
        <v>1350</v>
      </c>
      <c r="H1104" s="74">
        <v>665</v>
      </c>
      <c r="I1104" s="280">
        <f t="shared" si="135"/>
        <v>49.25925925925926</v>
      </c>
      <c r="J1104" s="126"/>
      <c r="K1104" s="89"/>
      <c r="L1104" s="224"/>
      <c r="M1104" s="89"/>
      <c r="N1104" s="89"/>
      <c r="O1104" s="224"/>
      <c r="P1104" s="89"/>
      <c r="Q1104" s="89"/>
      <c r="R1104" s="362"/>
    </row>
    <row r="1105" spans="1:18" ht="12.75" customHeight="1">
      <c r="A1105" s="124">
        <v>4440</v>
      </c>
      <c r="B1105" s="291" t="s">
        <v>514</v>
      </c>
      <c r="C1105" s="88">
        <v>2660</v>
      </c>
      <c r="D1105" s="74">
        <f t="shared" si="137"/>
        <v>2660</v>
      </c>
      <c r="E1105" s="89">
        <f>SUM(H1105+K1105+N1105+Q1105)</f>
        <v>2660</v>
      </c>
      <c r="F1105" s="491">
        <f t="shared" si="138"/>
        <v>100</v>
      </c>
      <c r="G1105" s="88">
        <v>2660</v>
      </c>
      <c r="H1105" s="74">
        <v>2660</v>
      </c>
      <c r="I1105" s="468">
        <f t="shared" si="135"/>
        <v>100</v>
      </c>
      <c r="J1105" s="126"/>
      <c r="K1105" s="89"/>
      <c r="L1105" s="224"/>
      <c r="M1105" s="89"/>
      <c r="N1105" s="89"/>
      <c r="O1105" s="224"/>
      <c r="P1105" s="89"/>
      <c r="Q1105" s="89"/>
      <c r="R1105" s="362"/>
    </row>
    <row r="1106" spans="1:18" ht="60">
      <c r="A1106" s="172">
        <v>4740</v>
      </c>
      <c r="B1106" s="337" t="s">
        <v>290</v>
      </c>
      <c r="C1106" s="88">
        <v>500</v>
      </c>
      <c r="D1106" s="74">
        <f t="shared" si="137"/>
        <v>500</v>
      </c>
      <c r="E1106" s="89">
        <f>SUM(H1106+K1106+N1106+Q1106)</f>
        <v>64</v>
      </c>
      <c r="F1106" s="491">
        <f t="shared" si="138"/>
        <v>12.8</v>
      </c>
      <c r="G1106" s="88">
        <v>500</v>
      </c>
      <c r="H1106" s="74">
        <v>64</v>
      </c>
      <c r="I1106" s="280">
        <f t="shared" si="135"/>
        <v>12.8</v>
      </c>
      <c r="J1106" s="126"/>
      <c r="K1106" s="89"/>
      <c r="L1106" s="224"/>
      <c r="M1106" s="89"/>
      <c r="N1106" s="89"/>
      <c r="O1106" s="224"/>
      <c r="P1106" s="89"/>
      <c r="Q1106" s="89"/>
      <c r="R1106" s="362"/>
    </row>
    <row r="1107" spans="1:18" s="118" customFormat="1" ht="36">
      <c r="A1107" s="197">
        <v>4750</v>
      </c>
      <c r="B1107" s="198" t="s">
        <v>291</v>
      </c>
      <c r="C1107" s="160">
        <v>500</v>
      </c>
      <c r="D1107" s="161">
        <f t="shared" si="137"/>
        <v>500</v>
      </c>
      <c r="E1107" s="155">
        <f t="shared" si="136"/>
        <v>140</v>
      </c>
      <c r="F1107" s="527">
        <f t="shared" si="138"/>
        <v>28.000000000000004</v>
      </c>
      <c r="G1107" s="160">
        <v>500</v>
      </c>
      <c r="H1107" s="161">
        <v>140</v>
      </c>
      <c r="I1107" s="469">
        <f t="shared" si="135"/>
        <v>28.000000000000004</v>
      </c>
      <c r="J1107" s="162"/>
      <c r="K1107" s="155"/>
      <c r="L1107" s="274"/>
      <c r="M1107" s="155"/>
      <c r="N1107" s="155"/>
      <c r="O1107" s="274"/>
      <c r="P1107" s="155"/>
      <c r="Q1107" s="155"/>
      <c r="R1107" s="366"/>
    </row>
    <row r="1108" spans="1:18" s="118" customFormat="1" ht="25.5" customHeight="1">
      <c r="A1108" s="158"/>
      <c r="B1108" s="300" t="s">
        <v>405</v>
      </c>
      <c r="C1108" s="121">
        <f>SUM(C1109:C1127)</f>
        <v>96000</v>
      </c>
      <c r="D1108" s="95">
        <f t="shared" si="137"/>
        <v>75396</v>
      </c>
      <c r="E1108" s="84">
        <f>H1108+K1108+Q1108+N1108</f>
        <v>72713</v>
      </c>
      <c r="F1108" s="523">
        <f t="shared" si="138"/>
        <v>96.44145578014749</v>
      </c>
      <c r="G1108" s="94">
        <f>SUM(G1109:G1127)</f>
        <v>75396</v>
      </c>
      <c r="H1108" s="122">
        <f>SUM(H1109:H1127)</f>
        <v>72713</v>
      </c>
      <c r="I1108" s="467">
        <f t="shared" si="135"/>
        <v>96.44145578014749</v>
      </c>
      <c r="J1108" s="193"/>
      <c r="K1108" s="192"/>
      <c r="L1108" s="417"/>
      <c r="M1108" s="84"/>
      <c r="N1108" s="84"/>
      <c r="O1108" s="381"/>
      <c r="P1108" s="192"/>
      <c r="Q1108" s="192"/>
      <c r="R1108" s="366"/>
    </row>
    <row r="1109" spans="1:18" s="118" customFormat="1" ht="72" hidden="1">
      <c r="A1109" s="124">
        <v>2820</v>
      </c>
      <c r="B1109" s="292" t="s">
        <v>87</v>
      </c>
      <c r="C1109" s="88"/>
      <c r="D1109" s="74">
        <f t="shared" si="137"/>
        <v>0</v>
      </c>
      <c r="E1109" s="89">
        <f>SUM(H1109+K1109+N1109+Q1109)</f>
        <v>0</v>
      </c>
      <c r="F1109" s="491" t="e">
        <f t="shared" si="138"/>
        <v>#DIV/0!</v>
      </c>
      <c r="G1109" s="88"/>
      <c r="H1109" s="74"/>
      <c r="I1109" s="468" t="e">
        <f>H1109/G1109*100</f>
        <v>#DIV/0!</v>
      </c>
      <c r="J1109" s="183"/>
      <c r="K1109" s="182"/>
      <c r="L1109" s="403"/>
      <c r="M1109" s="182"/>
      <c r="N1109" s="182"/>
      <c r="O1109" s="368"/>
      <c r="P1109" s="182"/>
      <c r="Q1109" s="182"/>
      <c r="R1109" s="362"/>
    </row>
    <row r="1110" spans="1:18" s="118" customFormat="1" ht="26.25" customHeight="1">
      <c r="A1110" s="124">
        <v>4010</v>
      </c>
      <c r="B1110" s="277" t="s">
        <v>492</v>
      </c>
      <c r="C1110" s="88">
        <v>36000</v>
      </c>
      <c r="D1110" s="74">
        <f t="shared" si="137"/>
        <v>36000</v>
      </c>
      <c r="E1110" s="89">
        <f aca="true" t="shared" si="139" ref="E1110:E1150">SUM(H1110+K1110+N1110+Q1110)</f>
        <v>36000</v>
      </c>
      <c r="F1110" s="491">
        <f t="shared" si="138"/>
        <v>100</v>
      </c>
      <c r="G1110" s="88">
        <v>36000</v>
      </c>
      <c r="H1110" s="74">
        <v>36000</v>
      </c>
      <c r="I1110" s="468">
        <f t="shared" si="135"/>
        <v>100</v>
      </c>
      <c r="J1110" s="126"/>
      <c r="K1110" s="89"/>
      <c r="L1110" s="391"/>
      <c r="M1110" s="89"/>
      <c r="N1110" s="89"/>
      <c r="O1110" s="368"/>
      <c r="P1110" s="89"/>
      <c r="Q1110" s="89"/>
      <c r="R1110" s="362"/>
    </row>
    <row r="1111" spans="1:18" s="118" customFormat="1" ht="23.25" customHeight="1">
      <c r="A1111" s="124">
        <v>4040</v>
      </c>
      <c r="B1111" s="277" t="s">
        <v>541</v>
      </c>
      <c r="C1111" s="88">
        <v>12510</v>
      </c>
      <c r="D1111" s="74">
        <f t="shared" si="137"/>
        <v>12510</v>
      </c>
      <c r="E1111" s="89">
        <f t="shared" si="139"/>
        <v>12225</v>
      </c>
      <c r="F1111" s="491">
        <f t="shared" si="138"/>
        <v>97.72182254196643</v>
      </c>
      <c r="G1111" s="88">
        <v>12510</v>
      </c>
      <c r="H1111" s="74">
        <v>12225</v>
      </c>
      <c r="I1111" s="468">
        <f t="shared" si="135"/>
        <v>97.72182254196643</v>
      </c>
      <c r="J1111" s="126"/>
      <c r="K1111" s="89"/>
      <c r="L1111" s="391"/>
      <c r="M1111" s="89"/>
      <c r="N1111" s="89"/>
      <c r="O1111" s="368"/>
      <c r="P1111" s="89"/>
      <c r="Q1111" s="89"/>
      <c r="R1111" s="362"/>
    </row>
    <row r="1112" spans="1:18" s="118" customFormat="1" ht="25.5" customHeight="1">
      <c r="A1112" s="124">
        <v>4110</v>
      </c>
      <c r="B1112" s="277" t="s">
        <v>498</v>
      </c>
      <c r="C1112" s="88">
        <v>8000</v>
      </c>
      <c r="D1112" s="74">
        <f t="shared" si="137"/>
        <v>8000</v>
      </c>
      <c r="E1112" s="89">
        <f t="shared" si="139"/>
        <v>8000</v>
      </c>
      <c r="F1112" s="491">
        <f t="shared" si="138"/>
        <v>100</v>
      </c>
      <c r="G1112" s="88">
        <v>8000</v>
      </c>
      <c r="H1112" s="74">
        <v>8000</v>
      </c>
      <c r="I1112" s="468">
        <f t="shared" si="135"/>
        <v>100</v>
      </c>
      <c r="J1112" s="126"/>
      <c r="K1112" s="89"/>
      <c r="L1112" s="391"/>
      <c r="M1112" s="89"/>
      <c r="N1112" s="89"/>
      <c r="O1112" s="368"/>
      <c r="P1112" s="89"/>
      <c r="Q1112" s="89"/>
      <c r="R1112" s="362"/>
    </row>
    <row r="1113" spans="1:18" s="118" customFormat="1" ht="12.75">
      <c r="A1113" s="124">
        <v>4120</v>
      </c>
      <c r="B1113" s="277" t="s">
        <v>571</v>
      </c>
      <c r="C1113" s="88">
        <v>1200</v>
      </c>
      <c r="D1113" s="74">
        <f t="shared" si="137"/>
        <v>1000</v>
      </c>
      <c r="E1113" s="89">
        <f t="shared" si="139"/>
        <v>1000</v>
      </c>
      <c r="F1113" s="491">
        <f t="shared" si="138"/>
        <v>100</v>
      </c>
      <c r="G1113" s="88">
        <f>1200-200</f>
        <v>1000</v>
      </c>
      <c r="H1113" s="74">
        <v>1000</v>
      </c>
      <c r="I1113" s="468">
        <f t="shared" si="135"/>
        <v>100</v>
      </c>
      <c r="J1113" s="126"/>
      <c r="K1113" s="89"/>
      <c r="L1113" s="391"/>
      <c r="M1113" s="89"/>
      <c r="N1113" s="89"/>
      <c r="O1113" s="368"/>
      <c r="P1113" s="89"/>
      <c r="Q1113" s="89"/>
      <c r="R1113" s="362"/>
    </row>
    <row r="1114" spans="1:18" s="118" customFormat="1" ht="24" hidden="1">
      <c r="A1114" s="124">
        <v>4170</v>
      </c>
      <c r="B1114" s="277" t="s">
        <v>536</v>
      </c>
      <c r="C1114" s="88"/>
      <c r="D1114" s="74">
        <f t="shared" si="137"/>
        <v>0</v>
      </c>
      <c r="E1114" s="89">
        <f>SUM(H1114+K1114+N1114+Q1114)</f>
        <v>0</v>
      </c>
      <c r="F1114" s="491" t="e">
        <f>E1114/D1114*100</f>
        <v>#DIV/0!</v>
      </c>
      <c r="G1114" s="88"/>
      <c r="H1114" s="74"/>
      <c r="I1114" s="468" t="e">
        <f t="shared" si="135"/>
        <v>#DIV/0!</v>
      </c>
      <c r="J1114" s="126"/>
      <c r="K1114" s="89"/>
      <c r="L1114" s="391"/>
      <c r="M1114" s="89"/>
      <c r="N1114" s="89"/>
      <c r="O1114" s="368"/>
      <c r="P1114" s="89"/>
      <c r="Q1114" s="89"/>
      <c r="R1114" s="362"/>
    </row>
    <row r="1115" spans="1:18" s="118" customFormat="1" ht="23.25" customHeight="1">
      <c r="A1115" s="124">
        <v>4210</v>
      </c>
      <c r="B1115" s="277" t="s">
        <v>502</v>
      </c>
      <c r="C1115" s="88">
        <v>2000</v>
      </c>
      <c r="D1115" s="74">
        <f t="shared" si="137"/>
        <v>794</v>
      </c>
      <c r="E1115" s="89">
        <f t="shared" si="139"/>
        <v>493</v>
      </c>
      <c r="F1115" s="491">
        <f t="shared" si="138"/>
        <v>62.09068010075567</v>
      </c>
      <c r="G1115" s="88">
        <f>2000-250-956</f>
        <v>794</v>
      </c>
      <c r="H1115" s="74">
        <v>493</v>
      </c>
      <c r="I1115" s="468">
        <f t="shared" si="135"/>
        <v>62.09068010075567</v>
      </c>
      <c r="J1115" s="126"/>
      <c r="K1115" s="89"/>
      <c r="L1115" s="391"/>
      <c r="M1115" s="89"/>
      <c r="N1115" s="89"/>
      <c r="O1115" s="368"/>
      <c r="P1115" s="89"/>
      <c r="Q1115" s="89"/>
      <c r="R1115" s="362"/>
    </row>
    <row r="1116" spans="1:18" s="118" customFormat="1" ht="12.75">
      <c r="A1116" s="124">
        <v>4260</v>
      </c>
      <c r="B1116" s="277" t="s">
        <v>506</v>
      </c>
      <c r="C1116" s="88">
        <v>26000</v>
      </c>
      <c r="D1116" s="74">
        <f t="shared" si="137"/>
        <v>10672</v>
      </c>
      <c r="E1116" s="89">
        <f t="shared" si="139"/>
        <v>10141</v>
      </c>
      <c r="F1116" s="491">
        <f t="shared" si="138"/>
        <v>95.0243628185907</v>
      </c>
      <c r="G1116" s="88">
        <f>26000-15328</f>
        <v>10672</v>
      </c>
      <c r="H1116" s="74">
        <v>10141</v>
      </c>
      <c r="I1116" s="468">
        <f t="shared" si="135"/>
        <v>95.0243628185907</v>
      </c>
      <c r="J1116" s="126"/>
      <c r="K1116" s="89"/>
      <c r="L1116" s="391"/>
      <c r="M1116" s="89"/>
      <c r="N1116" s="89"/>
      <c r="O1116" s="368"/>
      <c r="P1116" s="89"/>
      <c r="Q1116" s="89"/>
      <c r="R1116" s="362"/>
    </row>
    <row r="1117" spans="1:18" s="118" customFormat="1" ht="14.25" customHeight="1" hidden="1">
      <c r="A1117" s="124">
        <v>4270</v>
      </c>
      <c r="B1117" s="277" t="s">
        <v>508</v>
      </c>
      <c r="C1117" s="88"/>
      <c r="D1117" s="74">
        <f t="shared" si="137"/>
        <v>0</v>
      </c>
      <c r="E1117" s="89">
        <f t="shared" si="139"/>
        <v>0</v>
      </c>
      <c r="F1117" s="491" t="e">
        <f t="shared" si="138"/>
        <v>#DIV/0!</v>
      </c>
      <c r="G1117" s="88"/>
      <c r="H1117" s="74"/>
      <c r="I1117" s="468" t="e">
        <f t="shared" si="135"/>
        <v>#DIV/0!</v>
      </c>
      <c r="J1117" s="126"/>
      <c r="K1117" s="89"/>
      <c r="L1117" s="391"/>
      <c r="M1117" s="89"/>
      <c r="N1117" s="89"/>
      <c r="O1117" s="368"/>
      <c r="P1117" s="89"/>
      <c r="Q1117" s="89"/>
      <c r="R1117" s="362"/>
    </row>
    <row r="1118" spans="1:18" s="118" customFormat="1" ht="14.25" customHeight="1" hidden="1">
      <c r="A1118" s="124">
        <v>4280</v>
      </c>
      <c r="B1118" s="277" t="s">
        <v>545</v>
      </c>
      <c r="C1118" s="88"/>
      <c r="D1118" s="74">
        <f t="shared" si="137"/>
        <v>0</v>
      </c>
      <c r="E1118" s="89">
        <f>SUM(H1118+K1118+N1118+Q1118)</f>
        <v>0</v>
      </c>
      <c r="F1118" s="491" t="e">
        <f>E1118/D1118*100</f>
        <v>#DIV/0!</v>
      </c>
      <c r="G1118" s="88"/>
      <c r="H1118" s="74"/>
      <c r="I1118" s="468" t="e">
        <f t="shared" si="135"/>
        <v>#DIV/0!</v>
      </c>
      <c r="J1118" s="126"/>
      <c r="K1118" s="89"/>
      <c r="L1118" s="391"/>
      <c r="M1118" s="89"/>
      <c r="N1118" s="89"/>
      <c r="O1118" s="368"/>
      <c r="P1118" s="89"/>
      <c r="Q1118" s="89"/>
      <c r="R1118" s="362"/>
    </row>
    <row r="1119" spans="1:18" s="118" customFormat="1" ht="57.75" customHeight="1">
      <c r="A1119" s="124">
        <v>4290</v>
      </c>
      <c r="B1119" s="277" t="s">
        <v>353</v>
      </c>
      <c r="C1119" s="88"/>
      <c r="D1119" s="74">
        <f t="shared" si="137"/>
        <v>250</v>
      </c>
      <c r="E1119" s="89">
        <f>SUM(H1119+K1119+N1119+Q1119)</f>
        <v>85</v>
      </c>
      <c r="F1119" s="491">
        <f>E1119/D1119*100</f>
        <v>34</v>
      </c>
      <c r="G1119" s="88">
        <v>250</v>
      </c>
      <c r="H1119" s="74">
        <v>85</v>
      </c>
      <c r="I1119" s="468">
        <f t="shared" si="135"/>
        <v>34</v>
      </c>
      <c r="J1119" s="126"/>
      <c r="K1119" s="89"/>
      <c r="L1119" s="391"/>
      <c r="M1119" s="89"/>
      <c r="N1119" s="89"/>
      <c r="O1119" s="368"/>
      <c r="P1119" s="89"/>
      <c r="Q1119" s="89"/>
      <c r="R1119" s="362"/>
    </row>
    <row r="1120" spans="1:18" s="118" customFormat="1" ht="14.25" customHeight="1">
      <c r="A1120" s="124">
        <v>4300</v>
      </c>
      <c r="B1120" s="277" t="s">
        <v>546</v>
      </c>
      <c r="C1120" s="88">
        <v>6500</v>
      </c>
      <c r="D1120" s="74">
        <f t="shared" si="137"/>
        <v>2970</v>
      </c>
      <c r="E1120" s="89">
        <f t="shared" si="139"/>
        <v>2970</v>
      </c>
      <c r="F1120" s="491">
        <f t="shared" si="138"/>
        <v>100</v>
      </c>
      <c r="G1120" s="88">
        <f>6500-3530</f>
        <v>2970</v>
      </c>
      <c r="H1120" s="74">
        <v>2970</v>
      </c>
      <c r="I1120" s="468">
        <f t="shared" si="135"/>
        <v>100</v>
      </c>
      <c r="J1120" s="126"/>
      <c r="K1120" s="89"/>
      <c r="L1120" s="391"/>
      <c r="M1120" s="89"/>
      <c r="N1120" s="89"/>
      <c r="O1120" s="368"/>
      <c r="P1120" s="89"/>
      <c r="Q1120" s="89"/>
      <c r="R1120" s="362"/>
    </row>
    <row r="1121" spans="1:18" s="118" customFormat="1" ht="48" hidden="1">
      <c r="A1121" s="172">
        <v>4360</v>
      </c>
      <c r="B1121" s="337" t="s">
        <v>287</v>
      </c>
      <c r="C1121" s="88"/>
      <c r="D1121" s="74">
        <f t="shared" si="137"/>
        <v>0</v>
      </c>
      <c r="E1121" s="89">
        <f t="shared" si="139"/>
        <v>0</v>
      </c>
      <c r="F1121" s="491" t="e">
        <f t="shared" si="138"/>
        <v>#DIV/0!</v>
      </c>
      <c r="G1121" s="88"/>
      <c r="H1121" s="74"/>
      <c r="I1121" s="468" t="e">
        <f t="shared" si="135"/>
        <v>#DIV/0!</v>
      </c>
      <c r="J1121" s="126"/>
      <c r="K1121" s="89"/>
      <c r="L1121" s="391"/>
      <c r="M1121" s="89"/>
      <c r="N1121" s="89"/>
      <c r="O1121" s="368"/>
      <c r="P1121" s="89"/>
      <c r="Q1121" s="89"/>
      <c r="R1121" s="362"/>
    </row>
    <row r="1122" spans="1:18" s="118" customFormat="1" ht="48">
      <c r="A1122" s="172">
        <v>4370</v>
      </c>
      <c r="B1122" s="337" t="s">
        <v>298</v>
      </c>
      <c r="C1122" s="88">
        <v>1000</v>
      </c>
      <c r="D1122" s="74">
        <f t="shared" si="137"/>
        <v>1000</v>
      </c>
      <c r="E1122" s="89">
        <f t="shared" si="139"/>
        <v>957</v>
      </c>
      <c r="F1122" s="491">
        <f t="shared" si="138"/>
        <v>95.7</v>
      </c>
      <c r="G1122" s="88">
        <v>1000</v>
      </c>
      <c r="H1122" s="74">
        <v>957</v>
      </c>
      <c r="I1122" s="468">
        <f t="shared" si="135"/>
        <v>95.7</v>
      </c>
      <c r="J1122" s="126"/>
      <c r="K1122" s="89"/>
      <c r="L1122" s="391"/>
      <c r="M1122" s="89"/>
      <c r="N1122" s="89"/>
      <c r="O1122" s="368"/>
      <c r="P1122" s="89"/>
      <c r="Q1122" s="89"/>
      <c r="R1122" s="362"/>
    </row>
    <row r="1123" spans="1:18" s="118" customFormat="1" ht="15.75" customHeight="1" hidden="1">
      <c r="A1123" s="124">
        <v>4410</v>
      </c>
      <c r="B1123" s="277" t="s">
        <v>484</v>
      </c>
      <c r="C1123" s="88"/>
      <c r="D1123" s="74">
        <f t="shared" si="137"/>
        <v>0</v>
      </c>
      <c r="E1123" s="89">
        <f t="shared" si="139"/>
        <v>0</v>
      </c>
      <c r="F1123" s="491" t="e">
        <f t="shared" si="138"/>
        <v>#DIV/0!</v>
      </c>
      <c r="G1123" s="88"/>
      <c r="H1123" s="74"/>
      <c r="I1123" s="468" t="e">
        <f t="shared" si="135"/>
        <v>#DIV/0!</v>
      </c>
      <c r="J1123" s="126"/>
      <c r="K1123" s="89"/>
      <c r="L1123" s="391"/>
      <c r="M1123" s="89"/>
      <c r="N1123" s="89"/>
      <c r="O1123" s="368"/>
      <c r="P1123" s="89"/>
      <c r="Q1123" s="89"/>
      <c r="R1123" s="362"/>
    </row>
    <row r="1124" spans="1:18" s="118" customFormat="1" ht="15.75" customHeight="1">
      <c r="A1124" s="124">
        <v>4440</v>
      </c>
      <c r="B1124" s="291" t="s">
        <v>514</v>
      </c>
      <c r="C1124" s="88">
        <v>1300</v>
      </c>
      <c r="D1124" s="74">
        <f t="shared" si="137"/>
        <v>1300</v>
      </c>
      <c r="E1124" s="89">
        <f t="shared" si="139"/>
        <v>0</v>
      </c>
      <c r="F1124" s="491">
        <f t="shared" si="138"/>
        <v>0</v>
      </c>
      <c r="G1124" s="88">
        <v>1300</v>
      </c>
      <c r="H1124" s="74"/>
      <c r="I1124" s="468">
        <f t="shared" si="135"/>
        <v>0</v>
      </c>
      <c r="J1124" s="126"/>
      <c r="K1124" s="89"/>
      <c r="L1124" s="391"/>
      <c r="M1124" s="89"/>
      <c r="N1124" s="89"/>
      <c r="O1124" s="368"/>
      <c r="P1124" s="89"/>
      <c r="Q1124" s="89"/>
      <c r="R1124" s="362"/>
    </row>
    <row r="1125" spans="1:18" s="118" customFormat="1" ht="15.75" customHeight="1">
      <c r="A1125" s="124">
        <v>4480</v>
      </c>
      <c r="B1125" s="277" t="s">
        <v>516</v>
      </c>
      <c r="C1125" s="88">
        <v>900</v>
      </c>
      <c r="D1125" s="74">
        <f t="shared" si="137"/>
        <v>900</v>
      </c>
      <c r="E1125" s="89">
        <f t="shared" si="139"/>
        <v>842</v>
      </c>
      <c r="F1125" s="491">
        <f t="shared" si="138"/>
        <v>93.55555555555556</v>
      </c>
      <c r="G1125" s="88">
        <v>900</v>
      </c>
      <c r="H1125" s="74">
        <v>842</v>
      </c>
      <c r="I1125" s="280">
        <f t="shared" si="135"/>
        <v>93.55555555555556</v>
      </c>
      <c r="J1125" s="126"/>
      <c r="K1125" s="89"/>
      <c r="L1125" s="391"/>
      <c r="M1125" s="89"/>
      <c r="N1125" s="89"/>
      <c r="O1125" s="368"/>
      <c r="P1125" s="89"/>
      <c r="Q1125" s="89"/>
      <c r="R1125" s="362"/>
    </row>
    <row r="1126" spans="1:18" s="118" customFormat="1" ht="60">
      <c r="A1126" s="197">
        <v>4740</v>
      </c>
      <c r="B1126" s="198" t="s">
        <v>290</v>
      </c>
      <c r="C1126" s="160">
        <v>290</v>
      </c>
      <c r="D1126" s="161">
        <f t="shared" si="137"/>
        <v>0</v>
      </c>
      <c r="E1126" s="155">
        <f t="shared" si="139"/>
        <v>0</v>
      </c>
      <c r="F1126" s="527"/>
      <c r="G1126" s="160">
        <f>290-290</f>
        <v>0</v>
      </c>
      <c r="H1126" s="161"/>
      <c r="I1126" s="323"/>
      <c r="J1126" s="162"/>
      <c r="K1126" s="155"/>
      <c r="L1126" s="415"/>
      <c r="M1126" s="155"/>
      <c r="N1126" s="155"/>
      <c r="O1126" s="387"/>
      <c r="P1126" s="155"/>
      <c r="Q1126" s="155"/>
      <c r="R1126" s="366"/>
    </row>
    <row r="1127" spans="1:18" s="118" customFormat="1" ht="36">
      <c r="A1127" s="197">
        <v>4750</v>
      </c>
      <c r="B1127" s="198" t="s">
        <v>291</v>
      </c>
      <c r="C1127" s="160">
        <v>300</v>
      </c>
      <c r="D1127" s="161">
        <f t="shared" si="137"/>
        <v>0</v>
      </c>
      <c r="E1127" s="155">
        <f t="shared" si="139"/>
        <v>0</v>
      </c>
      <c r="F1127" s="527"/>
      <c r="G1127" s="160">
        <f>300-300</f>
        <v>0</v>
      </c>
      <c r="H1127" s="161"/>
      <c r="I1127" s="323"/>
      <c r="J1127" s="162"/>
      <c r="K1127" s="155"/>
      <c r="L1127" s="415"/>
      <c r="M1127" s="155"/>
      <c r="N1127" s="155"/>
      <c r="O1127" s="387"/>
      <c r="P1127" s="155"/>
      <c r="Q1127" s="155"/>
      <c r="R1127" s="366"/>
    </row>
    <row r="1128" spans="1:18" s="143" customFormat="1" ht="14.25" customHeight="1">
      <c r="A1128" s="201"/>
      <c r="B1128" s="296" t="s">
        <v>103</v>
      </c>
      <c r="C1128" s="203">
        <f>SUM(C1129:C1150)</f>
        <v>229300</v>
      </c>
      <c r="D1128" s="122">
        <f t="shared" si="137"/>
        <v>230300</v>
      </c>
      <c r="E1128" s="95">
        <f t="shared" si="139"/>
        <v>121417</v>
      </c>
      <c r="F1128" s="527">
        <f t="shared" si="138"/>
        <v>52.721233174120705</v>
      </c>
      <c r="G1128" s="203"/>
      <c r="H1128" s="122"/>
      <c r="I1128" s="323"/>
      <c r="J1128" s="204">
        <f>SUM(J1129:J1150)</f>
        <v>230300</v>
      </c>
      <c r="K1128" s="204">
        <f>SUM(K1129:K1150)</f>
        <v>121417</v>
      </c>
      <c r="L1128" s="316">
        <f>K1128/J1128*100</f>
        <v>52.721233174120705</v>
      </c>
      <c r="M1128" s="122"/>
      <c r="N1128" s="122"/>
      <c r="O1128" s="389"/>
      <c r="P1128" s="122"/>
      <c r="Q1128" s="122"/>
      <c r="R1128" s="371"/>
    </row>
    <row r="1129" spans="1:18" s="12" customFormat="1" ht="36" customHeight="1">
      <c r="A1129" s="172">
        <v>3020</v>
      </c>
      <c r="B1129" s="206" t="s">
        <v>562</v>
      </c>
      <c r="C1129" s="102">
        <v>200</v>
      </c>
      <c r="D1129" s="74">
        <f t="shared" si="137"/>
        <v>200</v>
      </c>
      <c r="E1129" s="89">
        <f>SUM(H1129+K1129+N1129+Q1129)</f>
        <v>15</v>
      </c>
      <c r="F1129" s="468">
        <f>E1129/D1129*100</f>
        <v>7.5</v>
      </c>
      <c r="G1129" s="174"/>
      <c r="H1129" s="74"/>
      <c r="I1129" s="280"/>
      <c r="J1129" s="175">
        <v>200</v>
      </c>
      <c r="K1129" s="175">
        <v>15</v>
      </c>
      <c r="L1129" s="224">
        <f>K1129/J1129*100</f>
        <v>7.5</v>
      </c>
      <c r="M1129" s="74"/>
      <c r="N1129" s="74"/>
      <c r="O1129" s="368"/>
      <c r="P1129" s="74"/>
      <c r="Q1129" s="74"/>
      <c r="R1129" s="362"/>
    </row>
    <row r="1130" spans="1:18" s="12" customFormat="1" ht="24">
      <c r="A1130" s="124">
        <v>4010</v>
      </c>
      <c r="B1130" s="277" t="s">
        <v>492</v>
      </c>
      <c r="C1130" s="174">
        <v>121500</v>
      </c>
      <c r="D1130" s="74">
        <f t="shared" si="137"/>
        <v>121500</v>
      </c>
      <c r="E1130" s="89">
        <f t="shared" si="139"/>
        <v>65649</v>
      </c>
      <c r="F1130" s="468">
        <f t="shared" si="138"/>
        <v>54.0320987654321</v>
      </c>
      <c r="G1130" s="174"/>
      <c r="H1130" s="74"/>
      <c r="I1130" s="280"/>
      <c r="J1130" s="174">
        <v>121500</v>
      </c>
      <c r="K1130" s="175">
        <f>65650-1</f>
        <v>65649</v>
      </c>
      <c r="L1130" s="224">
        <f>K1130/J1130*100</f>
        <v>54.0320987654321</v>
      </c>
      <c r="M1130" s="74"/>
      <c r="N1130" s="74"/>
      <c r="O1130" s="368"/>
      <c r="P1130" s="74"/>
      <c r="Q1130" s="74"/>
      <c r="R1130" s="362"/>
    </row>
    <row r="1131" spans="1:18" s="12" customFormat="1" ht="24">
      <c r="A1131" s="124">
        <v>4040</v>
      </c>
      <c r="B1131" s="277" t="s">
        <v>541</v>
      </c>
      <c r="C1131" s="174">
        <v>11300</v>
      </c>
      <c r="D1131" s="74">
        <f t="shared" si="137"/>
        <v>11300</v>
      </c>
      <c r="E1131" s="89">
        <f t="shared" si="139"/>
        <v>9869</v>
      </c>
      <c r="F1131" s="468">
        <f t="shared" si="138"/>
        <v>87.33628318584071</v>
      </c>
      <c r="G1131" s="174"/>
      <c r="H1131" s="74"/>
      <c r="I1131" s="280"/>
      <c r="J1131" s="174">
        <v>11300</v>
      </c>
      <c r="K1131" s="175">
        <v>9869</v>
      </c>
      <c r="L1131" s="224">
        <f aca="true" t="shared" si="140" ref="L1131:L1147">K1131/J1131*100</f>
        <v>87.33628318584071</v>
      </c>
      <c r="M1131" s="74"/>
      <c r="N1131" s="74"/>
      <c r="O1131" s="368"/>
      <c r="P1131" s="74"/>
      <c r="Q1131" s="74"/>
      <c r="R1131" s="362"/>
    </row>
    <row r="1132" spans="1:18" s="12" customFormat="1" ht="24">
      <c r="A1132" s="124">
        <v>4110</v>
      </c>
      <c r="B1132" s="277" t="s">
        <v>498</v>
      </c>
      <c r="C1132" s="174">
        <v>21300</v>
      </c>
      <c r="D1132" s="74">
        <f t="shared" si="137"/>
        <v>21300</v>
      </c>
      <c r="E1132" s="89">
        <f t="shared" si="139"/>
        <v>11747</v>
      </c>
      <c r="F1132" s="468">
        <f t="shared" si="138"/>
        <v>55.15023474178403</v>
      </c>
      <c r="G1132" s="174"/>
      <c r="H1132" s="74"/>
      <c r="I1132" s="280"/>
      <c r="J1132" s="174">
        <v>21300</v>
      </c>
      <c r="K1132" s="175">
        <v>11747</v>
      </c>
      <c r="L1132" s="224">
        <f t="shared" si="140"/>
        <v>55.15023474178403</v>
      </c>
      <c r="M1132" s="74"/>
      <c r="N1132" s="74"/>
      <c r="O1132" s="368"/>
      <c r="P1132" s="74"/>
      <c r="Q1132" s="74"/>
      <c r="R1132" s="362"/>
    </row>
    <row r="1133" spans="1:18" s="12" customFormat="1" ht="14.25" customHeight="1">
      <c r="A1133" s="124">
        <v>4120</v>
      </c>
      <c r="B1133" s="277" t="s">
        <v>571</v>
      </c>
      <c r="C1133" s="174">
        <v>3300</v>
      </c>
      <c r="D1133" s="74">
        <f t="shared" si="137"/>
        <v>3300</v>
      </c>
      <c r="E1133" s="89">
        <f t="shared" si="139"/>
        <v>1797</v>
      </c>
      <c r="F1133" s="468">
        <f>E1133/D1133*100</f>
        <v>54.45454545454545</v>
      </c>
      <c r="G1133" s="174"/>
      <c r="H1133" s="74"/>
      <c r="I1133" s="280"/>
      <c r="J1133" s="174">
        <v>3300</v>
      </c>
      <c r="K1133" s="175">
        <v>1797</v>
      </c>
      <c r="L1133" s="224">
        <f t="shared" si="140"/>
        <v>54.45454545454545</v>
      </c>
      <c r="M1133" s="74"/>
      <c r="N1133" s="74"/>
      <c r="O1133" s="368"/>
      <c r="P1133" s="74"/>
      <c r="Q1133" s="74"/>
      <c r="R1133" s="362"/>
    </row>
    <row r="1134" spans="1:18" s="12" customFormat="1" ht="24" hidden="1">
      <c r="A1134" s="124">
        <v>4170</v>
      </c>
      <c r="B1134" s="277" t="s">
        <v>536</v>
      </c>
      <c r="C1134" s="174"/>
      <c r="D1134" s="74">
        <f t="shared" si="137"/>
        <v>0</v>
      </c>
      <c r="E1134" s="89">
        <f>SUM(H1134+K1134+N1134+Q1134)</f>
        <v>0</v>
      </c>
      <c r="F1134" s="468" t="e">
        <f>E1134/D1134*100</f>
        <v>#DIV/0!</v>
      </c>
      <c r="G1134" s="174"/>
      <c r="H1134" s="74"/>
      <c r="I1134" s="280"/>
      <c r="J1134" s="174"/>
      <c r="K1134" s="175"/>
      <c r="L1134" s="224" t="e">
        <f t="shared" si="140"/>
        <v>#DIV/0!</v>
      </c>
      <c r="M1134" s="74"/>
      <c r="N1134" s="74"/>
      <c r="O1134" s="368"/>
      <c r="P1134" s="74"/>
      <c r="Q1134" s="74"/>
      <c r="R1134" s="362"/>
    </row>
    <row r="1135" spans="1:18" s="12" customFormat="1" ht="24">
      <c r="A1135" s="124">
        <v>4210</v>
      </c>
      <c r="B1135" s="277" t="s">
        <v>502</v>
      </c>
      <c r="C1135" s="174">
        <v>10400</v>
      </c>
      <c r="D1135" s="74">
        <f t="shared" si="137"/>
        <v>10400</v>
      </c>
      <c r="E1135" s="89">
        <f t="shared" si="139"/>
        <v>1713</v>
      </c>
      <c r="F1135" s="468">
        <f aca="true" t="shared" si="141" ref="F1135:F1178">E1135/D1135*100</f>
        <v>16.471153846153847</v>
      </c>
      <c r="G1135" s="174"/>
      <c r="H1135" s="74"/>
      <c r="I1135" s="280"/>
      <c r="J1135" s="174">
        <v>10400</v>
      </c>
      <c r="K1135" s="175">
        <v>1713</v>
      </c>
      <c r="L1135" s="224">
        <f t="shared" si="140"/>
        <v>16.471153846153847</v>
      </c>
      <c r="M1135" s="74"/>
      <c r="N1135" s="74"/>
      <c r="O1135" s="368"/>
      <c r="P1135" s="74"/>
      <c r="Q1135" s="74"/>
      <c r="R1135" s="362"/>
    </row>
    <row r="1136" spans="1:18" s="12" customFormat="1" ht="24">
      <c r="A1136" s="124">
        <v>4220</v>
      </c>
      <c r="B1136" s="277" t="s">
        <v>12</v>
      </c>
      <c r="C1136" s="174">
        <v>8700</v>
      </c>
      <c r="D1136" s="74">
        <f t="shared" si="137"/>
        <v>8700</v>
      </c>
      <c r="E1136" s="89">
        <f t="shared" si="139"/>
        <v>4814</v>
      </c>
      <c r="F1136" s="468">
        <f t="shared" si="141"/>
        <v>55.333333333333336</v>
      </c>
      <c r="G1136" s="174"/>
      <c r="H1136" s="74"/>
      <c r="I1136" s="280"/>
      <c r="J1136" s="174">
        <v>8700</v>
      </c>
      <c r="K1136" s="175">
        <v>4814</v>
      </c>
      <c r="L1136" s="224">
        <f t="shared" si="140"/>
        <v>55.333333333333336</v>
      </c>
      <c r="M1136" s="74"/>
      <c r="N1136" s="74"/>
      <c r="O1136" s="368"/>
      <c r="P1136" s="74"/>
      <c r="Q1136" s="74"/>
      <c r="R1136" s="362"/>
    </row>
    <row r="1137" spans="1:18" s="12" customFormat="1" ht="24">
      <c r="A1137" s="124">
        <v>4230</v>
      </c>
      <c r="B1137" s="277" t="s">
        <v>504</v>
      </c>
      <c r="C1137" s="174">
        <v>100</v>
      </c>
      <c r="D1137" s="74">
        <f t="shared" si="137"/>
        <v>100</v>
      </c>
      <c r="E1137" s="89">
        <f t="shared" si="139"/>
        <v>0</v>
      </c>
      <c r="F1137" s="468">
        <f t="shared" si="141"/>
        <v>0</v>
      </c>
      <c r="G1137" s="174"/>
      <c r="H1137" s="74"/>
      <c r="I1137" s="280"/>
      <c r="J1137" s="174">
        <v>100</v>
      </c>
      <c r="K1137" s="175"/>
      <c r="L1137" s="224">
        <f t="shared" si="140"/>
        <v>0</v>
      </c>
      <c r="M1137" s="74"/>
      <c r="N1137" s="74"/>
      <c r="O1137" s="368"/>
      <c r="P1137" s="74"/>
      <c r="Q1137" s="74"/>
      <c r="R1137" s="362"/>
    </row>
    <row r="1138" spans="1:18" s="12" customFormat="1" ht="14.25" customHeight="1">
      <c r="A1138" s="124">
        <v>4260</v>
      </c>
      <c r="B1138" s="277" t="s">
        <v>506</v>
      </c>
      <c r="C1138" s="174">
        <v>13100</v>
      </c>
      <c r="D1138" s="74">
        <f t="shared" si="137"/>
        <v>13100</v>
      </c>
      <c r="E1138" s="89">
        <f t="shared" si="139"/>
        <v>6698</v>
      </c>
      <c r="F1138" s="468">
        <f t="shared" si="141"/>
        <v>51.12977099236641</v>
      </c>
      <c r="G1138" s="174"/>
      <c r="H1138" s="74"/>
      <c r="I1138" s="280"/>
      <c r="J1138" s="174">
        <v>13100</v>
      </c>
      <c r="K1138" s="175">
        <v>6698</v>
      </c>
      <c r="L1138" s="224">
        <f t="shared" si="140"/>
        <v>51.12977099236641</v>
      </c>
      <c r="M1138" s="74"/>
      <c r="N1138" s="74"/>
      <c r="O1138" s="368"/>
      <c r="P1138" s="74"/>
      <c r="Q1138" s="74"/>
      <c r="R1138" s="362"/>
    </row>
    <row r="1139" spans="1:18" s="12" customFormat="1" ht="14.25" customHeight="1" hidden="1">
      <c r="A1139" s="124">
        <v>4270</v>
      </c>
      <c r="B1139" s="277" t="s">
        <v>508</v>
      </c>
      <c r="C1139" s="174"/>
      <c r="D1139" s="74">
        <f t="shared" si="137"/>
        <v>0</v>
      </c>
      <c r="E1139" s="89">
        <f>SUM(H1139+K1139+N1139+Q1139)</f>
        <v>0</v>
      </c>
      <c r="F1139" s="468" t="e">
        <f>E1139/D1139*100</f>
        <v>#DIV/0!</v>
      </c>
      <c r="G1139" s="174"/>
      <c r="H1139" s="74"/>
      <c r="I1139" s="280"/>
      <c r="J1139" s="174"/>
      <c r="K1139" s="175"/>
      <c r="L1139" s="224" t="e">
        <f t="shared" si="140"/>
        <v>#DIV/0!</v>
      </c>
      <c r="M1139" s="74"/>
      <c r="N1139" s="74"/>
      <c r="O1139" s="368"/>
      <c r="P1139" s="74"/>
      <c r="Q1139" s="74"/>
      <c r="R1139" s="362"/>
    </row>
    <row r="1140" spans="1:18" s="12" customFormat="1" ht="14.25" customHeight="1">
      <c r="A1140" s="124">
        <v>4280</v>
      </c>
      <c r="B1140" s="277" t="s">
        <v>545</v>
      </c>
      <c r="C1140" s="174">
        <v>200</v>
      </c>
      <c r="D1140" s="74">
        <f t="shared" si="137"/>
        <v>200</v>
      </c>
      <c r="E1140" s="89">
        <f>SUM(H1140+K1140+N1140+Q1140)</f>
        <v>0</v>
      </c>
      <c r="F1140" s="468">
        <f>E1140/D1140*100</f>
        <v>0</v>
      </c>
      <c r="G1140" s="174"/>
      <c r="H1140" s="74"/>
      <c r="I1140" s="280"/>
      <c r="J1140" s="174">
        <v>200</v>
      </c>
      <c r="K1140" s="175"/>
      <c r="L1140" s="224">
        <f t="shared" si="140"/>
        <v>0</v>
      </c>
      <c r="M1140" s="74"/>
      <c r="N1140" s="74"/>
      <c r="O1140" s="368"/>
      <c r="P1140" s="74"/>
      <c r="Q1140" s="74"/>
      <c r="R1140" s="362"/>
    </row>
    <row r="1141" spans="1:18" s="12" customFormat="1" ht="14.25" customHeight="1">
      <c r="A1141" s="124">
        <v>4300</v>
      </c>
      <c r="B1141" s="277" t="s">
        <v>546</v>
      </c>
      <c r="C1141" s="174">
        <v>11400</v>
      </c>
      <c r="D1141" s="74">
        <f t="shared" si="137"/>
        <v>11400</v>
      </c>
      <c r="E1141" s="89">
        <f t="shared" si="139"/>
        <v>3140</v>
      </c>
      <c r="F1141" s="468">
        <f t="shared" si="141"/>
        <v>27.54385964912281</v>
      </c>
      <c r="G1141" s="174"/>
      <c r="H1141" s="74"/>
      <c r="I1141" s="280"/>
      <c r="J1141" s="174">
        <v>11400</v>
      </c>
      <c r="K1141" s="175">
        <v>3140</v>
      </c>
      <c r="L1141" s="224">
        <f t="shared" si="140"/>
        <v>27.54385964912281</v>
      </c>
      <c r="M1141" s="74"/>
      <c r="N1141" s="74"/>
      <c r="O1141" s="368"/>
      <c r="P1141" s="74"/>
      <c r="Q1141" s="74"/>
      <c r="R1141" s="362"/>
    </row>
    <row r="1142" spans="1:18" s="12" customFormat="1" ht="24">
      <c r="A1142" s="124">
        <v>4350</v>
      </c>
      <c r="B1142" s="128" t="s">
        <v>48</v>
      </c>
      <c r="C1142" s="174">
        <v>1000</v>
      </c>
      <c r="D1142" s="74">
        <f t="shared" si="137"/>
        <v>1000</v>
      </c>
      <c r="E1142" s="89">
        <f>SUM(H1142+K1142+N1142+Q1142)</f>
        <v>576</v>
      </c>
      <c r="F1142" s="468">
        <f>E1142/D1142*100</f>
        <v>57.599999999999994</v>
      </c>
      <c r="G1142" s="174"/>
      <c r="H1142" s="74"/>
      <c r="I1142" s="280"/>
      <c r="J1142" s="174">
        <v>1000</v>
      </c>
      <c r="K1142" s="175">
        <v>576</v>
      </c>
      <c r="L1142" s="224">
        <f t="shared" si="140"/>
        <v>57.599999999999994</v>
      </c>
      <c r="M1142" s="74"/>
      <c r="N1142" s="74"/>
      <c r="O1142" s="368"/>
      <c r="P1142" s="74"/>
      <c r="Q1142" s="74"/>
      <c r="R1142" s="362"/>
    </row>
    <row r="1143" spans="1:18" s="12" customFormat="1" ht="48">
      <c r="A1143" s="172">
        <v>4370</v>
      </c>
      <c r="B1143" s="337" t="s">
        <v>298</v>
      </c>
      <c r="C1143" s="174">
        <v>2400</v>
      </c>
      <c r="D1143" s="74">
        <f t="shared" si="137"/>
        <v>2400</v>
      </c>
      <c r="E1143" s="89">
        <f>SUM(H1143+K1143+N1143+Q1143)</f>
        <v>1303</v>
      </c>
      <c r="F1143" s="468">
        <f>E1143/D1143*100</f>
        <v>54.29166666666667</v>
      </c>
      <c r="G1143" s="174"/>
      <c r="H1143" s="74"/>
      <c r="I1143" s="280"/>
      <c r="J1143" s="174">
        <v>2400</v>
      </c>
      <c r="K1143" s="175">
        <v>1303</v>
      </c>
      <c r="L1143" s="224">
        <f t="shared" si="140"/>
        <v>54.29166666666667</v>
      </c>
      <c r="M1143" s="74"/>
      <c r="N1143" s="74"/>
      <c r="O1143" s="368"/>
      <c r="P1143" s="74"/>
      <c r="Q1143" s="74"/>
      <c r="R1143" s="362"/>
    </row>
    <row r="1144" spans="1:18" s="12" customFormat="1" ht="24">
      <c r="A1144" s="172">
        <v>4400</v>
      </c>
      <c r="B1144" s="337" t="s">
        <v>289</v>
      </c>
      <c r="C1144" s="174">
        <v>17100</v>
      </c>
      <c r="D1144" s="74">
        <f t="shared" si="137"/>
        <v>17100</v>
      </c>
      <c r="E1144" s="89">
        <f>SUM(H1144+K1144+N1144+Q1144)</f>
        <v>8513</v>
      </c>
      <c r="F1144" s="468">
        <f>E1144/D1144*100</f>
        <v>49.78362573099415</v>
      </c>
      <c r="G1144" s="174"/>
      <c r="H1144" s="74"/>
      <c r="I1144" s="280"/>
      <c r="J1144" s="174">
        <v>17100</v>
      </c>
      <c r="K1144" s="175">
        <v>8513</v>
      </c>
      <c r="L1144" s="224">
        <f t="shared" si="140"/>
        <v>49.78362573099415</v>
      </c>
      <c r="M1144" s="74"/>
      <c r="N1144" s="74"/>
      <c r="O1144" s="368"/>
      <c r="P1144" s="74"/>
      <c r="Q1144" s="74"/>
      <c r="R1144" s="362"/>
    </row>
    <row r="1145" spans="1:18" s="12" customFormat="1" ht="24">
      <c r="A1145" s="172">
        <v>4410</v>
      </c>
      <c r="B1145" s="206" t="s">
        <v>484</v>
      </c>
      <c r="C1145" s="174">
        <v>200</v>
      </c>
      <c r="D1145" s="74">
        <f t="shared" si="137"/>
        <v>200</v>
      </c>
      <c r="E1145" s="89">
        <f>SUM(H1145+K1145+N1145+Q1145)</f>
        <v>0</v>
      </c>
      <c r="F1145" s="468">
        <f>E1145/D1145*100</f>
        <v>0</v>
      </c>
      <c r="G1145" s="174"/>
      <c r="H1145" s="74"/>
      <c r="I1145" s="280"/>
      <c r="J1145" s="174">
        <v>200</v>
      </c>
      <c r="K1145" s="175"/>
      <c r="L1145" s="224">
        <f t="shared" si="140"/>
        <v>0</v>
      </c>
      <c r="M1145" s="74"/>
      <c r="N1145" s="74"/>
      <c r="O1145" s="368"/>
      <c r="P1145" s="74"/>
      <c r="Q1145" s="74"/>
      <c r="R1145" s="362"/>
    </row>
    <row r="1146" spans="1:18" s="12" customFormat="1" ht="14.25" customHeight="1">
      <c r="A1146" s="124">
        <v>4430</v>
      </c>
      <c r="B1146" s="277" t="s">
        <v>512</v>
      </c>
      <c r="C1146" s="174">
        <v>100</v>
      </c>
      <c r="D1146" s="74">
        <f t="shared" si="137"/>
        <v>100</v>
      </c>
      <c r="E1146" s="89">
        <f t="shared" si="139"/>
        <v>0</v>
      </c>
      <c r="F1146" s="468">
        <f t="shared" si="141"/>
        <v>0</v>
      </c>
      <c r="G1146" s="174"/>
      <c r="H1146" s="74"/>
      <c r="I1146" s="280"/>
      <c r="J1146" s="174">
        <v>100</v>
      </c>
      <c r="K1146" s="175"/>
      <c r="L1146" s="224">
        <f t="shared" si="140"/>
        <v>0</v>
      </c>
      <c r="M1146" s="74"/>
      <c r="N1146" s="74"/>
      <c r="O1146" s="368"/>
      <c r="P1146" s="74"/>
      <c r="Q1146" s="74"/>
      <c r="R1146" s="362"/>
    </row>
    <row r="1147" spans="1:18" s="12" customFormat="1" ht="14.25" customHeight="1">
      <c r="A1147" s="124">
        <v>4440</v>
      </c>
      <c r="B1147" s="277" t="s">
        <v>514</v>
      </c>
      <c r="C1147" s="174">
        <v>4700</v>
      </c>
      <c r="D1147" s="74">
        <f t="shared" si="137"/>
        <v>4700</v>
      </c>
      <c r="E1147" s="89">
        <f t="shared" si="139"/>
        <v>4306</v>
      </c>
      <c r="F1147" s="468">
        <f t="shared" si="141"/>
        <v>91.61702127659575</v>
      </c>
      <c r="G1147" s="174"/>
      <c r="H1147" s="74"/>
      <c r="I1147" s="280"/>
      <c r="J1147" s="174">
        <v>4700</v>
      </c>
      <c r="K1147" s="175">
        <v>4306</v>
      </c>
      <c r="L1147" s="224">
        <f t="shared" si="140"/>
        <v>91.61702127659575</v>
      </c>
      <c r="M1147" s="74"/>
      <c r="N1147" s="74"/>
      <c r="O1147" s="368"/>
      <c r="P1147" s="74"/>
      <c r="Q1147" s="74"/>
      <c r="R1147" s="362"/>
    </row>
    <row r="1148" spans="1:18" s="12" customFormat="1" ht="13.5" customHeight="1">
      <c r="A1148" s="124">
        <v>4480</v>
      </c>
      <c r="B1148" s="291" t="s">
        <v>516</v>
      </c>
      <c r="C1148" s="174">
        <v>1100</v>
      </c>
      <c r="D1148" s="74">
        <f t="shared" si="137"/>
        <v>2100</v>
      </c>
      <c r="E1148" s="89">
        <f t="shared" si="139"/>
        <v>1028</v>
      </c>
      <c r="F1148" s="468">
        <f t="shared" si="141"/>
        <v>48.952380952380956</v>
      </c>
      <c r="G1148" s="174"/>
      <c r="H1148" s="74"/>
      <c r="I1148" s="280"/>
      <c r="J1148" s="174">
        <f>1100+1000</f>
        <v>2100</v>
      </c>
      <c r="K1148" s="175">
        <v>1028</v>
      </c>
      <c r="L1148" s="224">
        <f>K1148/J1148*100</f>
        <v>48.952380952380956</v>
      </c>
      <c r="M1148" s="74"/>
      <c r="N1148" s="74"/>
      <c r="O1148" s="368"/>
      <c r="P1148" s="74"/>
      <c r="Q1148" s="74"/>
      <c r="R1148" s="362"/>
    </row>
    <row r="1149" spans="1:18" s="12" customFormat="1" ht="60">
      <c r="A1149" s="197">
        <v>4740</v>
      </c>
      <c r="B1149" s="198" t="s">
        <v>290</v>
      </c>
      <c r="C1149" s="176">
        <v>600</v>
      </c>
      <c r="D1149" s="161">
        <f t="shared" si="137"/>
        <v>600</v>
      </c>
      <c r="E1149" s="155">
        <f>SUM(H1149+K1149+N1149+Q1149)</f>
        <v>13</v>
      </c>
      <c r="F1149" s="469">
        <f>E1149/D1149*100</f>
        <v>2.166666666666667</v>
      </c>
      <c r="G1149" s="176"/>
      <c r="H1149" s="161"/>
      <c r="I1149" s="323"/>
      <c r="J1149" s="176">
        <v>600</v>
      </c>
      <c r="K1149" s="177">
        <v>13</v>
      </c>
      <c r="L1149" s="274">
        <f>K1149/J1149*100</f>
        <v>2.166666666666667</v>
      </c>
      <c r="M1149" s="161"/>
      <c r="N1149" s="161"/>
      <c r="O1149" s="387"/>
      <c r="P1149" s="161"/>
      <c r="Q1149" s="161"/>
      <c r="R1149" s="366"/>
    </row>
    <row r="1150" spans="1:18" s="12" customFormat="1" ht="36">
      <c r="A1150" s="197">
        <v>4750</v>
      </c>
      <c r="B1150" s="198" t="s">
        <v>291</v>
      </c>
      <c r="C1150" s="176">
        <v>600</v>
      </c>
      <c r="D1150" s="161">
        <f t="shared" si="137"/>
        <v>600</v>
      </c>
      <c r="E1150" s="155">
        <f t="shared" si="139"/>
        <v>236</v>
      </c>
      <c r="F1150" s="469">
        <f t="shared" si="141"/>
        <v>39.33333333333333</v>
      </c>
      <c r="G1150" s="176"/>
      <c r="H1150" s="161"/>
      <c r="I1150" s="323"/>
      <c r="J1150" s="176">
        <v>600</v>
      </c>
      <c r="K1150" s="177">
        <v>236</v>
      </c>
      <c r="L1150" s="274">
        <f>K1150/J1150*100</f>
        <v>39.33333333333333</v>
      </c>
      <c r="M1150" s="161"/>
      <c r="N1150" s="161"/>
      <c r="O1150" s="387"/>
      <c r="P1150" s="161"/>
      <c r="Q1150" s="161"/>
      <c r="R1150" s="366"/>
    </row>
    <row r="1151" spans="1:18" s="143" customFormat="1" ht="24">
      <c r="A1151" s="150"/>
      <c r="B1151" s="299" t="s">
        <v>212</v>
      </c>
      <c r="C1151" s="94">
        <f>SUM(C1152:C1171)</f>
        <v>231300</v>
      </c>
      <c r="D1151" s="95">
        <f t="shared" si="137"/>
        <v>230300</v>
      </c>
      <c r="E1151" s="95">
        <f>H1151+K1151+Q1151+N1151</f>
        <v>123561</v>
      </c>
      <c r="F1151" s="523">
        <f t="shared" si="141"/>
        <v>53.652192792010425</v>
      </c>
      <c r="G1151" s="94"/>
      <c r="H1151" s="95"/>
      <c r="I1151" s="413"/>
      <c r="J1151" s="171">
        <f>SUM(J1152:J1171)</f>
        <v>230300</v>
      </c>
      <c r="K1151" s="171">
        <f>SUM(K1152:K1171)</f>
        <v>123561</v>
      </c>
      <c r="L1151" s="316">
        <f>K1151/J1151*100</f>
        <v>53.652192792010425</v>
      </c>
      <c r="M1151" s="95"/>
      <c r="N1151" s="95"/>
      <c r="O1151" s="402"/>
      <c r="P1151" s="95"/>
      <c r="Q1151" s="95"/>
      <c r="R1151" s="370"/>
    </row>
    <row r="1152" spans="1:18" s="12" customFormat="1" ht="36" customHeight="1">
      <c r="A1152" s="172">
        <v>3020</v>
      </c>
      <c r="B1152" s="206" t="s">
        <v>562</v>
      </c>
      <c r="C1152" s="102">
        <v>200</v>
      </c>
      <c r="D1152" s="74">
        <f t="shared" si="137"/>
        <v>200</v>
      </c>
      <c r="E1152" s="89">
        <f>SUM(H1152+K1152+N1152+Q1152)</f>
        <v>20</v>
      </c>
      <c r="F1152" s="468">
        <f t="shared" si="141"/>
        <v>10</v>
      </c>
      <c r="G1152" s="174"/>
      <c r="H1152" s="74"/>
      <c r="I1152" s="280"/>
      <c r="J1152" s="175">
        <v>200</v>
      </c>
      <c r="K1152" s="175">
        <v>20</v>
      </c>
      <c r="L1152" s="224">
        <f>K1152/J1152*100</f>
        <v>10</v>
      </c>
      <c r="M1152" s="74"/>
      <c r="N1152" s="74"/>
      <c r="O1152" s="368"/>
      <c r="P1152" s="74"/>
      <c r="Q1152" s="74"/>
      <c r="R1152" s="362"/>
    </row>
    <row r="1153" spans="1:18" s="118" customFormat="1" ht="24.75" customHeight="1">
      <c r="A1153" s="124">
        <v>4010</v>
      </c>
      <c r="B1153" s="277" t="s">
        <v>492</v>
      </c>
      <c r="C1153" s="88">
        <v>121000</v>
      </c>
      <c r="D1153" s="74">
        <f t="shared" si="137"/>
        <v>121000</v>
      </c>
      <c r="E1153" s="74">
        <f>H1153+K1153+Q1153+N1153</f>
        <v>65756</v>
      </c>
      <c r="F1153" s="491">
        <f t="shared" si="141"/>
        <v>54.343801652892566</v>
      </c>
      <c r="G1153" s="174"/>
      <c r="H1153" s="74"/>
      <c r="I1153" s="280"/>
      <c r="J1153" s="88">
        <v>121000</v>
      </c>
      <c r="K1153" s="89">
        <v>65756</v>
      </c>
      <c r="L1153" s="224">
        <f aca="true" t="shared" si="142" ref="L1153:L1171">K1153/J1153*100</f>
        <v>54.343801652892566</v>
      </c>
      <c r="M1153" s="89"/>
      <c r="N1153" s="89"/>
      <c r="O1153" s="368"/>
      <c r="P1153" s="89"/>
      <c r="Q1153" s="89"/>
      <c r="R1153" s="362"/>
    </row>
    <row r="1154" spans="1:18" s="118" customFormat="1" ht="27" customHeight="1">
      <c r="A1154" s="124">
        <v>4040</v>
      </c>
      <c r="B1154" s="277" t="s">
        <v>541</v>
      </c>
      <c r="C1154" s="88">
        <v>10500</v>
      </c>
      <c r="D1154" s="74">
        <f t="shared" si="137"/>
        <v>10500</v>
      </c>
      <c r="E1154" s="74">
        <f>H1154+K1154+Q1154+N1154</f>
        <v>9531</v>
      </c>
      <c r="F1154" s="491">
        <f t="shared" si="141"/>
        <v>90.77142857142857</v>
      </c>
      <c r="G1154" s="174"/>
      <c r="H1154" s="74"/>
      <c r="I1154" s="280"/>
      <c r="J1154" s="88">
        <v>10500</v>
      </c>
      <c r="K1154" s="89">
        <v>9531</v>
      </c>
      <c r="L1154" s="224">
        <f t="shared" si="142"/>
        <v>90.77142857142857</v>
      </c>
      <c r="M1154" s="89"/>
      <c r="N1154" s="89"/>
      <c r="O1154" s="368"/>
      <c r="P1154" s="89"/>
      <c r="Q1154" s="89"/>
      <c r="R1154" s="362"/>
    </row>
    <row r="1155" spans="1:18" s="118" customFormat="1" ht="24" customHeight="1">
      <c r="A1155" s="124">
        <v>4110</v>
      </c>
      <c r="B1155" s="277" t="s">
        <v>498</v>
      </c>
      <c r="C1155" s="88">
        <v>20900</v>
      </c>
      <c r="D1155" s="74">
        <f t="shared" si="137"/>
        <v>20900</v>
      </c>
      <c r="E1155" s="74">
        <f t="shared" si="137"/>
        <v>11957</v>
      </c>
      <c r="F1155" s="491">
        <f t="shared" si="141"/>
        <v>57.21052631578948</v>
      </c>
      <c r="G1155" s="174"/>
      <c r="H1155" s="74"/>
      <c r="I1155" s="280"/>
      <c r="J1155" s="88">
        <v>20900</v>
      </c>
      <c r="K1155" s="89">
        <v>11957</v>
      </c>
      <c r="L1155" s="224">
        <f t="shared" si="142"/>
        <v>57.21052631578948</v>
      </c>
      <c r="M1155" s="89"/>
      <c r="N1155" s="89"/>
      <c r="O1155" s="368"/>
      <c r="P1155" s="89"/>
      <c r="Q1155" s="89"/>
      <c r="R1155" s="362"/>
    </row>
    <row r="1156" spans="1:18" s="118" customFormat="1" ht="14.25" customHeight="1">
      <c r="A1156" s="124">
        <v>4120</v>
      </c>
      <c r="B1156" s="277" t="s">
        <v>571</v>
      </c>
      <c r="C1156" s="88">
        <v>3200</v>
      </c>
      <c r="D1156" s="74">
        <f t="shared" si="137"/>
        <v>3200</v>
      </c>
      <c r="E1156" s="74">
        <f t="shared" si="137"/>
        <v>1829</v>
      </c>
      <c r="F1156" s="491">
        <f t="shared" si="141"/>
        <v>57.15625</v>
      </c>
      <c r="G1156" s="174"/>
      <c r="H1156" s="74"/>
      <c r="I1156" s="280"/>
      <c r="J1156" s="88">
        <v>3200</v>
      </c>
      <c r="K1156" s="89">
        <v>1829</v>
      </c>
      <c r="L1156" s="224">
        <f t="shared" si="142"/>
        <v>57.15625</v>
      </c>
      <c r="M1156" s="89"/>
      <c r="N1156" s="89"/>
      <c r="O1156" s="368"/>
      <c r="P1156" s="89"/>
      <c r="Q1156" s="89"/>
      <c r="R1156" s="362"/>
    </row>
    <row r="1157" spans="1:18" s="118" customFormat="1" ht="24" hidden="1">
      <c r="A1157" s="124">
        <v>4170</v>
      </c>
      <c r="B1157" s="277" t="s">
        <v>536</v>
      </c>
      <c r="C1157" s="88"/>
      <c r="D1157" s="74">
        <f>G1157+J1157+P1157+M1157</f>
        <v>0</v>
      </c>
      <c r="E1157" s="74">
        <f>H1157+K1157+Q1157+N1157</f>
        <v>0</v>
      </c>
      <c r="F1157" s="491" t="e">
        <f>E1157/D1157*100</f>
        <v>#DIV/0!</v>
      </c>
      <c r="G1157" s="174"/>
      <c r="H1157" s="74"/>
      <c r="I1157" s="280"/>
      <c r="J1157" s="88"/>
      <c r="K1157" s="89"/>
      <c r="L1157" s="224"/>
      <c r="M1157" s="89"/>
      <c r="N1157" s="89"/>
      <c r="O1157" s="368"/>
      <c r="P1157" s="89"/>
      <c r="Q1157" s="89"/>
      <c r="R1157" s="362"/>
    </row>
    <row r="1158" spans="1:18" s="118" customFormat="1" ht="24" customHeight="1">
      <c r="A1158" s="124">
        <v>4210</v>
      </c>
      <c r="B1158" s="277" t="s">
        <v>502</v>
      </c>
      <c r="C1158" s="88">
        <v>5300</v>
      </c>
      <c r="D1158" s="74">
        <f t="shared" si="137"/>
        <v>5300</v>
      </c>
      <c r="E1158" s="74">
        <f t="shared" si="137"/>
        <v>412</v>
      </c>
      <c r="F1158" s="491">
        <f t="shared" si="141"/>
        <v>7.773584905660377</v>
      </c>
      <c r="G1158" s="174"/>
      <c r="H1158" s="74"/>
      <c r="I1158" s="280"/>
      <c r="J1158" s="88">
        <v>5300</v>
      </c>
      <c r="K1158" s="89">
        <v>412</v>
      </c>
      <c r="L1158" s="224">
        <f t="shared" si="142"/>
        <v>7.773584905660377</v>
      </c>
      <c r="M1158" s="89"/>
      <c r="N1158" s="89"/>
      <c r="O1158" s="368"/>
      <c r="P1158" s="89"/>
      <c r="Q1158" s="89"/>
      <c r="R1158" s="362"/>
    </row>
    <row r="1159" spans="1:18" s="118" customFormat="1" ht="24">
      <c r="A1159" s="124">
        <v>4220</v>
      </c>
      <c r="B1159" s="277" t="s">
        <v>12</v>
      </c>
      <c r="C1159" s="88">
        <v>6100</v>
      </c>
      <c r="D1159" s="74">
        <f t="shared" si="137"/>
        <v>6100</v>
      </c>
      <c r="E1159" s="74">
        <f t="shared" si="137"/>
        <v>2679</v>
      </c>
      <c r="F1159" s="491">
        <f t="shared" si="141"/>
        <v>43.91803278688525</v>
      </c>
      <c r="G1159" s="174"/>
      <c r="H1159" s="74"/>
      <c r="I1159" s="280"/>
      <c r="J1159" s="88">
        <v>6100</v>
      </c>
      <c r="K1159" s="89">
        <v>2679</v>
      </c>
      <c r="L1159" s="224">
        <f t="shared" si="142"/>
        <v>43.91803278688525</v>
      </c>
      <c r="M1159" s="89"/>
      <c r="N1159" s="89"/>
      <c r="O1159" s="368"/>
      <c r="P1159" s="89"/>
      <c r="Q1159" s="89"/>
      <c r="R1159" s="362"/>
    </row>
    <row r="1160" spans="1:18" s="118" customFormat="1" ht="23.25" customHeight="1">
      <c r="A1160" s="124">
        <v>4230</v>
      </c>
      <c r="B1160" s="277" t="s">
        <v>504</v>
      </c>
      <c r="C1160" s="88">
        <v>300</v>
      </c>
      <c r="D1160" s="74">
        <f t="shared" si="137"/>
        <v>300</v>
      </c>
      <c r="E1160" s="74">
        <f t="shared" si="137"/>
        <v>0</v>
      </c>
      <c r="F1160" s="491">
        <f t="shared" si="141"/>
        <v>0</v>
      </c>
      <c r="G1160" s="174"/>
      <c r="H1160" s="74"/>
      <c r="I1160" s="280"/>
      <c r="J1160" s="88">
        <v>300</v>
      </c>
      <c r="K1160" s="89"/>
      <c r="L1160" s="224">
        <f t="shared" si="142"/>
        <v>0</v>
      </c>
      <c r="M1160" s="89"/>
      <c r="N1160" s="89"/>
      <c r="O1160" s="368"/>
      <c r="P1160" s="89"/>
      <c r="Q1160" s="89"/>
      <c r="R1160" s="362"/>
    </row>
    <row r="1161" spans="1:18" s="118" customFormat="1" ht="13.5" customHeight="1">
      <c r="A1161" s="124">
        <v>4260</v>
      </c>
      <c r="B1161" s="277" t="s">
        <v>506</v>
      </c>
      <c r="C1161" s="88">
        <v>33600</v>
      </c>
      <c r="D1161" s="74">
        <f t="shared" si="137"/>
        <v>21000</v>
      </c>
      <c r="E1161" s="74">
        <f t="shared" si="137"/>
        <v>10315</v>
      </c>
      <c r="F1161" s="491">
        <f t="shared" si="141"/>
        <v>49.11904761904762</v>
      </c>
      <c r="G1161" s="174"/>
      <c r="H1161" s="74"/>
      <c r="I1161" s="280"/>
      <c r="J1161" s="88">
        <f>33600-12600</f>
        <v>21000</v>
      </c>
      <c r="K1161" s="89">
        <v>10315</v>
      </c>
      <c r="L1161" s="224">
        <f t="shared" si="142"/>
        <v>49.11904761904762</v>
      </c>
      <c r="M1161" s="89"/>
      <c r="N1161" s="89"/>
      <c r="O1161" s="368"/>
      <c r="P1161" s="89"/>
      <c r="Q1161" s="89"/>
      <c r="R1161" s="362"/>
    </row>
    <row r="1162" spans="1:18" s="12" customFormat="1" ht="14.25" customHeight="1">
      <c r="A1162" s="124">
        <v>4280</v>
      </c>
      <c r="B1162" s="277" t="s">
        <v>545</v>
      </c>
      <c r="C1162" s="174">
        <v>200</v>
      </c>
      <c r="D1162" s="74">
        <f t="shared" si="137"/>
        <v>200</v>
      </c>
      <c r="E1162" s="89">
        <f>SUM(H1162+K1162+N1162+Q1162)</f>
        <v>0</v>
      </c>
      <c r="F1162" s="468">
        <f t="shared" si="141"/>
        <v>0</v>
      </c>
      <c r="G1162" s="174"/>
      <c r="H1162" s="74"/>
      <c r="I1162" s="280"/>
      <c r="J1162" s="174">
        <v>200</v>
      </c>
      <c r="K1162" s="175"/>
      <c r="L1162" s="224">
        <f t="shared" si="142"/>
        <v>0</v>
      </c>
      <c r="M1162" s="74"/>
      <c r="N1162" s="74"/>
      <c r="O1162" s="368"/>
      <c r="P1162" s="74"/>
      <c r="Q1162" s="74"/>
      <c r="R1162" s="362"/>
    </row>
    <row r="1163" spans="1:18" s="118" customFormat="1" ht="13.5" customHeight="1">
      <c r="A1163" s="124">
        <v>4300</v>
      </c>
      <c r="B1163" s="277" t="s">
        <v>546</v>
      </c>
      <c r="C1163" s="88">
        <v>3200</v>
      </c>
      <c r="D1163" s="74">
        <f t="shared" si="137"/>
        <v>18100</v>
      </c>
      <c r="E1163" s="74">
        <f t="shared" si="137"/>
        <v>8314</v>
      </c>
      <c r="F1163" s="491">
        <f t="shared" si="141"/>
        <v>45.93370165745856</v>
      </c>
      <c r="G1163" s="174"/>
      <c r="H1163" s="74"/>
      <c r="I1163" s="280"/>
      <c r="J1163" s="88">
        <f>3200+14900</f>
        <v>18100</v>
      </c>
      <c r="K1163" s="89">
        <v>8314</v>
      </c>
      <c r="L1163" s="224">
        <f t="shared" si="142"/>
        <v>45.93370165745856</v>
      </c>
      <c r="M1163" s="89"/>
      <c r="N1163" s="89"/>
      <c r="O1163" s="368"/>
      <c r="P1163" s="89"/>
      <c r="Q1163" s="89"/>
      <c r="R1163" s="362"/>
    </row>
    <row r="1164" spans="1:18" s="118" customFormat="1" ht="24">
      <c r="A1164" s="124">
        <v>4350</v>
      </c>
      <c r="B1164" s="277" t="s">
        <v>48</v>
      </c>
      <c r="C1164" s="88">
        <v>700</v>
      </c>
      <c r="D1164" s="74">
        <f t="shared" si="137"/>
        <v>700</v>
      </c>
      <c r="E1164" s="74">
        <f t="shared" si="137"/>
        <v>239</v>
      </c>
      <c r="F1164" s="491">
        <f t="shared" si="141"/>
        <v>34.14285714285714</v>
      </c>
      <c r="G1164" s="174"/>
      <c r="H1164" s="74"/>
      <c r="I1164" s="280"/>
      <c r="J1164" s="88">
        <v>700</v>
      </c>
      <c r="K1164" s="89">
        <v>239</v>
      </c>
      <c r="L1164" s="224">
        <f t="shared" si="142"/>
        <v>34.14285714285714</v>
      </c>
      <c r="M1164" s="89"/>
      <c r="N1164" s="89"/>
      <c r="O1164" s="368"/>
      <c r="P1164" s="89"/>
      <c r="Q1164" s="89"/>
      <c r="R1164" s="362"/>
    </row>
    <row r="1165" spans="1:18" s="118" customFormat="1" ht="48">
      <c r="A1165" s="172">
        <v>4370</v>
      </c>
      <c r="B1165" s="337" t="s">
        <v>298</v>
      </c>
      <c r="C1165" s="88">
        <v>1800</v>
      </c>
      <c r="D1165" s="74">
        <f aca="true" t="shared" si="143" ref="D1165:E1180">G1165+J1165+P1165+M1165</f>
        <v>1800</v>
      </c>
      <c r="E1165" s="74">
        <f t="shared" si="143"/>
        <v>789</v>
      </c>
      <c r="F1165" s="491">
        <f>E1165/D1165*100</f>
        <v>43.833333333333336</v>
      </c>
      <c r="G1165" s="174"/>
      <c r="H1165" s="74"/>
      <c r="I1165" s="280"/>
      <c r="J1165" s="88">
        <v>1800</v>
      </c>
      <c r="K1165" s="89">
        <f>790-1</f>
        <v>789</v>
      </c>
      <c r="L1165" s="224">
        <f t="shared" si="142"/>
        <v>43.833333333333336</v>
      </c>
      <c r="M1165" s="89"/>
      <c r="N1165" s="89"/>
      <c r="O1165" s="368"/>
      <c r="P1165" s="89"/>
      <c r="Q1165" s="89"/>
      <c r="R1165" s="362"/>
    </row>
    <row r="1166" spans="1:18" s="118" customFormat="1" ht="24">
      <c r="A1166" s="172">
        <v>4400</v>
      </c>
      <c r="B1166" s="337" t="s">
        <v>289</v>
      </c>
      <c r="C1166" s="88">
        <v>18000</v>
      </c>
      <c r="D1166" s="74">
        <f t="shared" si="143"/>
        <v>14700</v>
      </c>
      <c r="E1166" s="74">
        <f t="shared" si="143"/>
        <v>7320</v>
      </c>
      <c r="F1166" s="491">
        <f>E1166/D1166*100</f>
        <v>49.795918367346935</v>
      </c>
      <c r="G1166" s="174"/>
      <c r="H1166" s="74"/>
      <c r="I1166" s="280"/>
      <c r="J1166" s="88">
        <f>18000-3300</f>
        <v>14700</v>
      </c>
      <c r="K1166" s="89">
        <v>7320</v>
      </c>
      <c r="L1166" s="224">
        <f t="shared" si="142"/>
        <v>49.795918367346935</v>
      </c>
      <c r="M1166" s="89"/>
      <c r="N1166" s="89"/>
      <c r="O1166" s="368"/>
      <c r="P1166" s="89"/>
      <c r="Q1166" s="89"/>
      <c r="R1166" s="362"/>
    </row>
    <row r="1167" spans="1:18" s="118" customFormat="1" ht="21" customHeight="1">
      <c r="A1167" s="124">
        <v>4410</v>
      </c>
      <c r="B1167" s="277" t="s">
        <v>484</v>
      </c>
      <c r="C1167" s="88">
        <v>1000</v>
      </c>
      <c r="D1167" s="74">
        <f t="shared" si="143"/>
        <v>1000</v>
      </c>
      <c r="E1167" s="74">
        <f t="shared" si="143"/>
        <v>190</v>
      </c>
      <c r="F1167" s="491">
        <f>E1167/D1167*100</f>
        <v>19</v>
      </c>
      <c r="G1167" s="174"/>
      <c r="H1167" s="74"/>
      <c r="I1167" s="280"/>
      <c r="J1167" s="88">
        <v>1000</v>
      </c>
      <c r="K1167" s="89">
        <v>190</v>
      </c>
      <c r="L1167" s="224">
        <f t="shared" si="142"/>
        <v>19</v>
      </c>
      <c r="M1167" s="89"/>
      <c r="N1167" s="89"/>
      <c r="O1167" s="368"/>
      <c r="P1167" s="89"/>
      <c r="Q1167" s="89"/>
      <c r="R1167" s="362"/>
    </row>
    <row r="1168" spans="1:18" s="118" customFormat="1" ht="13.5" customHeight="1">
      <c r="A1168" s="124">
        <v>4430</v>
      </c>
      <c r="B1168" s="277" t="s">
        <v>512</v>
      </c>
      <c r="C1168" s="88">
        <v>100</v>
      </c>
      <c r="D1168" s="74">
        <f t="shared" si="143"/>
        <v>100</v>
      </c>
      <c r="E1168" s="74">
        <f t="shared" si="143"/>
        <v>0</v>
      </c>
      <c r="F1168" s="491">
        <f t="shared" si="141"/>
        <v>0</v>
      </c>
      <c r="G1168" s="174"/>
      <c r="H1168" s="74"/>
      <c r="I1168" s="280"/>
      <c r="J1168" s="88">
        <v>100</v>
      </c>
      <c r="K1168" s="89"/>
      <c r="L1168" s="224">
        <f t="shared" si="142"/>
        <v>0</v>
      </c>
      <c r="M1168" s="89"/>
      <c r="N1168" s="89"/>
      <c r="O1168" s="368"/>
      <c r="P1168" s="89"/>
      <c r="Q1168" s="89"/>
      <c r="R1168" s="362"/>
    </row>
    <row r="1169" spans="1:18" s="118" customFormat="1" ht="13.5" customHeight="1">
      <c r="A1169" s="124">
        <v>4440</v>
      </c>
      <c r="B1169" s="277" t="s">
        <v>514</v>
      </c>
      <c r="C1169" s="88">
        <v>4200</v>
      </c>
      <c r="D1169" s="74">
        <f t="shared" si="143"/>
        <v>4200</v>
      </c>
      <c r="E1169" s="74">
        <f t="shared" si="143"/>
        <v>4200</v>
      </c>
      <c r="F1169" s="491">
        <f t="shared" si="141"/>
        <v>100</v>
      </c>
      <c r="G1169" s="174"/>
      <c r="H1169" s="74"/>
      <c r="I1169" s="280"/>
      <c r="J1169" s="88">
        <v>4200</v>
      </c>
      <c r="K1169" s="89">
        <v>4200</v>
      </c>
      <c r="L1169" s="442">
        <f t="shared" si="142"/>
        <v>100</v>
      </c>
      <c r="M1169" s="89"/>
      <c r="N1169" s="89"/>
      <c r="O1169" s="368"/>
      <c r="P1169" s="89"/>
      <c r="Q1169" s="89"/>
      <c r="R1169" s="362"/>
    </row>
    <row r="1170" spans="1:18" s="118" customFormat="1" ht="52.5" customHeight="1">
      <c r="A1170" s="172">
        <v>4740</v>
      </c>
      <c r="B1170" s="337" t="s">
        <v>290</v>
      </c>
      <c r="C1170" s="126">
        <v>500</v>
      </c>
      <c r="D1170" s="74">
        <f t="shared" si="143"/>
        <v>500</v>
      </c>
      <c r="E1170" s="74">
        <f t="shared" si="143"/>
        <v>10</v>
      </c>
      <c r="F1170" s="491">
        <f>E1170/D1170*100</f>
        <v>2</v>
      </c>
      <c r="G1170" s="174"/>
      <c r="H1170" s="74"/>
      <c r="I1170" s="280"/>
      <c r="J1170" s="126">
        <v>500</v>
      </c>
      <c r="K1170" s="89">
        <v>10</v>
      </c>
      <c r="L1170" s="224">
        <f t="shared" si="142"/>
        <v>2</v>
      </c>
      <c r="M1170" s="89"/>
      <c r="N1170" s="89"/>
      <c r="O1170" s="368"/>
      <c r="P1170" s="89"/>
      <c r="Q1170" s="89"/>
      <c r="R1170" s="362"/>
    </row>
    <row r="1171" spans="1:18" s="118" customFormat="1" ht="36">
      <c r="A1171" s="197">
        <v>4750</v>
      </c>
      <c r="B1171" s="198" t="s">
        <v>291</v>
      </c>
      <c r="C1171" s="162">
        <v>500</v>
      </c>
      <c r="D1171" s="161">
        <f t="shared" si="143"/>
        <v>500</v>
      </c>
      <c r="E1171" s="161">
        <f t="shared" si="143"/>
        <v>0</v>
      </c>
      <c r="F1171" s="527">
        <f>E1171/D1171*100</f>
        <v>0</v>
      </c>
      <c r="G1171" s="176"/>
      <c r="H1171" s="161"/>
      <c r="I1171" s="323"/>
      <c r="J1171" s="162">
        <v>500</v>
      </c>
      <c r="K1171" s="155"/>
      <c r="L1171" s="274">
        <f t="shared" si="142"/>
        <v>0</v>
      </c>
      <c r="M1171" s="155"/>
      <c r="N1171" s="155"/>
      <c r="O1171" s="387"/>
      <c r="P1171" s="155"/>
      <c r="Q1171" s="155"/>
      <c r="R1171" s="366"/>
    </row>
    <row r="1172" spans="1:18" s="118" customFormat="1" ht="15.75" customHeight="1">
      <c r="A1172" s="119">
        <v>85204</v>
      </c>
      <c r="B1172" s="276" t="s">
        <v>104</v>
      </c>
      <c r="C1172" s="121">
        <f>SUM(C1173:C1179)</f>
        <v>2625000</v>
      </c>
      <c r="D1172" s="95">
        <f t="shared" si="143"/>
        <v>2625025</v>
      </c>
      <c r="E1172" s="84">
        <f t="shared" si="143"/>
        <v>1442246</v>
      </c>
      <c r="F1172" s="523">
        <f t="shared" si="141"/>
        <v>54.942181503033304</v>
      </c>
      <c r="G1172" s="94"/>
      <c r="H1172" s="95"/>
      <c r="I1172" s="372"/>
      <c r="J1172" s="123"/>
      <c r="K1172" s="84"/>
      <c r="L1172" s="417"/>
      <c r="M1172" s="84">
        <f>SUM(M1173:M1179)</f>
        <v>2625025</v>
      </c>
      <c r="N1172" s="84">
        <f>SUM(N1173:N1179)</f>
        <v>1442246</v>
      </c>
      <c r="O1172" s="316">
        <f>N1172/M1172*100</f>
        <v>54.942181503033304</v>
      </c>
      <c r="P1172" s="84"/>
      <c r="Q1172" s="84"/>
      <c r="R1172" s="372"/>
    </row>
    <row r="1173" spans="1:18" s="12" customFormat="1" ht="72">
      <c r="A1173" s="172">
        <v>2320</v>
      </c>
      <c r="B1173" s="292" t="s">
        <v>590</v>
      </c>
      <c r="C1173" s="174">
        <v>120000</v>
      </c>
      <c r="D1173" s="74">
        <f t="shared" si="143"/>
        <v>120000</v>
      </c>
      <c r="E1173" s="89">
        <f aca="true" t="shared" si="144" ref="E1173:E1199">SUM(H1173+K1173+N1173+Q1173)</f>
        <v>79566</v>
      </c>
      <c r="F1173" s="491">
        <f t="shared" si="141"/>
        <v>66.305</v>
      </c>
      <c r="G1173" s="174"/>
      <c r="H1173" s="74"/>
      <c r="I1173" s="362"/>
      <c r="J1173" s="175"/>
      <c r="K1173" s="74"/>
      <c r="L1173" s="391"/>
      <c r="M1173" s="174">
        <v>120000</v>
      </c>
      <c r="N1173" s="104">
        <v>79566</v>
      </c>
      <c r="O1173" s="224">
        <f aca="true" t="shared" si="145" ref="O1173:O1179">N1173/M1173*100</f>
        <v>66.305</v>
      </c>
      <c r="P1173" s="74"/>
      <c r="Q1173" s="74"/>
      <c r="R1173" s="362"/>
    </row>
    <row r="1174" spans="1:18" s="118" customFormat="1" ht="13.5" customHeight="1">
      <c r="A1174" s="124">
        <v>3110</v>
      </c>
      <c r="B1174" s="277" t="s">
        <v>98</v>
      </c>
      <c r="C1174" s="88">
        <v>2294000</v>
      </c>
      <c r="D1174" s="74">
        <f t="shared" si="143"/>
        <v>2294000</v>
      </c>
      <c r="E1174" s="89">
        <f t="shared" si="144"/>
        <v>1193161</v>
      </c>
      <c r="F1174" s="491">
        <f t="shared" si="141"/>
        <v>52.012249346120306</v>
      </c>
      <c r="G1174" s="174"/>
      <c r="H1174" s="74"/>
      <c r="I1174" s="362"/>
      <c r="J1174" s="126"/>
      <c r="K1174" s="89"/>
      <c r="L1174" s="391"/>
      <c r="M1174" s="88">
        <v>2294000</v>
      </c>
      <c r="N1174" s="89">
        <v>1193161</v>
      </c>
      <c r="O1174" s="224">
        <f t="shared" si="145"/>
        <v>52.012249346120306</v>
      </c>
      <c r="P1174" s="89"/>
      <c r="Q1174" s="89"/>
      <c r="R1174" s="362"/>
    </row>
    <row r="1175" spans="1:18" s="118" customFormat="1" ht="27" customHeight="1">
      <c r="A1175" s="124">
        <v>4110</v>
      </c>
      <c r="B1175" s="277" t="s">
        <v>498</v>
      </c>
      <c r="C1175" s="88">
        <v>36500</v>
      </c>
      <c r="D1175" s="74">
        <f t="shared" si="143"/>
        <v>36500</v>
      </c>
      <c r="E1175" s="89">
        <f t="shared" si="144"/>
        <v>20710</v>
      </c>
      <c r="F1175" s="491">
        <f t="shared" si="141"/>
        <v>56.73972602739726</v>
      </c>
      <c r="G1175" s="174"/>
      <c r="H1175" s="74"/>
      <c r="I1175" s="362"/>
      <c r="J1175" s="126"/>
      <c r="K1175" s="89"/>
      <c r="L1175" s="391"/>
      <c r="M1175" s="88">
        <v>36500</v>
      </c>
      <c r="N1175" s="89">
        <v>20710</v>
      </c>
      <c r="O1175" s="224">
        <f t="shared" si="145"/>
        <v>56.73972602739726</v>
      </c>
      <c r="P1175" s="89"/>
      <c r="Q1175" s="89"/>
      <c r="R1175" s="362"/>
    </row>
    <row r="1176" spans="1:18" s="118" customFormat="1" ht="15" customHeight="1">
      <c r="A1176" s="124">
        <v>4120</v>
      </c>
      <c r="B1176" s="277" t="s">
        <v>578</v>
      </c>
      <c r="C1176" s="88">
        <v>5500</v>
      </c>
      <c r="D1176" s="74">
        <f t="shared" si="143"/>
        <v>5500</v>
      </c>
      <c r="E1176" s="89">
        <f t="shared" si="144"/>
        <v>3558</v>
      </c>
      <c r="F1176" s="491">
        <f t="shared" si="141"/>
        <v>64.69090909090909</v>
      </c>
      <c r="G1176" s="174"/>
      <c r="H1176" s="74"/>
      <c r="I1176" s="362"/>
      <c r="J1176" s="126"/>
      <c r="K1176" s="89"/>
      <c r="L1176" s="391"/>
      <c r="M1176" s="88">
        <v>5500</v>
      </c>
      <c r="N1176" s="89">
        <v>3558</v>
      </c>
      <c r="O1176" s="224">
        <f t="shared" si="145"/>
        <v>64.69090909090909</v>
      </c>
      <c r="P1176" s="89"/>
      <c r="Q1176" s="89"/>
      <c r="R1176" s="362"/>
    </row>
    <row r="1177" spans="1:18" s="118" customFormat="1" ht="24">
      <c r="A1177" s="124">
        <v>4170</v>
      </c>
      <c r="B1177" s="277" t="s">
        <v>536</v>
      </c>
      <c r="C1177" s="88">
        <v>169000</v>
      </c>
      <c r="D1177" s="74">
        <f t="shared" si="143"/>
        <v>169000</v>
      </c>
      <c r="E1177" s="89">
        <f t="shared" si="144"/>
        <v>145228</v>
      </c>
      <c r="F1177" s="468">
        <f t="shared" si="141"/>
        <v>85.93372781065088</v>
      </c>
      <c r="G1177" s="174"/>
      <c r="H1177" s="74"/>
      <c r="I1177" s="362"/>
      <c r="J1177" s="126"/>
      <c r="K1177" s="89"/>
      <c r="L1177" s="391"/>
      <c r="M1177" s="88">
        <v>169000</v>
      </c>
      <c r="N1177" s="89">
        <v>145228</v>
      </c>
      <c r="O1177" s="224">
        <f t="shared" si="145"/>
        <v>85.93372781065088</v>
      </c>
      <c r="P1177" s="89"/>
      <c r="Q1177" s="89"/>
      <c r="R1177" s="362"/>
    </row>
    <row r="1178" spans="1:18" s="118" customFormat="1" ht="12.75">
      <c r="A1178" s="124">
        <v>4580</v>
      </c>
      <c r="B1178" s="291" t="s">
        <v>549</v>
      </c>
      <c r="C1178" s="88"/>
      <c r="D1178" s="161">
        <f t="shared" si="143"/>
        <v>25</v>
      </c>
      <c r="E1178" s="155">
        <f t="shared" si="144"/>
        <v>23</v>
      </c>
      <c r="F1178" s="462">
        <f t="shared" si="141"/>
        <v>92</v>
      </c>
      <c r="G1178" s="174"/>
      <c r="H1178" s="74"/>
      <c r="I1178" s="362"/>
      <c r="J1178" s="126"/>
      <c r="K1178" s="89"/>
      <c r="L1178" s="391"/>
      <c r="M1178" s="88">
        <f>30-5</f>
        <v>25</v>
      </c>
      <c r="N1178" s="89">
        <v>23</v>
      </c>
      <c r="O1178" s="224">
        <f t="shared" si="145"/>
        <v>92</v>
      </c>
      <c r="P1178" s="89"/>
      <c r="Q1178" s="89"/>
      <c r="R1178" s="362"/>
    </row>
    <row r="1179" spans="1:18" s="118" customFormat="1" ht="24" hidden="1">
      <c r="A1179" s="158">
        <v>4330</v>
      </c>
      <c r="B1179" s="278" t="s">
        <v>99</v>
      </c>
      <c r="C1179" s="160"/>
      <c r="D1179" s="161">
        <f t="shared" si="143"/>
        <v>0</v>
      </c>
      <c r="E1179" s="155">
        <f t="shared" si="144"/>
        <v>0</v>
      </c>
      <c r="F1179" s="529" t="e">
        <f>E1179/D1179*100</f>
        <v>#DIV/0!</v>
      </c>
      <c r="G1179" s="176"/>
      <c r="H1179" s="161"/>
      <c r="I1179" s="366"/>
      <c r="J1179" s="162"/>
      <c r="K1179" s="155"/>
      <c r="L1179" s="415"/>
      <c r="M1179" s="160"/>
      <c r="N1179" s="155"/>
      <c r="O1179" s="224" t="e">
        <f t="shared" si="145"/>
        <v>#DIV/0!</v>
      </c>
      <c r="P1179" s="155"/>
      <c r="Q1179" s="155"/>
      <c r="R1179" s="366"/>
    </row>
    <row r="1180" spans="1:18" ht="84">
      <c r="A1180" s="119">
        <v>85212</v>
      </c>
      <c r="B1180" s="276" t="s">
        <v>241</v>
      </c>
      <c r="C1180" s="121">
        <f>SUM(C1181:C1199)</f>
        <v>17550000</v>
      </c>
      <c r="D1180" s="95">
        <f t="shared" si="143"/>
        <v>17550000</v>
      </c>
      <c r="E1180" s="95">
        <f t="shared" si="144"/>
        <v>8289318</v>
      </c>
      <c r="F1180" s="532">
        <f aca="true" t="shared" si="146" ref="F1180:F1205">E1180/D1180*100</f>
        <v>47.232581196581194</v>
      </c>
      <c r="G1180" s="121">
        <f>SUM(G1181:G1199)</f>
        <v>194000</v>
      </c>
      <c r="H1180" s="84">
        <f>SUM(H1181:H1199)</f>
        <v>966</v>
      </c>
      <c r="I1180" s="413">
        <f>H1180/G1180*100</f>
        <v>0.4979381443298969</v>
      </c>
      <c r="J1180" s="123">
        <f>SUM(J1181:J1199)</f>
        <v>17356000</v>
      </c>
      <c r="K1180" s="84">
        <f>SUM(K1181:K1199)</f>
        <v>8288352</v>
      </c>
      <c r="L1180" s="494">
        <f>K1180/J1180*100</f>
        <v>47.75496658216179</v>
      </c>
      <c r="M1180" s="84"/>
      <c r="N1180" s="84"/>
      <c r="O1180" s="402"/>
      <c r="P1180" s="84"/>
      <c r="Q1180" s="84"/>
      <c r="R1180" s="370"/>
    </row>
    <row r="1181" spans="1:18" s="118" customFormat="1" ht="36">
      <c r="A1181" s="124">
        <v>3020</v>
      </c>
      <c r="B1181" s="277" t="s">
        <v>562</v>
      </c>
      <c r="C1181" s="90">
        <v>2000</v>
      </c>
      <c r="D1181" s="103">
        <f aca="true" t="shared" si="147" ref="D1181:E1208">G1181+J1181+P1181+M1181</f>
        <v>2000</v>
      </c>
      <c r="E1181" s="104">
        <f t="shared" si="144"/>
        <v>718</v>
      </c>
      <c r="F1181" s="464">
        <f t="shared" si="146"/>
        <v>35.9</v>
      </c>
      <c r="G1181" s="90"/>
      <c r="H1181" s="104"/>
      <c r="I1181" s="357"/>
      <c r="J1181" s="90">
        <v>2000</v>
      </c>
      <c r="K1181" s="104">
        <v>718</v>
      </c>
      <c r="L1181" s="482">
        <f>K1181/J1181*100</f>
        <v>35.9</v>
      </c>
      <c r="M1181" s="104"/>
      <c r="N1181" s="104"/>
      <c r="O1181" s="388"/>
      <c r="P1181" s="104"/>
      <c r="Q1181" s="104"/>
      <c r="R1181" s="365"/>
    </row>
    <row r="1182" spans="1:18" s="118" customFormat="1" ht="12.75">
      <c r="A1182" s="124">
        <v>3110</v>
      </c>
      <c r="B1182" s="277" t="s">
        <v>98</v>
      </c>
      <c r="C1182" s="88">
        <v>16655300</v>
      </c>
      <c r="D1182" s="74">
        <f t="shared" si="147"/>
        <v>16655300</v>
      </c>
      <c r="E1182" s="89">
        <f>SUM(H1182+K1182+N1182+Q1182)</f>
        <v>7884120</v>
      </c>
      <c r="F1182" s="442">
        <f>E1182/D1182*100</f>
        <v>47.33700383661657</v>
      </c>
      <c r="G1182" s="88"/>
      <c r="H1182" s="89"/>
      <c r="I1182" s="280"/>
      <c r="J1182" s="88">
        <v>16655300</v>
      </c>
      <c r="K1182" s="126">
        <v>7884120</v>
      </c>
      <c r="L1182" s="482">
        <f>K1182/J1182*100</f>
        <v>47.33700383661657</v>
      </c>
      <c r="M1182" s="89"/>
      <c r="N1182" s="89"/>
      <c r="O1182" s="368"/>
      <c r="P1182" s="89"/>
      <c r="Q1182" s="89"/>
      <c r="R1182" s="362"/>
    </row>
    <row r="1183" spans="1:18" s="118" customFormat="1" ht="24">
      <c r="A1183" s="124">
        <v>4010</v>
      </c>
      <c r="B1183" s="277" t="s">
        <v>492</v>
      </c>
      <c r="C1183" s="88">
        <v>492500</v>
      </c>
      <c r="D1183" s="74">
        <f t="shared" si="147"/>
        <v>492500</v>
      </c>
      <c r="E1183" s="89">
        <f t="shared" si="144"/>
        <v>210371</v>
      </c>
      <c r="F1183" s="442">
        <f t="shared" si="146"/>
        <v>42.71492385786802</v>
      </c>
      <c r="G1183" s="88">
        <v>158000</v>
      </c>
      <c r="H1183" s="89"/>
      <c r="I1183" s="468">
        <f>H1183/G1183*100</f>
        <v>0</v>
      </c>
      <c r="J1183" s="88">
        <v>334500</v>
      </c>
      <c r="K1183" s="126">
        <v>210371</v>
      </c>
      <c r="L1183" s="482">
        <f>K1183/J1183*100</f>
        <v>62.89118086696563</v>
      </c>
      <c r="M1183" s="89"/>
      <c r="N1183" s="89"/>
      <c r="O1183" s="368"/>
      <c r="P1183" s="89"/>
      <c r="Q1183" s="89"/>
      <c r="R1183" s="362"/>
    </row>
    <row r="1184" spans="1:18" s="118" customFormat="1" ht="24">
      <c r="A1184" s="124">
        <v>4040</v>
      </c>
      <c r="B1184" s="277" t="s">
        <v>105</v>
      </c>
      <c r="C1184" s="88">
        <v>41900</v>
      </c>
      <c r="D1184" s="74">
        <f t="shared" si="147"/>
        <v>41900</v>
      </c>
      <c r="E1184" s="89">
        <f t="shared" si="144"/>
        <v>28697</v>
      </c>
      <c r="F1184" s="442">
        <f t="shared" si="146"/>
        <v>68.4892601431981</v>
      </c>
      <c r="G1184" s="88"/>
      <c r="H1184" s="89"/>
      <c r="I1184" s="280"/>
      <c r="J1184" s="88">
        <v>41900</v>
      </c>
      <c r="K1184" s="126">
        <v>28697</v>
      </c>
      <c r="L1184" s="482">
        <f aca="true" t="shared" si="148" ref="L1184:L1205">K1184/J1184*100</f>
        <v>68.4892601431981</v>
      </c>
      <c r="M1184" s="89"/>
      <c r="N1184" s="89"/>
      <c r="O1184" s="368"/>
      <c r="P1184" s="89"/>
      <c r="Q1184" s="89"/>
      <c r="R1184" s="362"/>
    </row>
    <row r="1185" spans="1:18" s="118" customFormat="1" ht="24">
      <c r="A1185" s="124">
        <v>4110</v>
      </c>
      <c r="B1185" s="277" t="s">
        <v>498</v>
      </c>
      <c r="C1185" s="88">
        <v>204800</v>
      </c>
      <c r="D1185" s="74">
        <f t="shared" si="147"/>
        <v>204800</v>
      </c>
      <c r="E1185" s="89">
        <f t="shared" si="144"/>
        <v>115859</v>
      </c>
      <c r="F1185" s="442">
        <f t="shared" si="146"/>
        <v>56.57177734374999</v>
      </c>
      <c r="G1185" s="88">
        <v>28100</v>
      </c>
      <c r="H1185" s="89"/>
      <c r="I1185" s="280">
        <f>H1185/G1185*100</f>
        <v>0</v>
      </c>
      <c r="J1185" s="88">
        <v>176700</v>
      </c>
      <c r="K1185" s="126">
        <v>115859</v>
      </c>
      <c r="L1185" s="482">
        <f t="shared" si="148"/>
        <v>65.56819468024901</v>
      </c>
      <c r="M1185" s="89"/>
      <c r="N1185" s="89"/>
      <c r="O1185" s="368"/>
      <c r="P1185" s="89"/>
      <c r="Q1185" s="89"/>
      <c r="R1185" s="362"/>
    </row>
    <row r="1186" spans="1:18" s="118" customFormat="1" ht="12.75">
      <c r="A1186" s="124">
        <v>4120</v>
      </c>
      <c r="B1186" s="277" t="s">
        <v>571</v>
      </c>
      <c r="C1186" s="88">
        <v>10900</v>
      </c>
      <c r="D1186" s="74">
        <f t="shared" si="147"/>
        <v>10900</v>
      </c>
      <c r="E1186" s="89">
        <f t="shared" si="144"/>
        <v>5781</v>
      </c>
      <c r="F1186" s="442">
        <f t="shared" si="146"/>
        <v>53.03669724770642</v>
      </c>
      <c r="G1186" s="88">
        <v>3900</v>
      </c>
      <c r="H1186" s="89">
        <v>966</v>
      </c>
      <c r="I1186" s="280">
        <f>H1186/G1186*100</f>
        <v>24.76923076923077</v>
      </c>
      <c r="J1186" s="88">
        <v>7000</v>
      </c>
      <c r="K1186" s="126">
        <v>4815</v>
      </c>
      <c r="L1186" s="482">
        <f t="shared" si="148"/>
        <v>68.78571428571428</v>
      </c>
      <c r="M1186" s="89"/>
      <c r="N1186" s="89"/>
      <c r="O1186" s="368"/>
      <c r="P1186" s="89"/>
      <c r="Q1186" s="89"/>
      <c r="R1186" s="362"/>
    </row>
    <row r="1187" spans="1:18" s="118" customFormat="1" ht="24" hidden="1">
      <c r="A1187" s="124">
        <v>4170</v>
      </c>
      <c r="B1187" s="277" t="s">
        <v>536</v>
      </c>
      <c r="C1187" s="88"/>
      <c r="D1187" s="74">
        <f t="shared" si="147"/>
        <v>0</v>
      </c>
      <c r="E1187" s="89">
        <f t="shared" si="144"/>
        <v>0</v>
      </c>
      <c r="F1187" s="442" t="e">
        <f t="shared" si="146"/>
        <v>#DIV/0!</v>
      </c>
      <c r="G1187" s="88"/>
      <c r="H1187" s="89"/>
      <c r="I1187" s="280" t="e">
        <f>H1187/G1187*100</f>
        <v>#DIV/0!</v>
      </c>
      <c r="J1187" s="88"/>
      <c r="K1187" s="126"/>
      <c r="L1187" s="482" t="e">
        <f t="shared" si="148"/>
        <v>#DIV/0!</v>
      </c>
      <c r="M1187" s="89"/>
      <c r="N1187" s="89"/>
      <c r="O1187" s="368"/>
      <c r="P1187" s="89"/>
      <c r="Q1187" s="89"/>
      <c r="R1187" s="362"/>
    </row>
    <row r="1188" spans="1:18" s="118" customFormat="1" ht="24">
      <c r="A1188" s="124">
        <v>4210</v>
      </c>
      <c r="B1188" s="277" t="s">
        <v>502</v>
      </c>
      <c r="C1188" s="88">
        <v>15700</v>
      </c>
      <c r="D1188" s="74">
        <f t="shared" si="147"/>
        <v>15700</v>
      </c>
      <c r="E1188" s="89">
        <f t="shared" si="144"/>
        <v>4159</v>
      </c>
      <c r="F1188" s="442">
        <f t="shared" si="146"/>
        <v>26.490445859872615</v>
      </c>
      <c r="G1188" s="88"/>
      <c r="H1188" s="89"/>
      <c r="I1188" s="280"/>
      <c r="J1188" s="88">
        <v>15700</v>
      </c>
      <c r="K1188" s="126">
        <v>4159</v>
      </c>
      <c r="L1188" s="482">
        <f t="shared" si="148"/>
        <v>26.490445859872615</v>
      </c>
      <c r="M1188" s="89"/>
      <c r="N1188" s="89"/>
      <c r="O1188" s="368"/>
      <c r="P1188" s="89"/>
      <c r="Q1188" s="89"/>
      <c r="R1188" s="362"/>
    </row>
    <row r="1189" spans="1:18" s="118" customFormat="1" ht="12.75">
      <c r="A1189" s="124">
        <v>4260</v>
      </c>
      <c r="B1189" s="277" t="s">
        <v>506</v>
      </c>
      <c r="C1189" s="88">
        <v>21100</v>
      </c>
      <c r="D1189" s="74">
        <f t="shared" si="147"/>
        <v>21100</v>
      </c>
      <c r="E1189" s="89">
        <f t="shared" si="144"/>
        <v>11406</v>
      </c>
      <c r="F1189" s="442">
        <f t="shared" si="146"/>
        <v>54.056872037914694</v>
      </c>
      <c r="G1189" s="88">
        <v>2000</v>
      </c>
      <c r="H1189" s="89"/>
      <c r="I1189" s="280">
        <f>H1189/G1189*100</f>
        <v>0</v>
      </c>
      <c r="J1189" s="88">
        <v>19100</v>
      </c>
      <c r="K1189" s="126">
        <v>11406</v>
      </c>
      <c r="L1189" s="482">
        <f t="shared" si="148"/>
        <v>59.717277486910994</v>
      </c>
      <c r="M1189" s="89"/>
      <c r="N1189" s="89"/>
      <c r="O1189" s="368"/>
      <c r="P1189" s="89"/>
      <c r="Q1189" s="89"/>
      <c r="R1189" s="362"/>
    </row>
    <row r="1190" spans="1:18" s="118" customFormat="1" ht="24" hidden="1">
      <c r="A1190" s="124">
        <v>4270</v>
      </c>
      <c r="B1190" s="277" t="s">
        <v>508</v>
      </c>
      <c r="C1190" s="88"/>
      <c r="D1190" s="74">
        <f t="shared" si="147"/>
        <v>0</v>
      </c>
      <c r="E1190" s="89">
        <f>SUM(H1190+K1190+N1190+Q1190)</f>
        <v>0</v>
      </c>
      <c r="F1190" s="442" t="e">
        <f>E1190/D1190*100</f>
        <v>#DIV/0!</v>
      </c>
      <c r="G1190" s="88"/>
      <c r="H1190" s="89"/>
      <c r="I1190" s="280"/>
      <c r="J1190" s="88"/>
      <c r="K1190" s="126"/>
      <c r="L1190" s="482" t="e">
        <f t="shared" si="148"/>
        <v>#DIV/0!</v>
      </c>
      <c r="M1190" s="89"/>
      <c r="N1190" s="89"/>
      <c r="O1190" s="368"/>
      <c r="P1190" s="89"/>
      <c r="Q1190" s="89"/>
      <c r="R1190" s="362"/>
    </row>
    <row r="1191" spans="1:18" s="118" customFormat="1" ht="24">
      <c r="A1191" s="124">
        <v>4280</v>
      </c>
      <c r="B1191" s="277" t="s">
        <v>545</v>
      </c>
      <c r="C1191" s="88">
        <v>600</v>
      </c>
      <c r="D1191" s="74">
        <f t="shared" si="147"/>
        <v>600</v>
      </c>
      <c r="E1191" s="89">
        <f t="shared" si="144"/>
        <v>544</v>
      </c>
      <c r="F1191" s="442">
        <f t="shared" si="146"/>
        <v>90.66666666666666</v>
      </c>
      <c r="G1191" s="88"/>
      <c r="H1191" s="89"/>
      <c r="I1191" s="280"/>
      <c r="J1191" s="88">
        <v>600</v>
      </c>
      <c r="K1191" s="126">
        <v>544</v>
      </c>
      <c r="L1191" s="482">
        <f t="shared" si="148"/>
        <v>90.66666666666666</v>
      </c>
      <c r="M1191" s="89"/>
      <c r="N1191" s="89"/>
      <c r="O1191" s="368"/>
      <c r="P1191" s="89"/>
      <c r="Q1191" s="89"/>
      <c r="R1191" s="362"/>
    </row>
    <row r="1192" spans="1:18" s="118" customFormat="1" ht="24">
      <c r="A1192" s="124">
        <v>4300</v>
      </c>
      <c r="B1192" s="277" t="s">
        <v>546</v>
      </c>
      <c r="C1192" s="88">
        <v>62800</v>
      </c>
      <c r="D1192" s="74">
        <f t="shared" si="147"/>
        <v>62800</v>
      </c>
      <c r="E1192" s="89">
        <f t="shared" si="144"/>
        <v>21771</v>
      </c>
      <c r="F1192" s="442">
        <f t="shared" si="146"/>
        <v>34.667197452229296</v>
      </c>
      <c r="G1192" s="88">
        <v>1600</v>
      </c>
      <c r="H1192" s="89"/>
      <c r="I1192" s="280">
        <f>H1192/G1192*100</f>
        <v>0</v>
      </c>
      <c r="J1192" s="88">
        <v>61200</v>
      </c>
      <c r="K1192" s="126">
        <v>21771</v>
      </c>
      <c r="L1192" s="482">
        <f t="shared" si="148"/>
        <v>35.5735294117647</v>
      </c>
      <c r="M1192" s="89"/>
      <c r="N1192" s="89"/>
      <c r="O1192" s="368"/>
      <c r="P1192" s="89"/>
      <c r="Q1192" s="89"/>
      <c r="R1192" s="362"/>
    </row>
    <row r="1193" spans="1:18" s="118" customFormat="1" ht="24">
      <c r="A1193" s="158">
        <v>4350</v>
      </c>
      <c r="B1193" s="278" t="s">
        <v>48</v>
      </c>
      <c r="C1193" s="160">
        <v>1600</v>
      </c>
      <c r="D1193" s="161">
        <f t="shared" si="147"/>
        <v>1600</v>
      </c>
      <c r="E1193" s="155">
        <f t="shared" si="144"/>
        <v>0</v>
      </c>
      <c r="F1193" s="462">
        <f t="shared" si="146"/>
        <v>0</v>
      </c>
      <c r="G1193" s="160"/>
      <c r="H1193" s="155"/>
      <c r="I1193" s="323"/>
      <c r="J1193" s="160">
        <v>1600</v>
      </c>
      <c r="K1193" s="162"/>
      <c r="L1193" s="483">
        <f t="shared" si="148"/>
        <v>0</v>
      </c>
      <c r="M1193" s="155"/>
      <c r="N1193" s="155"/>
      <c r="O1193" s="387"/>
      <c r="P1193" s="155"/>
      <c r="Q1193" s="155"/>
      <c r="R1193" s="366"/>
    </row>
    <row r="1194" spans="1:18" s="118" customFormat="1" ht="48">
      <c r="A1194" s="124">
        <v>4370</v>
      </c>
      <c r="B1194" s="277" t="s">
        <v>288</v>
      </c>
      <c r="C1194" s="88">
        <v>2600</v>
      </c>
      <c r="D1194" s="74">
        <f t="shared" si="147"/>
        <v>2600</v>
      </c>
      <c r="E1194" s="89">
        <f t="shared" si="144"/>
        <v>0</v>
      </c>
      <c r="F1194" s="442">
        <f t="shared" si="146"/>
        <v>0</v>
      </c>
      <c r="G1194" s="88">
        <v>200</v>
      </c>
      <c r="H1194" s="89"/>
      <c r="I1194" s="280">
        <f>H1194/G1194*100</f>
        <v>0</v>
      </c>
      <c r="J1194" s="88">
        <v>2400</v>
      </c>
      <c r="K1194" s="126"/>
      <c r="L1194" s="482">
        <f t="shared" si="148"/>
        <v>0</v>
      </c>
      <c r="M1194" s="89"/>
      <c r="N1194" s="89"/>
      <c r="O1194" s="368"/>
      <c r="P1194" s="89"/>
      <c r="Q1194" s="89"/>
      <c r="R1194" s="362"/>
    </row>
    <row r="1195" spans="1:18" s="118" customFormat="1" ht="24">
      <c r="A1195" s="124">
        <v>4410</v>
      </c>
      <c r="B1195" s="277" t="s">
        <v>484</v>
      </c>
      <c r="C1195" s="88">
        <v>1000</v>
      </c>
      <c r="D1195" s="74">
        <f t="shared" si="147"/>
        <v>1000</v>
      </c>
      <c r="E1195" s="89">
        <f t="shared" si="144"/>
        <v>167</v>
      </c>
      <c r="F1195" s="442">
        <f t="shared" si="146"/>
        <v>16.7</v>
      </c>
      <c r="G1195" s="88"/>
      <c r="H1195" s="89"/>
      <c r="I1195" s="280"/>
      <c r="J1195" s="88">
        <v>1000</v>
      </c>
      <c r="K1195" s="126">
        <v>167</v>
      </c>
      <c r="L1195" s="482">
        <f t="shared" si="148"/>
        <v>16.7</v>
      </c>
      <c r="M1195" s="89"/>
      <c r="N1195" s="89"/>
      <c r="O1195" s="368"/>
      <c r="P1195" s="89"/>
      <c r="Q1195" s="89"/>
      <c r="R1195" s="362"/>
    </row>
    <row r="1196" spans="1:18" s="118" customFormat="1" ht="13.5" customHeight="1">
      <c r="A1196" s="124">
        <v>4480</v>
      </c>
      <c r="B1196" s="277" t="s">
        <v>516</v>
      </c>
      <c r="C1196" s="88">
        <v>2000</v>
      </c>
      <c r="D1196" s="74">
        <f t="shared" si="147"/>
        <v>2000</v>
      </c>
      <c r="E1196" s="89">
        <f t="shared" si="144"/>
        <v>1037</v>
      </c>
      <c r="F1196" s="442">
        <f t="shared" si="146"/>
        <v>51.849999999999994</v>
      </c>
      <c r="G1196" s="88"/>
      <c r="H1196" s="89"/>
      <c r="I1196" s="280"/>
      <c r="J1196" s="88">
        <v>2000</v>
      </c>
      <c r="K1196" s="126">
        <f>1036+1</f>
        <v>1037</v>
      </c>
      <c r="L1196" s="482">
        <f t="shared" si="148"/>
        <v>51.849999999999994</v>
      </c>
      <c r="M1196" s="89"/>
      <c r="N1196" s="89"/>
      <c r="O1196" s="368"/>
      <c r="P1196" s="89"/>
      <c r="Q1196" s="89"/>
      <c r="R1196" s="362"/>
    </row>
    <row r="1197" spans="1:18" s="118" customFormat="1" ht="36">
      <c r="A1197" s="124">
        <v>4700</v>
      </c>
      <c r="B1197" s="277" t="s">
        <v>285</v>
      </c>
      <c r="C1197" s="88">
        <v>5000</v>
      </c>
      <c r="D1197" s="74">
        <f t="shared" si="147"/>
        <v>5000</v>
      </c>
      <c r="E1197" s="89">
        <f t="shared" si="144"/>
        <v>0</v>
      </c>
      <c r="F1197" s="442">
        <f t="shared" si="146"/>
        <v>0</v>
      </c>
      <c r="G1197" s="88"/>
      <c r="H1197" s="89"/>
      <c r="I1197" s="280"/>
      <c r="J1197" s="88">
        <v>5000</v>
      </c>
      <c r="K1197" s="126"/>
      <c r="L1197" s="482">
        <f t="shared" si="148"/>
        <v>0</v>
      </c>
      <c r="M1197" s="89"/>
      <c r="N1197" s="89"/>
      <c r="O1197" s="368"/>
      <c r="P1197" s="89"/>
      <c r="Q1197" s="89"/>
      <c r="R1197" s="362"/>
    </row>
    <row r="1198" spans="1:18" s="118" customFormat="1" ht="60">
      <c r="A1198" s="172">
        <v>4740</v>
      </c>
      <c r="B1198" s="337" t="s">
        <v>290</v>
      </c>
      <c r="C1198" s="88">
        <v>10000</v>
      </c>
      <c r="D1198" s="74">
        <f t="shared" si="147"/>
        <v>10000</v>
      </c>
      <c r="E1198" s="89">
        <f>SUM(H1198+K1198+N1198+Q1198)</f>
        <v>2903</v>
      </c>
      <c r="F1198" s="442">
        <f>E1198/D1198*100</f>
        <v>29.03</v>
      </c>
      <c r="G1198" s="88"/>
      <c r="H1198" s="89"/>
      <c r="I1198" s="280"/>
      <c r="J1198" s="88">
        <v>10000</v>
      </c>
      <c r="K1198" s="126">
        <v>2903</v>
      </c>
      <c r="L1198" s="482">
        <f t="shared" si="148"/>
        <v>29.03</v>
      </c>
      <c r="M1198" s="89"/>
      <c r="N1198" s="89"/>
      <c r="O1198" s="368"/>
      <c r="P1198" s="89"/>
      <c r="Q1198" s="89"/>
      <c r="R1198" s="362"/>
    </row>
    <row r="1199" spans="1:18" s="118" customFormat="1" ht="36">
      <c r="A1199" s="197">
        <v>4750</v>
      </c>
      <c r="B1199" s="198" t="s">
        <v>291</v>
      </c>
      <c r="C1199" s="160">
        <v>20200</v>
      </c>
      <c r="D1199" s="161">
        <f t="shared" si="147"/>
        <v>20200</v>
      </c>
      <c r="E1199" s="155">
        <f t="shared" si="144"/>
        <v>1785</v>
      </c>
      <c r="F1199" s="462">
        <f t="shared" si="146"/>
        <v>8.836633663366337</v>
      </c>
      <c r="G1199" s="160">
        <v>200</v>
      </c>
      <c r="H1199" s="155"/>
      <c r="I1199" s="323">
        <f>H1199/G1199*100</f>
        <v>0</v>
      </c>
      <c r="J1199" s="160">
        <v>20000</v>
      </c>
      <c r="K1199" s="162">
        <v>1785</v>
      </c>
      <c r="L1199" s="483">
        <f t="shared" si="148"/>
        <v>8.924999999999999</v>
      </c>
      <c r="M1199" s="155"/>
      <c r="N1199" s="155"/>
      <c r="O1199" s="387"/>
      <c r="P1199" s="155"/>
      <c r="Q1199" s="155"/>
      <c r="R1199" s="366"/>
    </row>
    <row r="1200" spans="1:18" s="143" customFormat="1" ht="96">
      <c r="A1200" s="150">
        <v>85213</v>
      </c>
      <c r="B1200" s="299" t="s">
        <v>242</v>
      </c>
      <c r="C1200" s="94">
        <f>SUM(C1201)</f>
        <v>186000</v>
      </c>
      <c r="D1200" s="95">
        <f t="shared" si="147"/>
        <v>191804</v>
      </c>
      <c r="E1200" s="95">
        <f>H1200+K1200+Q1200+N1200</f>
        <v>87984</v>
      </c>
      <c r="F1200" s="530">
        <f t="shared" si="146"/>
        <v>45.871827490563284</v>
      </c>
      <c r="G1200" s="94"/>
      <c r="H1200" s="95"/>
      <c r="I1200" s="413"/>
      <c r="J1200" s="171">
        <f>SUM(J1201+J1202)</f>
        <v>191804</v>
      </c>
      <c r="K1200" s="171">
        <f>SUM(K1201+K1202)</f>
        <v>87984</v>
      </c>
      <c r="L1200" s="316">
        <f t="shared" si="148"/>
        <v>45.871827490563284</v>
      </c>
      <c r="M1200" s="95"/>
      <c r="N1200" s="95"/>
      <c r="O1200" s="402"/>
      <c r="P1200" s="95"/>
      <c r="Q1200" s="95"/>
      <c r="R1200" s="370"/>
    </row>
    <row r="1201" spans="1:18" s="118" customFormat="1" ht="24">
      <c r="A1201" s="108">
        <v>4130</v>
      </c>
      <c r="B1201" s="287" t="s">
        <v>51</v>
      </c>
      <c r="C1201" s="90">
        <v>186000</v>
      </c>
      <c r="D1201" s="103">
        <f t="shared" si="147"/>
        <v>191804</v>
      </c>
      <c r="E1201" s="103">
        <f t="shared" si="147"/>
        <v>87984</v>
      </c>
      <c r="F1201" s="531">
        <f t="shared" si="146"/>
        <v>45.871827490563284</v>
      </c>
      <c r="G1201" s="90"/>
      <c r="H1201" s="104"/>
      <c r="I1201" s="357"/>
      <c r="J1201" s="104">
        <f>186000+5804</f>
        <v>191804</v>
      </c>
      <c r="K1201" s="104">
        <v>87984</v>
      </c>
      <c r="L1201" s="304">
        <f t="shared" si="148"/>
        <v>45.871827490563284</v>
      </c>
      <c r="M1201" s="104"/>
      <c r="N1201" s="104"/>
      <c r="O1201" s="388"/>
      <c r="P1201" s="104"/>
      <c r="Q1201" s="104"/>
      <c r="R1201" s="365"/>
    </row>
    <row r="1202" spans="1:18" s="118" customFormat="1" ht="12.75" hidden="1">
      <c r="A1202" s="158">
        <v>4580</v>
      </c>
      <c r="B1202" s="278" t="s">
        <v>549</v>
      </c>
      <c r="C1202" s="160"/>
      <c r="D1202" s="161">
        <f t="shared" si="147"/>
        <v>0</v>
      </c>
      <c r="E1202" s="161">
        <f t="shared" si="147"/>
        <v>0</v>
      </c>
      <c r="F1202" s="529"/>
      <c r="G1202" s="160"/>
      <c r="H1202" s="155"/>
      <c r="I1202" s="323"/>
      <c r="J1202" s="244"/>
      <c r="K1202" s="155"/>
      <c r="L1202" s="274" t="e">
        <f t="shared" si="148"/>
        <v>#DIV/0!</v>
      </c>
      <c r="M1202" s="155"/>
      <c r="N1202" s="155"/>
      <c r="O1202" s="387"/>
      <c r="P1202" s="155"/>
      <c r="Q1202" s="155"/>
      <c r="R1202" s="366"/>
    </row>
    <row r="1203" spans="1:18" ht="48">
      <c r="A1203" s="119">
        <v>85214</v>
      </c>
      <c r="B1203" s="276" t="s">
        <v>243</v>
      </c>
      <c r="C1203" s="121">
        <f>SUM(C1204:C1205)</f>
        <v>6271000</v>
      </c>
      <c r="D1203" s="95">
        <f t="shared" si="147"/>
        <v>6339198</v>
      </c>
      <c r="E1203" s="95">
        <f t="shared" si="147"/>
        <v>2811830</v>
      </c>
      <c r="F1203" s="530">
        <f t="shared" si="146"/>
        <v>44.356241909465524</v>
      </c>
      <c r="G1203" s="121">
        <f>SUM(G1204:G1205)</f>
        <v>4602000</v>
      </c>
      <c r="H1203" s="84">
        <f>SUM(H1204:H1205)</f>
        <v>1993178</v>
      </c>
      <c r="I1203" s="413">
        <f>H1203/G1203*100</f>
        <v>43.311125597566274</v>
      </c>
      <c r="J1203" s="123">
        <f>SUM(J1204:J1205)</f>
        <v>1737198</v>
      </c>
      <c r="K1203" s="84">
        <f>SUM(K1204:K1205)</f>
        <v>818652</v>
      </c>
      <c r="L1203" s="448">
        <f t="shared" si="148"/>
        <v>47.124852780166684</v>
      </c>
      <c r="M1203" s="84"/>
      <c r="N1203" s="84"/>
      <c r="O1203" s="381"/>
      <c r="P1203" s="84"/>
      <c r="Q1203" s="84"/>
      <c r="R1203" s="372"/>
    </row>
    <row r="1204" spans="1:18" ht="12.75">
      <c r="A1204" s="124">
        <v>3110</v>
      </c>
      <c r="B1204" s="277" t="s">
        <v>98</v>
      </c>
      <c r="C1204" s="88">
        <v>6271000</v>
      </c>
      <c r="D1204" s="74">
        <f t="shared" si="147"/>
        <v>6339198</v>
      </c>
      <c r="E1204" s="74">
        <f t="shared" si="147"/>
        <v>2811830</v>
      </c>
      <c r="F1204" s="495">
        <f t="shared" si="146"/>
        <v>44.356241909465524</v>
      </c>
      <c r="G1204" s="88">
        <f>4600000+2000</f>
        <v>4602000</v>
      </c>
      <c r="H1204" s="89">
        <v>1993178</v>
      </c>
      <c r="I1204" s="280">
        <f>H1204/G1204*100</f>
        <v>43.311125597566274</v>
      </c>
      <c r="J1204" s="126">
        <f>1669000+68198</f>
        <v>1737198</v>
      </c>
      <c r="K1204" s="89">
        <v>818652</v>
      </c>
      <c r="L1204" s="442">
        <f t="shared" si="148"/>
        <v>47.124852780166684</v>
      </c>
      <c r="M1204" s="89"/>
      <c r="N1204" s="89"/>
      <c r="O1204" s="368"/>
      <c r="P1204" s="89"/>
      <c r="Q1204" s="89"/>
      <c r="R1204" s="362"/>
    </row>
    <row r="1205" spans="1:18" ht="24" hidden="1">
      <c r="A1205" s="124">
        <v>4110</v>
      </c>
      <c r="B1205" s="277" t="s">
        <v>498</v>
      </c>
      <c r="C1205" s="88"/>
      <c r="D1205" s="74">
        <f t="shared" si="147"/>
        <v>0</v>
      </c>
      <c r="E1205" s="89">
        <f>SUM(H1205+K1205+N1205+Q1205)</f>
        <v>0</v>
      </c>
      <c r="F1205" s="495" t="e">
        <f t="shared" si="146"/>
        <v>#DIV/0!</v>
      </c>
      <c r="G1205" s="88"/>
      <c r="H1205" s="89"/>
      <c r="I1205" s="280"/>
      <c r="J1205" s="126"/>
      <c r="K1205" s="89"/>
      <c r="L1205" s="224" t="e">
        <f t="shared" si="148"/>
        <v>#DIV/0!</v>
      </c>
      <c r="M1205" s="89"/>
      <c r="N1205" s="89"/>
      <c r="O1205" s="224"/>
      <c r="P1205" s="89"/>
      <c r="Q1205" s="89"/>
      <c r="R1205" s="362"/>
    </row>
    <row r="1206" spans="1:18" ht="16.5" customHeight="1">
      <c r="A1206" s="119">
        <v>85215</v>
      </c>
      <c r="B1206" s="276" t="s">
        <v>106</v>
      </c>
      <c r="C1206" s="121">
        <f>SUM(C1208)</f>
        <v>4037900</v>
      </c>
      <c r="D1206" s="95">
        <f t="shared" si="147"/>
        <v>3946260</v>
      </c>
      <c r="E1206" s="84">
        <f>H1206+K1206+Q1206+N1206</f>
        <v>1655764</v>
      </c>
      <c r="F1206" s="530">
        <f>E1206/D1206*100</f>
        <v>41.95780308443944</v>
      </c>
      <c r="G1206" s="281">
        <f>SUM(G1207:G1208)</f>
        <v>3946260</v>
      </c>
      <c r="H1206" s="84">
        <f>SUM(H1207:H1208)</f>
        <v>1655764</v>
      </c>
      <c r="I1206" s="413">
        <f>H1206/G1206*100</f>
        <v>41.95780308443944</v>
      </c>
      <c r="J1206" s="123"/>
      <c r="K1206" s="84"/>
      <c r="L1206" s="417"/>
      <c r="M1206" s="84"/>
      <c r="N1206" s="84"/>
      <c r="O1206" s="381"/>
      <c r="P1206" s="84"/>
      <c r="Q1206" s="84"/>
      <c r="R1206" s="372"/>
    </row>
    <row r="1207" spans="1:18" s="12" customFormat="1" ht="78" customHeight="1" hidden="1">
      <c r="A1207" s="194">
        <v>2910</v>
      </c>
      <c r="B1207" s="301" t="s">
        <v>107</v>
      </c>
      <c r="C1207" s="102"/>
      <c r="D1207" s="103">
        <f t="shared" si="147"/>
        <v>0</v>
      </c>
      <c r="E1207" s="104">
        <f>SUM(H1207+K1207+N1207+Q1207)</f>
        <v>0</v>
      </c>
      <c r="F1207" s="531" t="e">
        <f>E1207/D1207*100</f>
        <v>#DIV/0!</v>
      </c>
      <c r="G1207" s="90"/>
      <c r="H1207" s="103"/>
      <c r="I1207" s="357" t="e">
        <f>H1207/G1207*100</f>
        <v>#DIV/0!</v>
      </c>
      <c r="J1207" s="196"/>
      <c r="K1207" s="103"/>
      <c r="L1207" s="414"/>
      <c r="M1207" s="103"/>
      <c r="N1207" s="103"/>
      <c r="O1207" s="388"/>
      <c r="P1207" s="103"/>
      <c r="Q1207" s="103"/>
      <c r="R1207" s="365"/>
    </row>
    <row r="1208" spans="1:18" s="118" customFormat="1" ht="15.75" customHeight="1">
      <c r="A1208" s="158">
        <v>3110</v>
      </c>
      <c r="B1208" s="278" t="s">
        <v>98</v>
      </c>
      <c r="C1208" s="160">
        <v>4037900</v>
      </c>
      <c r="D1208" s="161">
        <f t="shared" si="147"/>
        <v>3946260</v>
      </c>
      <c r="E1208" s="155">
        <f>SUM(H1208+K1208+N1208+Q1208)</f>
        <v>1655764</v>
      </c>
      <c r="F1208" s="529">
        <f aca="true" t="shared" si="149" ref="F1208:F1271">E1208/D1208*100</f>
        <v>41.95780308443944</v>
      </c>
      <c r="G1208" s="160">
        <f>4037900-91640</f>
        <v>3946260</v>
      </c>
      <c r="H1208" s="155">
        <v>1655764</v>
      </c>
      <c r="I1208" s="323">
        <f>H1208/G1208*100</f>
        <v>41.95780308443944</v>
      </c>
      <c r="J1208" s="162"/>
      <c r="K1208" s="155"/>
      <c r="L1208" s="415"/>
      <c r="M1208" s="155"/>
      <c r="N1208" s="155"/>
      <c r="O1208" s="387"/>
      <c r="P1208" s="155"/>
      <c r="Q1208" s="155"/>
      <c r="R1208" s="366"/>
    </row>
    <row r="1209" spans="1:18" s="118" customFormat="1" ht="35.25" customHeight="1" hidden="1">
      <c r="A1209" s="119">
        <v>85216</v>
      </c>
      <c r="B1209" s="276" t="s">
        <v>108</v>
      </c>
      <c r="C1209" s="121">
        <f>SUM(C1210)</f>
        <v>0</v>
      </c>
      <c r="D1209" s="95">
        <f aca="true" t="shared" si="150" ref="D1209:D1273">G1209+J1209+P1209+M1209</f>
        <v>0</v>
      </c>
      <c r="E1209" s="84">
        <f>H1209+K1209+Q1209+N1209</f>
        <v>0</v>
      </c>
      <c r="F1209" s="530" t="e">
        <f t="shared" si="149"/>
        <v>#DIV/0!</v>
      </c>
      <c r="G1209" s="121"/>
      <c r="H1209" s="84"/>
      <c r="I1209" s="413"/>
      <c r="J1209" s="123">
        <f>J1210</f>
        <v>0</v>
      </c>
      <c r="K1209" s="123">
        <f>K1210</f>
        <v>0</v>
      </c>
      <c r="L1209" s="271" t="e">
        <f>K1209/J1209*100</f>
        <v>#DIV/0!</v>
      </c>
      <c r="M1209" s="84"/>
      <c r="N1209" s="84"/>
      <c r="O1209" s="381"/>
      <c r="P1209" s="84">
        <f>P1210</f>
        <v>0</v>
      </c>
      <c r="Q1209" s="84">
        <f>Q1210</f>
        <v>0</v>
      </c>
      <c r="R1209" s="316" t="e">
        <f>Q1209/P1209*100</f>
        <v>#DIV/0!</v>
      </c>
    </row>
    <row r="1210" spans="1:18" s="118" customFormat="1" ht="15.75" customHeight="1" hidden="1">
      <c r="A1210" s="144">
        <v>3110</v>
      </c>
      <c r="B1210" s="302" t="s">
        <v>98</v>
      </c>
      <c r="C1210" s="88"/>
      <c r="D1210" s="147">
        <f t="shared" si="150"/>
        <v>0</v>
      </c>
      <c r="E1210" s="89">
        <f>SUM(H1210+K1210+N1210+Q1210)</f>
        <v>0</v>
      </c>
      <c r="F1210" s="530" t="e">
        <f t="shared" si="149"/>
        <v>#DIV/0!</v>
      </c>
      <c r="G1210" s="146"/>
      <c r="H1210" s="149"/>
      <c r="I1210" s="413"/>
      <c r="J1210" s="148"/>
      <c r="K1210" s="149"/>
      <c r="L1210" s="316" t="e">
        <f>K1210/J1210*100</f>
        <v>#DIV/0!</v>
      </c>
      <c r="M1210" s="149"/>
      <c r="N1210" s="149"/>
      <c r="O1210" s="381"/>
      <c r="P1210" s="149"/>
      <c r="Q1210" s="149"/>
      <c r="R1210" s="316" t="e">
        <f>Q1210/P1210*100</f>
        <v>#DIV/0!</v>
      </c>
    </row>
    <row r="1211" spans="1:18" s="118" customFormat="1" ht="24">
      <c r="A1211" s="119">
        <v>85218</v>
      </c>
      <c r="B1211" s="276" t="s">
        <v>109</v>
      </c>
      <c r="C1211" s="121">
        <f>SUM(C1212:C1227)</f>
        <v>611000</v>
      </c>
      <c r="D1211" s="95">
        <f t="shared" si="150"/>
        <v>611000</v>
      </c>
      <c r="E1211" s="84">
        <f>H1211+K1211+Q1211+N1211</f>
        <v>317600</v>
      </c>
      <c r="F1211" s="530">
        <f t="shared" si="149"/>
        <v>51.98036006546645</v>
      </c>
      <c r="G1211" s="121"/>
      <c r="H1211" s="84"/>
      <c r="I1211" s="372"/>
      <c r="J1211" s="123"/>
      <c r="K1211" s="84"/>
      <c r="L1211" s="417"/>
      <c r="M1211" s="84">
        <f>SUM(M1212:M1227)</f>
        <v>611000</v>
      </c>
      <c r="N1211" s="84">
        <f>SUM(N1212:N1227)</f>
        <v>317600</v>
      </c>
      <c r="O1211" s="448">
        <f aca="true" t="shared" si="151" ref="O1211:O1227">N1211/M1211*100</f>
        <v>51.98036006546645</v>
      </c>
      <c r="P1211" s="84"/>
      <c r="Q1211" s="84"/>
      <c r="R1211" s="316"/>
    </row>
    <row r="1212" spans="1:18" ht="24">
      <c r="A1212" s="124">
        <v>4010</v>
      </c>
      <c r="B1212" s="277" t="s">
        <v>9</v>
      </c>
      <c r="C1212" s="88">
        <v>419500</v>
      </c>
      <c r="D1212" s="74">
        <f t="shared" si="150"/>
        <v>419500</v>
      </c>
      <c r="E1212" s="89">
        <f aca="true" t="shared" si="152" ref="E1212:E1227">SUM(H1212+K1212+N1212+Q1212)</f>
        <v>197022</v>
      </c>
      <c r="F1212" s="495">
        <f t="shared" si="149"/>
        <v>46.96591179976162</v>
      </c>
      <c r="G1212" s="88"/>
      <c r="H1212" s="89"/>
      <c r="I1212" s="362"/>
      <c r="J1212" s="126"/>
      <c r="K1212" s="89"/>
      <c r="L1212" s="391"/>
      <c r="M1212" s="88">
        <v>419500</v>
      </c>
      <c r="N1212" s="89">
        <v>197022</v>
      </c>
      <c r="O1212" s="442">
        <f t="shared" si="151"/>
        <v>46.96591179976162</v>
      </c>
      <c r="P1212" s="126"/>
      <c r="Q1212" s="89"/>
      <c r="R1212" s="224"/>
    </row>
    <row r="1213" spans="1:18" ht="24">
      <c r="A1213" s="124">
        <v>4040</v>
      </c>
      <c r="B1213" s="277" t="s">
        <v>541</v>
      </c>
      <c r="C1213" s="88">
        <v>35100</v>
      </c>
      <c r="D1213" s="74">
        <f t="shared" si="150"/>
        <v>35100</v>
      </c>
      <c r="E1213" s="74">
        <f>H1213+K1213+Q1213+N1213</f>
        <v>35100</v>
      </c>
      <c r="F1213" s="495">
        <f t="shared" si="149"/>
        <v>100</v>
      </c>
      <c r="G1213" s="88"/>
      <c r="H1213" s="89"/>
      <c r="I1213" s="362"/>
      <c r="J1213" s="126"/>
      <c r="K1213" s="89"/>
      <c r="L1213" s="391"/>
      <c r="M1213" s="88">
        <v>35100</v>
      </c>
      <c r="N1213" s="89">
        <v>35100</v>
      </c>
      <c r="O1213" s="442">
        <f t="shared" si="151"/>
        <v>100</v>
      </c>
      <c r="P1213" s="126"/>
      <c r="Q1213" s="89"/>
      <c r="R1213" s="224"/>
    </row>
    <row r="1214" spans="1:18" s="118" customFormat="1" ht="24">
      <c r="A1214" s="158">
        <v>4110</v>
      </c>
      <c r="B1214" s="278" t="s">
        <v>498</v>
      </c>
      <c r="C1214" s="160">
        <v>72830</v>
      </c>
      <c r="D1214" s="161">
        <f t="shared" si="150"/>
        <v>72830</v>
      </c>
      <c r="E1214" s="155">
        <f t="shared" si="152"/>
        <v>34205</v>
      </c>
      <c r="F1214" s="529">
        <f t="shared" si="149"/>
        <v>46.96553618014555</v>
      </c>
      <c r="G1214" s="160"/>
      <c r="H1214" s="155"/>
      <c r="I1214" s="366"/>
      <c r="J1214" s="162"/>
      <c r="K1214" s="155"/>
      <c r="L1214" s="415"/>
      <c r="M1214" s="160">
        <v>72830</v>
      </c>
      <c r="N1214" s="155">
        <v>34205</v>
      </c>
      <c r="O1214" s="462">
        <f t="shared" si="151"/>
        <v>46.96553618014555</v>
      </c>
      <c r="P1214" s="162"/>
      <c r="Q1214" s="155"/>
      <c r="R1214" s="274"/>
    </row>
    <row r="1215" spans="1:18" s="118" customFormat="1" ht="15" customHeight="1">
      <c r="A1215" s="124">
        <v>4120</v>
      </c>
      <c r="B1215" s="277" t="s">
        <v>571</v>
      </c>
      <c r="C1215" s="88">
        <v>11200</v>
      </c>
      <c r="D1215" s="74">
        <f t="shared" si="150"/>
        <v>11200</v>
      </c>
      <c r="E1215" s="89">
        <f t="shared" si="152"/>
        <v>5260</v>
      </c>
      <c r="F1215" s="495">
        <f t="shared" si="149"/>
        <v>46.964285714285715</v>
      </c>
      <c r="G1215" s="88"/>
      <c r="H1215" s="89"/>
      <c r="I1215" s="362"/>
      <c r="J1215" s="126"/>
      <c r="K1215" s="89"/>
      <c r="L1215" s="391"/>
      <c r="M1215" s="88">
        <v>11200</v>
      </c>
      <c r="N1215" s="89">
        <v>5260</v>
      </c>
      <c r="O1215" s="442">
        <f t="shared" si="151"/>
        <v>46.964285714285715</v>
      </c>
      <c r="P1215" s="126"/>
      <c r="Q1215" s="89"/>
      <c r="R1215" s="224"/>
    </row>
    <row r="1216" spans="1:18" ht="24">
      <c r="A1216" s="124">
        <v>4210</v>
      </c>
      <c r="B1216" s="277" t="s">
        <v>502</v>
      </c>
      <c r="C1216" s="88">
        <v>8000</v>
      </c>
      <c r="D1216" s="74">
        <f t="shared" si="150"/>
        <v>8000</v>
      </c>
      <c r="E1216" s="89">
        <f t="shared" si="152"/>
        <v>3757</v>
      </c>
      <c r="F1216" s="495">
        <f t="shared" si="149"/>
        <v>46.9625</v>
      </c>
      <c r="G1216" s="88"/>
      <c r="H1216" s="89"/>
      <c r="I1216" s="362"/>
      <c r="J1216" s="126"/>
      <c r="K1216" s="89"/>
      <c r="L1216" s="391"/>
      <c r="M1216" s="88">
        <v>8000</v>
      </c>
      <c r="N1216" s="89">
        <v>3757</v>
      </c>
      <c r="O1216" s="442">
        <f t="shared" si="151"/>
        <v>46.9625</v>
      </c>
      <c r="P1216" s="126"/>
      <c r="Q1216" s="89"/>
      <c r="R1216" s="224"/>
    </row>
    <row r="1217" spans="1:18" ht="15" customHeight="1">
      <c r="A1217" s="124">
        <v>4260</v>
      </c>
      <c r="B1217" s="277" t="s">
        <v>506</v>
      </c>
      <c r="C1217" s="88">
        <v>21400</v>
      </c>
      <c r="D1217" s="74">
        <f t="shared" si="150"/>
        <v>21400</v>
      </c>
      <c r="E1217" s="89">
        <f t="shared" si="152"/>
        <v>10051</v>
      </c>
      <c r="F1217" s="495">
        <f t="shared" si="149"/>
        <v>46.96728971962617</v>
      </c>
      <c r="G1217" s="88"/>
      <c r="H1217" s="89"/>
      <c r="I1217" s="362"/>
      <c r="J1217" s="126"/>
      <c r="K1217" s="89"/>
      <c r="L1217" s="391"/>
      <c r="M1217" s="88">
        <v>21400</v>
      </c>
      <c r="N1217" s="89">
        <v>10051</v>
      </c>
      <c r="O1217" s="442">
        <f t="shared" si="151"/>
        <v>46.96728971962617</v>
      </c>
      <c r="P1217" s="126"/>
      <c r="Q1217" s="89"/>
      <c r="R1217" s="224"/>
    </row>
    <row r="1218" spans="1:18" ht="15" customHeight="1">
      <c r="A1218" s="124">
        <v>4280</v>
      </c>
      <c r="B1218" s="277" t="s">
        <v>545</v>
      </c>
      <c r="C1218" s="88">
        <v>1100</v>
      </c>
      <c r="D1218" s="74">
        <f>G1218+J1218+P1218+M1218</f>
        <v>1100</v>
      </c>
      <c r="E1218" s="89">
        <f>SUM(H1218+K1218+N1218+Q1218)</f>
        <v>517</v>
      </c>
      <c r="F1218" s="495">
        <f t="shared" si="149"/>
        <v>47</v>
      </c>
      <c r="G1218" s="88"/>
      <c r="H1218" s="89"/>
      <c r="I1218" s="362"/>
      <c r="J1218" s="126"/>
      <c r="K1218" s="89"/>
      <c r="L1218" s="391"/>
      <c r="M1218" s="88">
        <v>1100</v>
      </c>
      <c r="N1218" s="89">
        <v>517</v>
      </c>
      <c r="O1218" s="442">
        <f t="shared" si="151"/>
        <v>47</v>
      </c>
      <c r="P1218" s="126"/>
      <c r="Q1218" s="89"/>
      <c r="R1218" s="224"/>
    </row>
    <row r="1219" spans="1:18" ht="15" customHeight="1">
      <c r="A1219" s="124">
        <v>4300</v>
      </c>
      <c r="B1219" s="277" t="s">
        <v>546</v>
      </c>
      <c r="C1219" s="88">
        <v>3800</v>
      </c>
      <c r="D1219" s="74">
        <f t="shared" si="150"/>
        <v>3800</v>
      </c>
      <c r="E1219" s="89">
        <f t="shared" si="152"/>
        <v>1785</v>
      </c>
      <c r="F1219" s="495">
        <f t="shared" si="149"/>
        <v>46.973684210526315</v>
      </c>
      <c r="G1219" s="88"/>
      <c r="H1219" s="89"/>
      <c r="I1219" s="362"/>
      <c r="J1219" s="126"/>
      <c r="K1219" s="89"/>
      <c r="L1219" s="391"/>
      <c r="M1219" s="88">
        <v>3800</v>
      </c>
      <c r="N1219" s="89">
        <v>1785</v>
      </c>
      <c r="O1219" s="442">
        <f t="shared" si="151"/>
        <v>46.973684210526315</v>
      </c>
      <c r="P1219" s="126"/>
      <c r="Q1219" s="89"/>
      <c r="R1219" s="224"/>
    </row>
    <row r="1220" spans="1:18" ht="24">
      <c r="A1220" s="124">
        <v>4350</v>
      </c>
      <c r="B1220" s="277" t="s">
        <v>48</v>
      </c>
      <c r="C1220" s="88">
        <v>1050</v>
      </c>
      <c r="D1220" s="74">
        <f>G1220+J1220+P1220+M1220</f>
        <v>1050</v>
      </c>
      <c r="E1220" s="89">
        <f t="shared" si="152"/>
        <v>493</v>
      </c>
      <c r="F1220" s="495">
        <f t="shared" si="149"/>
        <v>46.95238095238095</v>
      </c>
      <c r="G1220" s="88"/>
      <c r="H1220" s="89"/>
      <c r="I1220" s="362"/>
      <c r="J1220" s="126"/>
      <c r="K1220" s="89"/>
      <c r="L1220" s="391"/>
      <c r="M1220" s="88">
        <v>1050</v>
      </c>
      <c r="N1220" s="89">
        <v>493</v>
      </c>
      <c r="O1220" s="442">
        <f t="shared" si="151"/>
        <v>46.95238095238095</v>
      </c>
      <c r="P1220" s="126"/>
      <c r="Q1220" s="89"/>
      <c r="R1220" s="224"/>
    </row>
    <row r="1221" spans="1:18" ht="48">
      <c r="A1221" s="172">
        <v>4360</v>
      </c>
      <c r="B1221" s="337" t="s">
        <v>297</v>
      </c>
      <c r="C1221" s="88">
        <v>850</v>
      </c>
      <c r="D1221" s="74">
        <f>G1221+J1221+P1221+M1221</f>
        <v>850</v>
      </c>
      <c r="E1221" s="89">
        <f t="shared" si="152"/>
        <v>399</v>
      </c>
      <c r="F1221" s="495">
        <f>E1221/D1221*100</f>
        <v>46.94117647058824</v>
      </c>
      <c r="G1221" s="88"/>
      <c r="H1221" s="89"/>
      <c r="I1221" s="362"/>
      <c r="J1221" s="126"/>
      <c r="K1221" s="89"/>
      <c r="L1221" s="391"/>
      <c r="M1221" s="88">
        <v>850</v>
      </c>
      <c r="N1221" s="89">
        <v>399</v>
      </c>
      <c r="O1221" s="442">
        <f t="shared" si="151"/>
        <v>46.94117647058824</v>
      </c>
      <c r="P1221" s="126"/>
      <c r="Q1221" s="89"/>
      <c r="R1221" s="224"/>
    </row>
    <row r="1222" spans="1:18" ht="48">
      <c r="A1222" s="172">
        <v>4370</v>
      </c>
      <c r="B1222" s="337" t="s">
        <v>298</v>
      </c>
      <c r="C1222" s="88">
        <v>9100</v>
      </c>
      <c r="D1222" s="74">
        <f>G1222+J1222+P1222+M1222</f>
        <v>9100</v>
      </c>
      <c r="E1222" s="89">
        <f t="shared" si="152"/>
        <v>4274</v>
      </c>
      <c r="F1222" s="495">
        <f>E1222/D1222*100</f>
        <v>46.96703296703297</v>
      </c>
      <c r="G1222" s="88"/>
      <c r="H1222" s="89"/>
      <c r="I1222" s="362"/>
      <c r="J1222" s="126"/>
      <c r="K1222" s="89"/>
      <c r="L1222" s="391"/>
      <c r="M1222" s="88">
        <v>9100</v>
      </c>
      <c r="N1222" s="89">
        <v>4274</v>
      </c>
      <c r="O1222" s="442">
        <f t="shared" si="151"/>
        <v>46.96703296703297</v>
      </c>
      <c r="P1222" s="126"/>
      <c r="Q1222" s="89"/>
      <c r="R1222" s="224"/>
    </row>
    <row r="1223" spans="1:18" ht="15" customHeight="1">
      <c r="A1223" s="124">
        <v>4410</v>
      </c>
      <c r="B1223" s="277" t="s">
        <v>484</v>
      </c>
      <c r="C1223" s="88">
        <v>1200</v>
      </c>
      <c r="D1223" s="74">
        <f t="shared" si="150"/>
        <v>1200</v>
      </c>
      <c r="E1223" s="89">
        <f t="shared" si="152"/>
        <v>564</v>
      </c>
      <c r="F1223" s="495">
        <f>E1223/D1223*100</f>
        <v>47</v>
      </c>
      <c r="G1223" s="88"/>
      <c r="H1223" s="89"/>
      <c r="I1223" s="362"/>
      <c r="J1223" s="126"/>
      <c r="K1223" s="89"/>
      <c r="L1223" s="391"/>
      <c r="M1223" s="88">
        <v>1200</v>
      </c>
      <c r="N1223" s="89">
        <v>564</v>
      </c>
      <c r="O1223" s="442">
        <f t="shared" si="151"/>
        <v>47</v>
      </c>
      <c r="P1223" s="126"/>
      <c r="Q1223" s="89"/>
      <c r="R1223" s="224"/>
    </row>
    <row r="1224" spans="1:18" ht="15" customHeight="1">
      <c r="A1224" s="124">
        <v>4440</v>
      </c>
      <c r="B1224" s="277" t="s">
        <v>514</v>
      </c>
      <c r="C1224" s="88">
        <v>12100</v>
      </c>
      <c r="D1224" s="74">
        <f t="shared" si="150"/>
        <v>12100</v>
      </c>
      <c r="E1224" s="89">
        <f t="shared" si="152"/>
        <v>12100</v>
      </c>
      <c r="F1224" s="495">
        <f t="shared" si="149"/>
        <v>100</v>
      </c>
      <c r="G1224" s="88"/>
      <c r="H1224" s="89"/>
      <c r="I1224" s="362"/>
      <c r="J1224" s="126"/>
      <c r="K1224" s="126"/>
      <c r="L1224" s="391"/>
      <c r="M1224" s="88">
        <v>12100</v>
      </c>
      <c r="N1224" s="89">
        <v>12100</v>
      </c>
      <c r="O1224" s="442">
        <f t="shared" si="151"/>
        <v>100</v>
      </c>
      <c r="P1224" s="126"/>
      <c r="Q1224" s="89"/>
      <c r="R1224" s="224"/>
    </row>
    <row r="1225" spans="1:18" ht="60">
      <c r="A1225" s="172">
        <v>4740</v>
      </c>
      <c r="B1225" s="337" t="s">
        <v>290</v>
      </c>
      <c r="C1225" s="88">
        <v>2600</v>
      </c>
      <c r="D1225" s="74">
        <f t="shared" si="150"/>
        <v>2600</v>
      </c>
      <c r="E1225" s="89">
        <f t="shared" si="152"/>
        <v>1221</v>
      </c>
      <c r="F1225" s="495">
        <f>E1225/D1225*100</f>
        <v>46.96153846153846</v>
      </c>
      <c r="G1225" s="88"/>
      <c r="H1225" s="89"/>
      <c r="I1225" s="362"/>
      <c r="J1225" s="126"/>
      <c r="K1225" s="126"/>
      <c r="L1225" s="391"/>
      <c r="M1225" s="88">
        <v>2600</v>
      </c>
      <c r="N1225" s="89">
        <v>1221</v>
      </c>
      <c r="O1225" s="442">
        <f t="shared" si="151"/>
        <v>46.96153846153846</v>
      </c>
      <c r="P1225" s="126"/>
      <c r="Q1225" s="89"/>
      <c r="R1225" s="224"/>
    </row>
    <row r="1226" spans="1:18" ht="36">
      <c r="A1226" s="172">
        <v>4750</v>
      </c>
      <c r="B1226" s="337" t="s">
        <v>291</v>
      </c>
      <c r="C1226" s="88">
        <v>600</v>
      </c>
      <c r="D1226" s="74">
        <f t="shared" si="150"/>
        <v>600</v>
      </c>
      <c r="E1226" s="89">
        <f t="shared" si="152"/>
        <v>282</v>
      </c>
      <c r="F1226" s="495">
        <f>E1226/D1226*100</f>
        <v>47</v>
      </c>
      <c r="G1226" s="88"/>
      <c r="H1226" s="89"/>
      <c r="I1226" s="362"/>
      <c r="J1226" s="126"/>
      <c r="K1226" s="126"/>
      <c r="L1226" s="391"/>
      <c r="M1226" s="88">
        <v>600</v>
      </c>
      <c r="N1226" s="89">
        <v>282</v>
      </c>
      <c r="O1226" s="442">
        <f t="shared" si="151"/>
        <v>47</v>
      </c>
      <c r="P1226" s="126"/>
      <c r="Q1226" s="89"/>
      <c r="R1226" s="224"/>
    </row>
    <row r="1227" spans="1:18" ht="38.25" customHeight="1">
      <c r="A1227" s="158">
        <v>6060</v>
      </c>
      <c r="B1227" s="278" t="s">
        <v>49</v>
      </c>
      <c r="C1227" s="160">
        <v>10570</v>
      </c>
      <c r="D1227" s="161">
        <f t="shared" si="150"/>
        <v>10570</v>
      </c>
      <c r="E1227" s="155">
        <f t="shared" si="152"/>
        <v>10570</v>
      </c>
      <c r="F1227" s="529">
        <f t="shared" si="149"/>
        <v>100</v>
      </c>
      <c r="G1227" s="160"/>
      <c r="H1227" s="155"/>
      <c r="I1227" s="366"/>
      <c r="J1227" s="162"/>
      <c r="K1227" s="162"/>
      <c r="L1227" s="415"/>
      <c r="M1227" s="160">
        <v>10570</v>
      </c>
      <c r="N1227" s="155">
        <v>10570</v>
      </c>
      <c r="O1227" s="442">
        <f t="shared" si="151"/>
        <v>100</v>
      </c>
      <c r="P1227" s="162"/>
      <c r="Q1227" s="155"/>
      <c r="R1227" s="274"/>
    </row>
    <row r="1228" spans="1:18" ht="24.75" customHeight="1">
      <c r="A1228" s="119">
        <v>85219</v>
      </c>
      <c r="B1228" s="276" t="s">
        <v>110</v>
      </c>
      <c r="C1228" s="121">
        <f>SUM(C1229:C1259)</f>
        <v>5978000</v>
      </c>
      <c r="D1228" s="95">
        <f t="shared" si="150"/>
        <v>6054000</v>
      </c>
      <c r="E1228" s="95">
        <f>H1228+K1228+Q1228+N1228</f>
        <v>3174583</v>
      </c>
      <c r="F1228" s="530">
        <f t="shared" si="149"/>
        <v>52.43777667657747</v>
      </c>
      <c r="G1228" s="94">
        <f>SUM(G1229:G1259)</f>
        <v>6054000</v>
      </c>
      <c r="H1228" s="84">
        <f>SUM(H1229:H1259)</f>
        <v>3174583</v>
      </c>
      <c r="I1228" s="413">
        <f aca="true" t="shared" si="153" ref="I1228:I1259">H1228/G1228*100</f>
        <v>52.43777667657747</v>
      </c>
      <c r="J1228" s="123"/>
      <c r="K1228" s="123"/>
      <c r="L1228" s="316"/>
      <c r="M1228" s="84"/>
      <c r="N1228" s="84"/>
      <c r="O1228" s="316"/>
      <c r="P1228" s="84"/>
      <c r="Q1228" s="84"/>
      <c r="R1228" s="372"/>
    </row>
    <row r="1229" spans="1:18" ht="36">
      <c r="A1229" s="108">
        <v>3020</v>
      </c>
      <c r="B1229" s="287" t="s">
        <v>257</v>
      </c>
      <c r="C1229" s="90">
        <v>14000</v>
      </c>
      <c r="D1229" s="103">
        <f t="shared" si="150"/>
        <v>14000</v>
      </c>
      <c r="E1229" s="104">
        <f>SUM(H1229+K1229+N1229+Q1229)</f>
        <v>7837</v>
      </c>
      <c r="F1229" s="531">
        <f t="shared" si="149"/>
        <v>55.978571428571435</v>
      </c>
      <c r="G1229" s="90">
        <v>14000</v>
      </c>
      <c r="H1229" s="104">
        <v>7837</v>
      </c>
      <c r="I1229" s="470">
        <f t="shared" si="153"/>
        <v>55.978571428571435</v>
      </c>
      <c r="J1229" s="200"/>
      <c r="K1229" s="104"/>
      <c r="L1229" s="304"/>
      <c r="M1229" s="104"/>
      <c r="N1229" s="104"/>
      <c r="O1229" s="304"/>
      <c r="P1229" s="104"/>
      <c r="Q1229" s="104"/>
      <c r="R1229" s="365"/>
    </row>
    <row r="1230" spans="1:18" ht="24">
      <c r="A1230" s="124">
        <v>4010</v>
      </c>
      <c r="B1230" s="277" t="s">
        <v>9</v>
      </c>
      <c r="C1230" s="88">
        <v>3554400</v>
      </c>
      <c r="D1230" s="74">
        <f t="shared" si="150"/>
        <v>3630400</v>
      </c>
      <c r="E1230" s="89">
        <f>SUM(H1230+K1230+N1230+Q1230)</f>
        <v>1826366</v>
      </c>
      <c r="F1230" s="495">
        <f t="shared" si="149"/>
        <v>50.30756941383869</v>
      </c>
      <c r="G1230" s="88">
        <f>3554400+76000</f>
        <v>3630400</v>
      </c>
      <c r="H1230" s="89">
        <v>1826366</v>
      </c>
      <c r="I1230" s="468">
        <f t="shared" si="153"/>
        <v>50.30756941383869</v>
      </c>
      <c r="J1230" s="126"/>
      <c r="K1230" s="89"/>
      <c r="L1230" s="224"/>
      <c r="M1230" s="89"/>
      <c r="N1230" s="89"/>
      <c r="O1230" s="224"/>
      <c r="P1230" s="89"/>
      <c r="Q1230" s="89"/>
      <c r="R1230" s="362"/>
    </row>
    <row r="1231" spans="1:18" ht="24">
      <c r="A1231" s="124">
        <v>4040</v>
      </c>
      <c r="B1231" s="277" t="s">
        <v>541</v>
      </c>
      <c r="C1231" s="88">
        <v>257960</v>
      </c>
      <c r="D1231" s="74">
        <f t="shared" si="150"/>
        <v>229660</v>
      </c>
      <c r="E1231" s="89">
        <f>SUM(H1231+K1231+N1231+Q1231)</f>
        <v>229655</v>
      </c>
      <c r="F1231" s="495">
        <f t="shared" si="149"/>
        <v>99.99782286858834</v>
      </c>
      <c r="G1231" s="88">
        <f>257960-28300</f>
        <v>229660</v>
      </c>
      <c r="H1231" s="89">
        <v>229655</v>
      </c>
      <c r="I1231" s="468">
        <f t="shared" si="153"/>
        <v>99.99782286858834</v>
      </c>
      <c r="J1231" s="126"/>
      <c r="K1231" s="89"/>
      <c r="L1231" s="224"/>
      <c r="M1231" s="89"/>
      <c r="N1231" s="89"/>
      <c r="O1231" s="224"/>
      <c r="P1231" s="89"/>
      <c r="Q1231" s="89"/>
      <c r="R1231" s="362"/>
    </row>
    <row r="1232" spans="1:18" ht="24">
      <c r="A1232" s="124">
        <v>4110</v>
      </c>
      <c r="B1232" s="277" t="s">
        <v>498</v>
      </c>
      <c r="C1232" s="88">
        <v>602160</v>
      </c>
      <c r="D1232" s="74">
        <f t="shared" si="150"/>
        <v>602160</v>
      </c>
      <c r="E1232" s="89">
        <f aca="true" t="shared" si="154" ref="E1232:E1249">SUM(H1232+K1232+N1232+Q1232)</f>
        <v>310108</v>
      </c>
      <c r="F1232" s="495">
        <f t="shared" si="149"/>
        <v>51.49926929719676</v>
      </c>
      <c r="G1232" s="88">
        <v>602160</v>
      </c>
      <c r="H1232" s="89">
        <v>310108</v>
      </c>
      <c r="I1232" s="468">
        <f t="shared" si="153"/>
        <v>51.49926929719676</v>
      </c>
      <c r="J1232" s="126"/>
      <c r="K1232" s="89"/>
      <c r="L1232" s="224"/>
      <c r="M1232" s="89"/>
      <c r="N1232" s="89"/>
      <c r="O1232" s="224"/>
      <c r="P1232" s="89"/>
      <c r="Q1232" s="89"/>
      <c r="R1232" s="362"/>
    </row>
    <row r="1233" spans="1:18" ht="12.75">
      <c r="A1233" s="124">
        <v>4120</v>
      </c>
      <c r="B1233" s="277" t="s">
        <v>571</v>
      </c>
      <c r="C1233" s="88">
        <v>89750</v>
      </c>
      <c r="D1233" s="74">
        <f t="shared" si="150"/>
        <v>80880</v>
      </c>
      <c r="E1233" s="89">
        <f t="shared" si="154"/>
        <v>47683</v>
      </c>
      <c r="F1233" s="495">
        <f t="shared" si="149"/>
        <v>58.955242334322456</v>
      </c>
      <c r="G1233" s="88">
        <f>89750-8870</f>
        <v>80880</v>
      </c>
      <c r="H1233" s="89">
        <v>47683</v>
      </c>
      <c r="I1233" s="468">
        <f t="shared" si="153"/>
        <v>58.955242334322456</v>
      </c>
      <c r="J1233" s="126"/>
      <c r="K1233" s="89"/>
      <c r="L1233" s="224"/>
      <c r="M1233" s="89"/>
      <c r="N1233" s="89"/>
      <c r="O1233" s="224"/>
      <c r="P1233" s="89"/>
      <c r="Q1233" s="89"/>
      <c r="R1233" s="362"/>
    </row>
    <row r="1234" spans="1:18" ht="12.75">
      <c r="A1234" s="158">
        <v>4140</v>
      </c>
      <c r="B1234" s="278" t="s">
        <v>544</v>
      </c>
      <c r="C1234" s="160">
        <v>51000</v>
      </c>
      <c r="D1234" s="161">
        <f>G1234+J1234+P1234+M1234</f>
        <v>88170</v>
      </c>
      <c r="E1234" s="155">
        <f>SUM(H1234+K1234+N1234+Q1234)</f>
        <v>40955</v>
      </c>
      <c r="F1234" s="529">
        <f>E1234/D1234*100</f>
        <v>46.45003969604174</v>
      </c>
      <c r="G1234" s="160">
        <f>51000+37170</f>
        <v>88170</v>
      </c>
      <c r="H1234" s="155">
        <v>40955</v>
      </c>
      <c r="I1234" s="469">
        <f t="shared" si="153"/>
        <v>46.45003969604174</v>
      </c>
      <c r="J1234" s="162"/>
      <c r="K1234" s="155"/>
      <c r="L1234" s="274"/>
      <c r="M1234" s="155"/>
      <c r="N1234" s="155"/>
      <c r="O1234" s="274"/>
      <c r="P1234" s="155"/>
      <c r="Q1234" s="155"/>
      <c r="R1234" s="366"/>
    </row>
    <row r="1235" spans="1:18" ht="24">
      <c r="A1235" s="124">
        <v>4170</v>
      </c>
      <c r="B1235" s="277" t="s">
        <v>536</v>
      </c>
      <c r="C1235" s="88">
        <v>3000</v>
      </c>
      <c r="D1235" s="74">
        <f t="shared" si="150"/>
        <v>3000</v>
      </c>
      <c r="E1235" s="89">
        <f t="shared" si="154"/>
        <v>300</v>
      </c>
      <c r="F1235" s="495">
        <f t="shared" si="149"/>
        <v>10</v>
      </c>
      <c r="G1235" s="88">
        <v>3000</v>
      </c>
      <c r="H1235" s="89">
        <v>300</v>
      </c>
      <c r="I1235" s="468">
        <f t="shared" si="153"/>
        <v>10</v>
      </c>
      <c r="J1235" s="126"/>
      <c r="K1235" s="89"/>
      <c r="L1235" s="224"/>
      <c r="M1235" s="89"/>
      <c r="N1235" s="89"/>
      <c r="O1235" s="224"/>
      <c r="P1235" s="89"/>
      <c r="Q1235" s="89"/>
      <c r="R1235" s="362"/>
    </row>
    <row r="1236" spans="1:18" ht="24">
      <c r="A1236" s="124">
        <v>4210</v>
      </c>
      <c r="B1236" s="277" t="s">
        <v>502</v>
      </c>
      <c r="C1236" s="88">
        <v>154350</v>
      </c>
      <c r="D1236" s="74">
        <f t="shared" si="150"/>
        <v>154350</v>
      </c>
      <c r="E1236" s="89">
        <f t="shared" si="154"/>
        <v>61435</v>
      </c>
      <c r="F1236" s="495">
        <f t="shared" si="149"/>
        <v>39.802397149335924</v>
      </c>
      <c r="G1236" s="88">
        <v>154350</v>
      </c>
      <c r="H1236" s="89">
        <v>61435</v>
      </c>
      <c r="I1236" s="280">
        <f t="shared" si="153"/>
        <v>39.802397149335924</v>
      </c>
      <c r="J1236" s="126"/>
      <c r="K1236" s="89"/>
      <c r="L1236" s="224"/>
      <c r="M1236" s="89"/>
      <c r="N1236" s="89"/>
      <c r="O1236" s="224"/>
      <c r="P1236" s="89"/>
      <c r="Q1236" s="89"/>
      <c r="R1236" s="362"/>
    </row>
    <row r="1237" spans="1:18" ht="12.75">
      <c r="A1237" s="124">
        <v>4260</v>
      </c>
      <c r="B1237" s="277" t="s">
        <v>506</v>
      </c>
      <c r="C1237" s="88">
        <v>95000</v>
      </c>
      <c r="D1237" s="74">
        <f t="shared" si="150"/>
        <v>95000</v>
      </c>
      <c r="E1237" s="89">
        <f t="shared" si="154"/>
        <v>61401</v>
      </c>
      <c r="F1237" s="495">
        <f t="shared" si="149"/>
        <v>64.63263157894737</v>
      </c>
      <c r="G1237" s="88">
        <v>95000</v>
      </c>
      <c r="H1237" s="89">
        <v>61401</v>
      </c>
      <c r="I1237" s="280">
        <f t="shared" si="153"/>
        <v>64.63263157894737</v>
      </c>
      <c r="J1237" s="126"/>
      <c r="K1237" s="89"/>
      <c r="L1237" s="224"/>
      <c r="M1237" s="89"/>
      <c r="N1237" s="89"/>
      <c r="O1237" s="224"/>
      <c r="P1237" s="89"/>
      <c r="Q1237" s="89"/>
      <c r="R1237" s="362"/>
    </row>
    <row r="1238" spans="1:18" ht="15" customHeight="1">
      <c r="A1238" s="124">
        <v>4270</v>
      </c>
      <c r="B1238" s="277" t="s">
        <v>508</v>
      </c>
      <c r="C1238" s="88">
        <v>70000</v>
      </c>
      <c r="D1238" s="74">
        <f t="shared" si="150"/>
        <v>70000</v>
      </c>
      <c r="E1238" s="89">
        <f t="shared" si="154"/>
        <v>4966</v>
      </c>
      <c r="F1238" s="495">
        <f t="shared" si="149"/>
        <v>7.094285714285714</v>
      </c>
      <c r="G1238" s="88">
        <v>70000</v>
      </c>
      <c r="H1238" s="89">
        <v>4966</v>
      </c>
      <c r="I1238" s="280">
        <f t="shared" si="153"/>
        <v>7.094285714285714</v>
      </c>
      <c r="J1238" s="126"/>
      <c r="K1238" s="89"/>
      <c r="L1238" s="224"/>
      <c r="M1238" s="89"/>
      <c r="N1238" s="89"/>
      <c r="O1238" s="224"/>
      <c r="P1238" s="89"/>
      <c r="Q1238" s="89"/>
      <c r="R1238" s="362"/>
    </row>
    <row r="1239" spans="1:18" ht="15" customHeight="1">
      <c r="A1239" s="124">
        <v>4280</v>
      </c>
      <c r="B1239" s="277" t="s">
        <v>545</v>
      </c>
      <c r="C1239" s="88">
        <v>5000</v>
      </c>
      <c r="D1239" s="74">
        <f t="shared" si="150"/>
        <v>5000</v>
      </c>
      <c r="E1239" s="89">
        <f t="shared" si="154"/>
        <v>1298</v>
      </c>
      <c r="F1239" s="495">
        <f t="shared" si="149"/>
        <v>25.96</v>
      </c>
      <c r="G1239" s="88">
        <v>5000</v>
      </c>
      <c r="H1239" s="89">
        <v>1298</v>
      </c>
      <c r="I1239" s="280">
        <f t="shared" si="153"/>
        <v>25.96</v>
      </c>
      <c r="J1239" s="126"/>
      <c r="K1239" s="89"/>
      <c r="L1239" s="224"/>
      <c r="M1239" s="89"/>
      <c r="N1239" s="89"/>
      <c r="O1239" s="224"/>
      <c r="P1239" s="89"/>
      <c r="Q1239" s="89"/>
      <c r="R1239" s="362"/>
    </row>
    <row r="1240" spans="1:18" ht="15" customHeight="1">
      <c r="A1240" s="124">
        <v>4300</v>
      </c>
      <c r="B1240" s="277" t="s">
        <v>546</v>
      </c>
      <c r="C1240" s="88">
        <v>195000</v>
      </c>
      <c r="D1240" s="74">
        <f t="shared" si="150"/>
        <v>195000</v>
      </c>
      <c r="E1240" s="89">
        <f t="shared" si="154"/>
        <v>126358</v>
      </c>
      <c r="F1240" s="495">
        <f t="shared" si="149"/>
        <v>64.79897435897436</v>
      </c>
      <c r="G1240" s="88">
        <v>195000</v>
      </c>
      <c r="H1240" s="89">
        <v>126358</v>
      </c>
      <c r="I1240" s="280">
        <f t="shared" si="153"/>
        <v>64.79897435897436</v>
      </c>
      <c r="J1240" s="126"/>
      <c r="K1240" s="89"/>
      <c r="L1240" s="224"/>
      <c r="M1240" s="89"/>
      <c r="N1240" s="89"/>
      <c r="O1240" s="224"/>
      <c r="P1240" s="89"/>
      <c r="Q1240" s="89"/>
      <c r="R1240" s="362"/>
    </row>
    <row r="1241" spans="1:18" ht="24">
      <c r="A1241" s="124">
        <v>4350</v>
      </c>
      <c r="B1241" s="277" t="s">
        <v>48</v>
      </c>
      <c r="C1241" s="88">
        <v>5000</v>
      </c>
      <c r="D1241" s="74">
        <f t="shared" si="150"/>
        <v>5000</v>
      </c>
      <c r="E1241" s="89">
        <f t="shared" si="154"/>
        <v>2056</v>
      </c>
      <c r="F1241" s="495">
        <f t="shared" si="149"/>
        <v>41.120000000000005</v>
      </c>
      <c r="G1241" s="88">
        <v>5000</v>
      </c>
      <c r="H1241" s="89">
        <v>2056</v>
      </c>
      <c r="I1241" s="280">
        <f t="shared" si="153"/>
        <v>41.120000000000005</v>
      </c>
      <c r="J1241" s="126"/>
      <c r="K1241" s="89"/>
      <c r="L1241" s="224"/>
      <c r="M1241" s="89"/>
      <c r="N1241" s="89"/>
      <c r="O1241" s="224"/>
      <c r="P1241" s="89"/>
      <c r="Q1241" s="89"/>
      <c r="R1241" s="362"/>
    </row>
    <row r="1242" spans="1:18" ht="48">
      <c r="A1242" s="172">
        <v>4360</v>
      </c>
      <c r="B1242" s="337" t="s">
        <v>297</v>
      </c>
      <c r="C1242" s="88">
        <v>11000</v>
      </c>
      <c r="D1242" s="74">
        <f t="shared" si="150"/>
        <v>11000</v>
      </c>
      <c r="E1242" s="89">
        <f>SUM(H1242+K1242+N1242+Q1242)</f>
        <v>4700</v>
      </c>
      <c r="F1242" s="495">
        <f>E1242/D1242*100</f>
        <v>42.72727272727273</v>
      </c>
      <c r="G1242" s="88">
        <v>11000</v>
      </c>
      <c r="H1242" s="89">
        <v>4700</v>
      </c>
      <c r="I1242" s="280">
        <f t="shared" si="153"/>
        <v>42.72727272727273</v>
      </c>
      <c r="J1242" s="126"/>
      <c r="K1242" s="89"/>
      <c r="L1242" s="224"/>
      <c r="M1242" s="89"/>
      <c r="N1242" s="89"/>
      <c r="O1242" s="224"/>
      <c r="P1242" s="89"/>
      <c r="Q1242" s="89"/>
      <c r="R1242" s="362"/>
    </row>
    <row r="1243" spans="1:18" ht="48">
      <c r="A1243" s="172">
        <v>4370</v>
      </c>
      <c r="B1243" s="337" t="s">
        <v>298</v>
      </c>
      <c r="C1243" s="88">
        <v>64000</v>
      </c>
      <c r="D1243" s="74">
        <f t="shared" si="150"/>
        <v>64000</v>
      </c>
      <c r="E1243" s="89">
        <f>SUM(H1243+K1243+N1243+Q1243)</f>
        <v>27828</v>
      </c>
      <c r="F1243" s="495">
        <f>E1243/D1243*100</f>
        <v>43.481249999999996</v>
      </c>
      <c r="G1243" s="88">
        <v>64000</v>
      </c>
      <c r="H1243" s="89">
        <v>27828</v>
      </c>
      <c r="I1243" s="280">
        <f t="shared" si="153"/>
        <v>43.481249999999996</v>
      </c>
      <c r="J1243" s="126"/>
      <c r="K1243" s="89"/>
      <c r="L1243" s="224"/>
      <c r="M1243" s="89"/>
      <c r="N1243" s="89"/>
      <c r="O1243" s="224"/>
      <c r="P1243" s="89"/>
      <c r="Q1243" s="89"/>
      <c r="R1243" s="362"/>
    </row>
    <row r="1244" spans="1:18" ht="36">
      <c r="A1244" s="172">
        <v>4390</v>
      </c>
      <c r="B1244" s="337" t="s">
        <v>268</v>
      </c>
      <c r="C1244" s="88">
        <v>41000</v>
      </c>
      <c r="D1244" s="74">
        <f>G1244+J1244+P1244+M1244</f>
        <v>41000</v>
      </c>
      <c r="E1244" s="89">
        <f>SUM(H1244+K1244+N1244+Q1244)</f>
        <v>25620</v>
      </c>
      <c r="F1244" s="495">
        <f>E1244/D1244*100</f>
        <v>62.48780487804878</v>
      </c>
      <c r="G1244" s="88">
        <v>41000</v>
      </c>
      <c r="H1244" s="89">
        <v>25620</v>
      </c>
      <c r="I1244" s="280">
        <f t="shared" si="153"/>
        <v>62.48780487804878</v>
      </c>
      <c r="J1244" s="126"/>
      <c r="K1244" s="89"/>
      <c r="L1244" s="224"/>
      <c r="M1244" s="89"/>
      <c r="N1244" s="89"/>
      <c r="O1244" s="224"/>
      <c r="P1244" s="89"/>
      <c r="Q1244" s="89"/>
      <c r="R1244" s="362"/>
    </row>
    <row r="1245" spans="1:18" ht="24">
      <c r="A1245" s="172">
        <v>4400</v>
      </c>
      <c r="B1245" s="337" t="s">
        <v>289</v>
      </c>
      <c r="C1245" s="88">
        <v>7250</v>
      </c>
      <c r="D1245" s="74">
        <f t="shared" si="150"/>
        <v>7250</v>
      </c>
      <c r="E1245" s="89">
        <f>SUM(H1245+K1245+N1245+Q1245)</f>
        <v>3451</v>
      </c>
      <c r="F1245" s="495">
        <f>E1245/D1245*100</f>
        <v>47.599999999999994</v>
      </c>
      <c r="G1245" s="88">
        <v>7250</v>
      </c>
      <c r="H1245" s="89">
        <v>3451</v>
      </c>
      <c r="I1245" s="280">
        <f t="shared" si="153"/>
        <v>47.599999999999994</v>
      </c>
      <c r="J1245" s="126"/>
      <c r="K1245" s="89"/>
      <c r="L1245" s="224"/>
      <c r="M1245" s="89"/>
      <c r="N1245" s="89"/>
      <c r="O1245" s="224"/>
      <c r="P1245" s="89"/>
      <c r="Q1245" s="89"/>
      <c r="R1245" s="362"/>
    </row>
    <row r="1246" spans="1:18" ht="15" customHeight="1">
      <c r="A1246" s="124">
        <v>4410</v>
      </c>
      <c r="B1246" s="277" t="s">
        <v>484</v>
      </c>
      <c r="C1246" s="88">
        <v>39500</v>
      </c>
      <c r="D1246" s="74">
        <f t="shared" si="150"/>
        <v>39500</v>
      </c>
      <c r="E1246" s="89">
        <f t="shared" si="154"/>
        <v>21688</v>
      </c>
      <c r="F1246" s="495">
        <f t="shared" si="149"/>
        <v>54.906329113924045</v>
      </c>
      <c r="G1246" s="88">
        <v>39500</v>
      </c>
      <c r="H1246" s="89">
        <v>21688</v>
      </c>
      <c r="I1246" s="280">
        <f t="shared" si="153"/>
        <v>54.906329113924045</v>
      </c>
      <c r="J1246" s="126"/>
      <c r="K1246" s="89"/>
      <c r="L1246" s="224"/>
      <c r="M1246" s="89"/>
      <c r="N1246" s="89"/>
      <c r="O1246" s="224"/>
      <c r="P1246" s="89"/>
      <c r="Q1246" s="89"/>
      <c r="R1246" s="362"/>
    </row>
    <row r="1247" spans="1:18" ht="24" hidden="1">
      <c r="A1247" s="124">
        <v>4420</v>
      </c>
      <c r="B1247" s="277" t="s">
        <v>556</v>
      </c>
      <c r="C1247" s="88"/>
      <c r="D1247" s="74">
        <f t="shared" si="150"/>
        <v>0</v>
      </c>
      <c r="E1247" s="89">
        <f t="shared" si="154"/>
        <v>0</v>
      </c>
      <c r="F1247" s="495" t="e">
        <f t="shared" si="149"/>
        <v>#DIV/0!</v>
      </c>
      <c r="G1247" s="88"/>
      <c r="H1247" s="89"/>
      <c r="I1247" s="280" t="e">
        <f t="shared" si="153"/>
        <v>#DIV/0!</v>
      </c>
      <c r="J1247" s="126"/>
      <c r="K1247" s="89"/>
      <c r="L1247" s="224"/>
      <c r="M1247" s="89"/>
      <c r="N1247" s="89"/>
      <c r="O1247" s="224"/>
      <c r="P1247" s="89"/>
      <c r="Q1247" s="89"/>
      <c r="R1247" s="362"/>
    </row>
    <row r="1248" spans="1:18" ht="15" customHeight="1">
      <c r="A1248" s="124">
        <v>4430</v>
      </c>
      <c r="B1248" s="277" t="s">
        <v>512</v>
      </c>
      <c r="C1248" s="88">
        <v>14200</v>
      </c>
      <c r="D1248" s="74">
        <f t="shared" si="150"/>
        <v>14200</v>
      </c>
      <c r="E1248" s="89">
        <f t="shared" si="154"/>
        <v>8780</v>
      </c>
      <c r="F1248" s="495">
        <f t="shared" si="149"/>
        <v>61.83098591549295</v>
      </c>
      <c r="G1248" s="88">
        <v>14200</v>
      </c>
      <c r="H1248" s="89">
        <v>8780</v>
      </c>
      <c r="I1248" s="280">
        <f t="shared" si="153"/>
        <v>61.83098591549295</v>
      </c>
      <c r="J1248" s="126"/>
      <c r="K1248" s="89"/>
      <c r="L1248" s="224"/>
      <c r="M1248" s="89"/>
      <c r="N1248" s="89"/>
      <c r="O1248" s="224"/>
      <c r="P1248" s="89"/>
      <c r="Q1248" s="89"/>
      <c r="R1248" s="362"/>
    </row>
    <row r="1249" spans="1:18" ht="15" customHeight="1">
      <c r="A1249" s="124">
        <v>4440</v>
      </c>
      <c r="B1249" s="277" t="s">
        <v>514</v>
      </c>
      <c r="C1249" s="88">
        <v>92000</v>
      </c>
      <c r="D1249" s="74">
        <f t="shared" si="150"/>
        <v>92000</v>
      </c>
      <c r="E1249" s="89">
        <f t="shared" si="154"/>
        <v>90909</v>
      </c>
      <c r="F1249" s="495">
        <f t="shared" si="149"/>
        <v>98.81413043478261</v>
      </c>
      <c r="G1249" s="88">
        <v>92000</v>
      </c>
      <c r="H1249" s="89">
        <v>90909</v>
      </c>
      <c r="I1249" s="468">
        <f t="shared" si="153"/>
        <v>98.81413043478261</v>
      </c>
      <c r="J1249" s="126"/>
      <c r="K1249" s="89"/>
      <c r="L1249" s="224"/>
      <c r="M1249" s="89"/>
      <c r="N1249" s="89"/>
      <c r="O1249" s="224"/>
      <c r="P1249" s="89"/>
      <c r="Q1249" s="89"/>
      <c r="R1249" s="362"/>
    </row>
    <row r="1250" spans="1:18" ht="17.25" customHeight="1">
      <c r="A1250" s="124">
        <v>4480</v>
      </c>
      <c r="B1250" s="277" t="s">
        <v>516</v>
      </c>
      <c r="C1250" s="88">
        <v>16630</v>
      </c>
      <c r="D1250" s="74">
        <f t="shared" si="150"/>
        <v>16630</v>
      </c>
      <c r="E1250" s="74">
        <f>H1250+K1250+Q1250+N1250</f>
        <v>8273</v>
      </c>
      <c r="F1250" s="495">
        <f t="shared" si="149"/>
        <v>49.74744437763079</v>
      </c>
      <c r="G1250" s="88">
        <v>16630</v>
      </c>
      <c r="H1250" s="89">
        <v>8273</v>
      </c>
      <c r="I1250" s="280">
        <f t="shared" si="153"/>
        <v>49.74744437763079</v>
      </c>
      <c r="J1250" s="126"/>
      <c r="K1250" s="89"/>
      <c r="L1250" s="224"/>
      <c r="M1250" s="89"/>
      <c r="N1250" s="89"/>
      <c r="O1250" s="224"/>
      <c r="P1250" s="89"/>
      <c r="Q1250" s="89"/>
      <c r="R1250" s="362"/>
    </row>
    <row r="1251" spans="1:18" ht="24">
      <c r="A1251" s="124">
        <v>4530</v>
      </c>
      <c r="B1251" s="277" t="s">
        <v>111</v>
      </c>
      <c r="C1251" s="88">
        <v>300</v>
      </c>
      <c r="D1251" s="74">
        <f t="shared" si="150"/>
        <v>300</v>
      </c>
      <c r="E1251" s="74">
        <f>H1251+K1251+Q1251+N1251</f>
        <v>39</v>
      </c>
      <c r="F1251" s="495">
        <f t="shared" si="149"/>
        <v>13</v>
      </c>
      <c r="G1251" s="88">
        <v>300</v>
      </c>
      <c r="H1251" s="89">
        <f>40-1</f>
        <v>39</v>
      </c>
      <c r="I1251" s="280">
        <f t="shared" si="153"/>
        <v>13</v>
      </c>
      <c r="J1251" s="126"/>
      <c r="K1251" s="89"/>
      <c r="L1251" s="224"/>
      <c r="M1251" s="89"/>
      <c r="N1251" s="89"/>
      <c r="O1251" s="224"/>
      <c r="P1251" s="89"/>
      <c r="Q1251" s="89"/>
      <c r="R1251" s="362"/>
    </row>
    <row r="1252" spans="1:18" ht="12.75" hidden="1">
      <c r="A1252" s="124">
        <v>4580</v>
      </c>
      <c r="B1252" s="277" t="s">
        <v>549</v>
      </c>
      <c r="C1252" s="88"/>
      <c r="D1252" s="74">
        <f>G1252+J1252+P1252+M1252</f>
        <v>0</v>
      </c>
      <c r="E1252" s="74">
        <f>H1252+K1252+Q1252+N1252</f>
        <v>0</v>
      </c>
      <c r="F1252" s="495" t="e">
        <f>E1252/D1252*100</f>
        <v>#DIV/0!</v>
      </c>
      <c r="G1252" s="88"/>
      <c r="H1252" s="89"/>
      <c r="I1252" s="280" t="e">
        <f t="shared" si="153"/>
        <v>#DIV/0!</v>
      </c>
      <c r="J1252" s="126"/>
      <c r="K1252" s="89"/>
      <c r="L1252" s="224"/>
      <c r="M1252" s="89"/>
      <c r="N1252" s="89"/>
      <c r="O1252" s="224"/>
      <c r="P1252" s="89"/>
      <c r="Q1252" s="89"/>
      <c r="R1252" s="362"/>
    </row>
    <row r="1253" spans="1:18" ht="36">
      <c r="A1253" s="124">
        <v>4610</v>
      </c>
      <c r="B1253" s="277" t="s">
        <v>112</v>
      </c>
      <c r="C1253" s="88">
        <v>4400</v>
      </c>
      <c r="D1253" s="74">
        <f t="shared" si="150"/>
        <v>4400</v>
      </c>
      <c r="E1253" s="89">
        <f aca="true" t="shared" si="155" ref="E1253:E1259">SUM(H1253+K1253+N1253+Q1253)</f>
        <v>977</v>
      </c>
      <c r="F1253" s="495">
        <f t="shared" si="149"/>
        <v>22.204545454545453</v>
      </c>
      <c r="G1253" s="88">
        <v>4400</v>
      </c>
      <c r="H1253" s="89">
        <v>977</v>
      </c>
      <c r="I1253" s="280">
        <f t="shared" si="153"/>
        <v>22.204545454545453</v>
      </c>
      <c r="J1253" s="126"/>
      <c r="K1253" s="89"/>
      <c r="L1253" s="224"/>
      <c r="M1253" s="89"/>
      <c r="N1253" s="89"/>
      <c r="O1253" s="224"/>
      <c r="P1253" s="89"/>
      <c r="Q1253" s="89"/>
      <c r="R1253" s="362"/>
    </row>
    <row r="1254" spans="1:18" ht="36">
      <c r="A1254" s="172">
        <v>4700</v>
      </c>
      <c r="B1254" s="337" t="s">
        <v>285</v>
      </c>
      <c r="C1254" s="88">
        <v>20400</v>
      </c>
      <c r="D1254" s="74">
        <f t="shared" si="150"/>
        <v>20400</v>
      </c>
      <c r="E1254" s="89">
        <f t="shared" si="155"/>
        <v>11254</v>
      </c>
      <c r="F1254" s="495">
        <f t="shared" si="149"/>
        <v>55.166666666666664</v>
      </c>
      <c r="G1254" s="88">
        <v>20400</v>
      </c>
      <c r="H1254" s="89">
        <v>11254</v>
      </c>
      <c r="I1254" s="280">
        <f t="shared" si="153"/>
        <v>55.166666666666664</v>
      </c>
      <c r="J1254" s="126"/>
      <c r="K1254" s="89"/>
      <c r="L1254" s="224"/>
      <c r="M1254" s="89"/>
      <c r="N1254" s="89"/>
      <c r="O1254" s="224"/>
      <c r="P1254" s="89"/>
      <c r="Q1254" s="89"/>
      <c r="R1254" s="362"/>
    </row>
    <row r="1255" spans="1:18" ht="60">
      <c r="A1255" s="197">
        <v>4740</v>
      </c>
      <c r="B1255" s="198" t="s">
        <v>290</v>
      </c>
      <c r="C1255" s="160">
        <v>22700</v>
      </c>
      <c r="D1255" s="161">
        <f t="shared" si="150"/>
        <v>22700</v>
      </c>
      <c r="E1255" s="155">
        <f t="shared" si="155"/>
        <v>3725</v>
      </c>
      <c r="F1255" s="529">
        <f t="shared" si="149"/>
        <v>16.409691629955947</v>
      </c>
      <c r="G1255" s="160">
        <v>22700</v>
      </c>
      <c r="H1255" s="155">
        <v>3725</v>
      </c>
      <c r="I1255" s="323">
        <f t="shared" si="153"/>
        <v>16.409691629955947</v>
      </c>
      <c r="J1255" s="162"/>
      <c r="K1255" s="155"/>
      <c r="L1255" s="274"/>
      <c r="M1255" s="155"/>
      <c r="N1255" s="155"/>
      <c r="O1255" s="274"/>
      <c r="P1255" s="155"/>
      <c r="Q1255" s="155"/>
      <c r="R1255" s="387"/>
    </row>
    <row r="1256" spans="1:18" ht="36">
      <c r="A1256" s="172">
        <v>4750</v>
      </c>
      <c r="B1256" s="337" t="s">
        <v>291</v>
      </c>
      <c r="C1256" s="88">
        <v>40000</v>
      </c>
      <c r="D1256" s="74">
        <f>G1256+J1256+P1256+M1256</f>
        <v>40000</v>
      </c>
      <c r="E1256" s="89">
        <f t="shared" si="155"/>
        <v>26933</v>
      </c>
      <c r="F1256" s="495">
        <f t="shared" si="149"/>
        <v>67.3325</v>
      </c>
      <c r="G1256" s="88">
        <v>40000</v>
      </c>
      <c r="H1256" s="89">
        <v>26933</v>
      </c>
      <c r="I1256" s="280">
        <f t="shared" si="153"/>
        <v>67.3325</v>
      </c>
      <c r="J1256" s="126"/>
      <c r="K1256" s="89"/>
      <c r="L1256" s="224"/>
      <c r="M1256" s="89"/>
      <c r="N1256" s="89"/>
      <c r="O1256" s="224"/>
      <c r="P1256" s="89"/>
      <c r="Q1256" s="89"/>
      <c r="R1256" s="362"/>
    </row>
    <row r="1257" spans="1:18" ht="12.75">
      <c r="A1257" s="172">
        <v>4990</v>
      </c>
      <c r="B1257" s="206" t="s">
        <v>336</v>
      </c>
      <c r="C1257" s="88"/>
      <c r="D1257" s="74"/>
      <c r="E1257" s="89">
        <f t="shared" si="155"/>
        <v>-23</v>
      </c>
      <c r="F1257" s="495"/>
      <c r="G1257" s="88"/>
      <c r="H1257" s="89">
        <v>-23</v>
      </c>
      <c r="I1257" s="280"/>
      <c r="J1257" s="126"/>
      <c r="K1257" s="89"/>
      <c r="L1257" s="224"/>
      <c r="M1257" s="89"/>
      <c r="N1257" s="89"/>
      <c r="O1257" s="224"/>
      <c r="P1257" s="89"/>
      <c r="Q1257" s="89"/>
      <c r="R1257" s="362"/>
    </row>
    <row r="1258" spans="1:18" ht="24">
      <c r="A1258" s="124">
        <v>6050</v>
      </c>
      <c r="B1258" s="277" t="s">
        <v>574</v>
      </c>
      <c r="C1258" s="88">
        <v>227000</v>
      </c>
      <c r="D1258" s="74">
        <f>G1258+J1258+P1258+M1258</f>
        <v>227000</v>
      </c>
      <c r="E1258" s="89">
        <f t="shared" si="155"/>
        <v>42944</v>
      </c>
      <c r="F1258" s="495">
        <f t="shared" si="149"/>
        <v>18.91806167400881</v>
      </c>
      <c r="G1258" s="88">
        <v>227000</v>
      </c>
      <c r="H1258" s="89">
        <v>42944</v>
      </c>
      <c r="I1258" s="280">
        <f t="shared" si="153"/>
        <v>18.91806167400881</v>
      </c>
      <c r="J1258" s="126"/>
      <c r="K1258" s="89"/>
      <c r="L1258" s="224"/>
      <c r="M1258" s="89"/>
      <c r="N1258" s="89"/>
      <c r="O1258" s="224"/>
      <c r="P1258" s="89"/>
      <c r="Q1258" s="89"/>
      <c r="R1258" s="362"/>
    </row>
    <row r="1259" spans="1:18" s="118" customFormat="1" ht="60">
      <c r="A1259" s="158">
        <v>6060</v>
      </c>
      <c r="B1259" s="278" t="s">
        <v>113</v>
      </c>
      <c r="C1259" s="88">
        <v>281000</v>
      </c>
      <c r="D1259" s="74">
        <f t="shared" si="150"/>
        <v>281000</v>
      </c>
      <c r="E1259" s="89">
        <f t="shared" si="155"/>
        <v>177067</v>
      </c>
      <c r="F1259" s="495">
        <f t="shared" si="149"/>
        <v>63.01316725978647</v>
      </c>
      <c r="G1259" s="88">
        <v>281000</v>
      </c>
      <c r="H1259" s="155">
        <v>177067</v>
      </c>
      <c r="I1259" s="280">
        <f t="shared" si="153"/>
        <v>63.01316725978647</v>
      </c>
      <c r="J1259" s="162"/>
      <c r="K1259" s="155"/>
      <c r="L1259" s="224"/>
      <c r="M1259" s="155"/>
      <c r="N1259" s="155"/>
      <c r="O1259" s="224"/>
      <c r="P1259" s="155"/>
      <c r="Q1259" s="155"/>
      <c r="R1259" s="366"/>
    </row>
    <row r="1260" spans="1:18" s="118" customFormat="1" ht="72">
      <c r="A1260" s="119">
        <v>85220</v>
      </c>
      <c r="B1260" s="276" t="s">
        <v>114</v>
      </c>
      <c r="C1260" s="121">
        <f>SUM(C1261:C1269)</f>
        <v>233000</v>
      </c>
      <c r="D1260" s="95">
        <f t="shared" si="150"/>
        <v>233000</v>
      </c>
      <c r="E1260" s="84">
        <f>H1260+K1260+Q1260+N1260</f>
        <v>104660</v>
      </c>
      <c r="F1260" s="530">
        <f t="shared" si="149"/>
        <v>44.918454935622314</v>
      </c>
      <c r="G1260" s="121">
        <f>SUM(G1261:G1269)</f>
        <v>30000</v>
      </c>
      <c r="H1260" s="84">
        <f>SUM(H1261:H1269)</f>
        <v>9660</v>
      </c>
      <c r="I1260" s="372">
        <f>H1260/G1260*100</f>
        <v>32.2</v>
      </c>
      <c r="J1260" s="123"/>
      <c r="K1260" s="84"/>
      <c r="L1260" s="417"/>
      <c r="M1260" s="84">
        <f>SUM(M1261:M1269)</f>
        <v>190000</v>
      </c>
      <c r="N1260" s="84">
        <f>SUM(N1261:N1269)</f>
        <v>95000</v>
      </c>
      <c r="O1260" s="316">
        <f>N1260/M1260*100</f>
        <v>50</v>
      </c>
      <c r="P1260" s="84">
        <f>SUM(P1261:P1269)</f>
        <v>13000</v>
      </c>
      <c r="Q1260" s="84">
        <f>SUM(Q1261:Q1269)</f>
        <v>0</v>
      </c>
      <c r="R1260" s="448">
        <f>Q1260/P1260*100</f>
        <v>0</v>
      </c>
    </row>
    <row r="1261" spans="1:18" s="118" customFormat="1" ht="72">
      <c r="A1261" s="124">
        <v>2820</v>
      </c>
      <c r="B1261" s="277" t="s">
        <v>87</v>
      </c>
      <c r="C1261" s="88">
        <v>190000</v>
      </c>
      <c r="D1261" s="74">
        <f t="shared" si="150"/>
        <v>190000</v>
      </c>
      <c r="E1261" s="89">
        <f aca="true" t="shared" si="156" ref="E1261:E1269">SUM(H1261+K1261+N1261+Q1261)</f>
        <v>95000</v>
      </c>
      <c r="F1261" s="495">
        <f t="shared" si="149"/>
        <v>50</v>
      </c>
      <c r="G1261" s="88"/>
      <c r="H1261" s="89"/>
      <c r="I1261" s="362"/>
      <c r="J1261" s="126"/>
      <c r="K1261" s="89"/>
      <c r="L1261" s="391"/>
      <c r="M1261" s="88">
        <v>190000</v>
      </c>
      <c r="N1261" s="104">
        <v>95000</v>
      </c>
      <c r="O1261" s="224">
        <f>N1261/M1261*100</f>
        <v>50</v>
      </c>
      <c r="P1261" s="89"/>
      <c r="Q1261" s="89"/>
      <c r="R1261" s="442"/>
    </row>
    <row r="1262" spans="1:18" s="118" customFormat="1" ht="24" hidden="1">
      <c r="A1262" s="124">
        <v>4170</v>
      </c>
      <c r="B1262" s="277" t="s">
        <v>536</v>
      </c>
      <c r="C1262" s="88"/>
      <c r="D1262" s="74">
        <f t="shared" si="150"/>
        <v>0</v>
      </c>
      <c r="E1262" s="89">
        <f t="shared" si="156"/>
        <v>0</v>
      </c>
      <c r="F1262" s="495"/>
      <c r="G1262" s="88"/>
      <c r="H1262" s="89"/>
      <c r="I1262" s="362"/>
      <c r="J1262" s="126"/>
      <c r="K1262" s="89"/>
      <c r="L1262" s="391"/>
      <c r="M1262" s="88">
        <f>3650-3650</f>
        <v>0</v>
      </c>
      <c r="N1262" s="89"/>
      <c r="O1262" s="224"/>
      <c r="P1262" s="89"/>
      <c r="Q1262" s="89"/>
      <c r="R1262" s="442"/>
    </row>
    <row r="1263" spans="1:18" s="118" customFormat="1" ht="24">
      <c r="A1263" s="124">
        <v>4210</v>
      </c>
      <c r="B1263" s="277" t="s">
        <v>502</v>
      </c>
      <c r="C1263" s="88">
        <v>5500</v>
      </c>
      <c r="D1263" s="74">
        <f t="shared" si="150"/>
        <v>5500</v>
      </c>
      <c r="E1263" s="89">
        <f t="shared" si="156"/>
        <v>0</v>
      </c>
      <c r="F1263" s="495">
        <f t="shared" si="149"/>
        <v>0</v>
      </c>
      <c r="G1263" s="88"/>
      <c r="H1263" s="89"/>
      <c r="I1263" s="362"/>
      <c r="J1263" s="126"/>
      <c r="K1263" s="89"/>
      <c r="L1263" s="391"/>
      <c r="M1263" s="88"/>
      <c r="N1263" s="89"/>
      <c r="O1263" s="224"/>
      <c r="P1263" s="89">
        <v>5500</v>
      </c>
      <c r="Q1263" s="89"/>
      <c r="R1263" s="442">
        <f>Q1263/P1263*100</f>
        <v>0</v>
      </c>
    </row>
    <row r="1264" spans="1:18" s="118" customFormat="1" ht="15.75" customHeight="1">
      <c r="A1264" s="124">
        <v>4260</v>
      </c>
      <c r="B1264" s="277" t="s">
        <v>506</v>
      </c>
      <c r="C1264" s="88">
        <v>15000</v>
      </c>
      <c r="D1264" s="74">
        <f t="shared" si="150"/>
        <v>15000</v>
      </c>
      <c r="E1264" s="89">
        <f t="shared" si="156"/>
        <v>5763</v>
      </c>
      <c r="F1264" s="495">
        <f t="shared" si="149"/>
        <v>38.42</v>
      </c>
      <c r="G1264" s="88">
        <v>15000</v>
      </c>
      <c r="H1264" s="89">
        <v>5763</v>
      </c>
      <c r="I1264" s="362">
        <f>H1264/G1264*100</f>
        <v>38.42</v>
      </c>
      <c r="J1264" s="126"/>
      <c r="K1264" s="89"/>
      <c r="L1264" s="391"/>
      <c r="M1264" s="88"/>
      <c r="N1264" s="89"/>
      <c r="O1264" s="224"/>
      <c r="P1264" s="89"/>
      <c r="Q1264" s="89"/>
      <c r="R1264" s="442"/>
    </row>
    <row r="1265" spans="1:18" s="118" customFormat="1" ht="15.75" customHeight="1">
      <c r="A1265" s="124">
        <v>4270</v>
      </c>
      <c r="B1265" s="277" t="s">
        <v>508</v>
      </c>
      <c r="C1265" s="88">
        <v>4000</v>
      </c>
      <c r="D1265" s="74">
        <f t="shared" si="150"/>
        <v>4000</v>
      </c>
      <c r="E1265" s="89">
        <f t="shared" si="156"/>
        <v>0</v>
      </c>
      <c r="F1265" s="495">
        <f t="shared" si="149"/>
        <v>0</v>
      </c>
      <c r="G1265" s="88">
        <v>4000</v>
      </c>
      <c r="H1265" s="89"/>
      <c r="I1265" s="362">
        <f>H1265/G1265*100</f>
        <v>0</v>
      </c>
      <c r="J1265" s="126"/>
      <c r="K1265" s="89"/>
      <c r="L1265" s="391"/>
      <c r="M1265" s="88"/>
      <c r="N1265" s="89"/>
      <c r="O1265" s="224"/>
      <c r="P1265" s="89"/>
      <c r="Q1265" s="89"/>
      <c r="R1265" s="224"/>
    </row>
    <row r="1266" spans="1:18" s="118" customFormat="1" ht="15.75" customHeight="1">
      <c r="A1266" s="124">
        <v>4300</v>
      </c>
      <c r="B1266" s="291" t="s">
        <v>546</v>
      </c>
      <c r="C1266" s="88">
        <v>12500</v>
      </c>
      <c r="D1266" s="74">
        <f>G1266+J1266+P1266+M1266</f>
        <v>12500</v>
      </c>
      <c r="E1266" s="89">
        <f>SUM(H1266+K1266+N1266+Q1266)</f>
        <v>1472</v>
      </c>
      <c r="F1266" s="495">
        <f>E1266/D1266*100</f>
        <v>11.776</v>
      </c>
      <c r="G1266" s="88">
        <v>5500</v>
      </c>
      <c r="H1266" s="89">
        <v>1472</v>
      </c>
      <c r="I1266" s="362">
        <f>H1266/G1266*100</f>
        <v>26.763636363636362</v>
      </c>
      <c r="J1266" s="126"/>
      <c r="K1266" s="89"/>
      <c r="L1266" s="391"/>
      <c r="M1266" s="88">
        <f>35000-35000</f>
        <v>0</v>
      </c>
      <c r="N1266" s="89"/>
      <c r="O1266" s="224"/>
      <c r="P1266" s="89">
        <v>7000</v>
      </c>
      <c r="Q1266" s="89"/>
      <c r="R1266" s="442">
        <f>Q1266/P1266*100</f>
        <v>0</v>
      </c>
    </row>
    <row r="1267" spans="1:18" s="118" customFormat="1" ht="24">
      <c r="A1267" s="172">
        <v>4400</v>
      </c>
      <c r="B1267" s="337" t="s">
        <v>289</v>
      </c>
      <c r="C1267" s="88">
        <v>5500</v>
      </c>
      <c r="D1267" s="74">
        <f>G1267+J1267+P1267+M1267</f>
        <v>5500</v>
      </c>
      <c r="E1267" s="89">
        <f>SUM(H1267+K1267+N1267+Q1267)</f>
        <v>2425</v>
      </c>
      <c r="F1267" s="495">
        <f>E1267/D1267*100</f>
        <v>44.09090909090909</v>
      </c>
      <c r="G1267" s="88">
        <v>5500</v>
      </c>
      <c r="H1267" s="89">
        <f>2423+2</f>
        <v>2425</v>
      </c>
      <c r="I1267" s="362">
        <f>H1267/G1267*100</f>
        <v>44.09090909090909</v>
      </c>
      <c r="J1267" s="126"/>
      <c r="K1267" s="89"/>
      <c r="L1267" s="391"/>
      <c r="M1267" s="88"/>
      <c r="N1267" s="89"/>
      <c r="O1267" s="224"/>
      <c r="P1267" s="89"/>
      <c r="Q1267" s="89"/>
      <c r="R1267" s="224"/>
    </row>
    <row r="1268" spans="1:18" s="118" customFormat="1" ht="60">
      <c r="A1268" s="197">
        <v>4740</v>
      </c>
      <c r="B1268" s="198" t="s">
        <v>290</v>
      </c>
      <c r="C1268" s="160">
        <v>500</v>
      </c>
      <c r="D1268" s="161">
        <f>G1268+J1268+P1268+M1268</f>
        <v>500</v>
      </c>
      <c r="E1268" s="155">
        <f>SUM(H1268+K1268+N1268+Q1268)</f>
        <v>0</v>
      </c>
      <c r="F1268" s="529">
        <f>E1268/D1268*100</f>
        <v>0</v>
      </c>
      <c r="G1268" s="160"/>
      <c r="H1268" s="155"/>
      <c r="I1268" s="366"/>
      <c r="J1268" s="162"/>
      <c r="K1268" s="155"/>
      <c r="L1268" s="415"/>
      <c r="M1268" s="160"/>
      <c r="N1268" s="155"/>
      <c r="O1268" s="274"/>
      <c r="P1268" s="155">
        <v>500</v>
      </c>
      <c r="Q1268" s="155"/>
      <c r="R1268" s="462">
        <f>Q1268/P1268*100</f>
        <v>0</v>
      </c>
    </row>
    <row r="1269" spans="1:18" s="118" customFormat="1" ht="36" hidden="1">
      <c r="A1269" s="172">
        <v>4750</v>
      </c>
      <c r="B1269" s="337" t="s">
        <v>291</v>
      </c>
      <c r="C1269" s="160"/>
      <c r="D1269" s="161">
        <f t="shared" si="150"/>
        <v>0</v>
      </c>
      <c r="E1269" s="155">
        <f t="shared" si="156"/>
        <v>0</v>
      </c>
      <c r="F1269" s="529" t="e">
        <f t="shared" si="149"/>
        <v>#DIV/0!</v>
      </c>
      <c r="G1269" s="160"/>
      <c r="H1269" s="155"/>
      <c r="I1269" s="362"/>
      <c r="J1269" s="162"/>
      <c r="K1269" s="155"/>
      <c r="L1269" s="415"/>
      <c r="M1269" s="160"/>
      <c r="N1269" s="155"/>
      <c r="O1269" s="274"/>
      <c r="P1269" s="155"/>
      <c r="Q1269" s="155"/>
      <c r="R1269" s="442" t="e">
        <f>Q1269/P1269*100</f>
        <v>#DIV/0!</v>
      </c>
    </row>
    <row r="1270" spans="1:18" s="118" customFormat="1" ht="24" customHeight="1">
      <c r="A1270" s="119">
        <v>85226</v>
      </c>
      <c r="B1270" s="276" t="s">
        <v>115</v>
      </c>
      <c r="C1270" s="121">
        <f>SUM(C1271:C1289)</f>
        <v>319490</v>
      </c>
      <c r="D1270" s="95">
        <f t="shared" si="150"/>
        <v>329090</v>
      </c>
      <c r="E1270" s="84">
        <f>H1270+K1270+Q1270+N1270</f>
        <v>168807</v>
      </c>
      <c r="F1270" s="530">
        <f t="shared" si="149"/>
        <v>51.29508645051506</v>
      </c>
      <c r="G1270" s="146"/>
      <c r="H1270" s="149"/>
      <c r="I1270" s="372"/>
      <c r="J1270" s="148"/>
      <c r="K1270" s="149"/>
      <c r="L1270" s="406"/>
      <c r="M1270" s="84">
        <f>SUM(M1271:M1289)</f>
        <v>329090</v>
      </c>
      <c r="N1270" s="84">
        <f>SUM(N1271:N1289)</f>
        <v>168807</v>
      </c>
      <c r="O1270" s="448">
        <f aca="true" t="shared" si="157" ref="O1270:O1289">N1270/M1270*100</f>
        <v>51.29508645051506</v>
      </c>
      <c r="P1270" s="84"/>
      <c r="Q1270" s="84"/>
      <c r="R1270" s="316"/>
    </row>
    <row r="1271" spans="1:18" s="118" customFormat="1" ht="24" customHeight="1">
      <c r="A1271" s="108">
        <v>3020</v>
      </c>
      <c r="B1271" s="287" t="s">
        <v>257</v>
      </c>
      <c r="C1271" s="90">
        <v>600</v>
      </c>
      <c r="D1271" s="103">
        <f t="shared" si="150"/>
        <v>600</v>
      </c>
      <c r="E1271" s="104">
        <f aca="true" t="shared" si="158" ref="E1271:E1289">SUM(H1271+K1271+N1271+Q1271)</f>
        <v>406</v>
      </c>
      <c r="F1271" s="531">
        <f t="shared" si="149"/>
        <v>67.66666666666666</v>
      </c>
      <c r="G1271" s="90"/>
      <c r="H1271" s="104"/>
      <c r="I1271" s="365"/>
      <c r="J1271" s="200"/>
      <c r="K1271" s="104"/>
      <c r="L1271" s="414"/>
      <c r="M1271" s="90">
        <v>600</v>
      </c>
      <c r="N1271" s="104">
        <v>406</v>
      </c>
      <c r="O1271" s="464">
        <f t="shared" si="157"/>
        <v>67.66666666666666</v>
      </c>
      <c r="P1271" s="104"/>
      <c r="Q1271" s="104"/>
      <c r="R1271" s="304"/>
    </row>
    <row r="1272" spans="1:18" s="118" customFormat="1" ht="24" customHeight="1">
      <c r="A1272" s="124">
        <v>4010</v>
      </c>
      <c r="B1272" s="277" t="s">
        <v>9</v>
      </c>
      <c r="C1272" s="88">
        <v>210770</v>
      </c>
      <c r="D1272" s="74">
        <f t="shared" si="150"/>
        <v>218870</v>
      </c>
      <c r="E1272" s="89">
        <f t="shared" si="158"/>
        <v>108073</v>
      </c>
      <c r="F1272" s="495">
        <f aca="true" t="shared" si="159" ref="F1272:F1340">E1272/D1272*100</f>
        <v>49.37771279755106</v>
      </c>
      <c r="G1272" s="88"/>
      <c r="H1272" s="89"/>
      <c r="I1272" s="362"/>
      <c r="J1272" s="126"/>
      <c r="K1272" s="89"/>
      <c r="L1272" s="391"/>
      <c r="M1272" s="88">
        <f>210770+8100</f>
        <v>218870</v>
      </c>
      <c r="N1272" s="89">
        <v>108073</v>
      </c>
      <c r="O1272" s="442">
        <f t="shared" si="157"/>
        <v>49.37771279755106</v>
      </c>
      <c r="P1272" s="89"/>
      <c r="Q1272" s="89"/>
      <c r="R1272" s="224"/>
    </row>
    <row r="1273" spans="1:18" s="118" customFormat="1" ht="26.25" customHeight="1">
      <c r="A1273" s="158">
        <v>4040</v>
      </c>
      <c r="B1273" s="278" t="s">
        <v>496</v>
      </c>
      <c r="C1273" s="160">
        <v>16800</v>
      </c>
      <c r="D1273" s="161">
        <f t="shared" si="150"/>
        <v>16800</v>
      </c>
      <c r="E1273" s="155">
        <f t="shared" si="158"/>
        <v>16456</v>
      </c>
      <c r="F1273" s="529">
        <f t="shared" si="159"/>
        <v>97.95238095238096</v>
      </c>
      <c r="G1273" s="160"/>
      <c r="H1273" s="155"/>
      <c r="I1273" s="366"/>
      <c r="J1273" s="162"/>
      <c r="K1273" s="155"/>
      <c r="L1273" s="415"/>
      <c r="M1273" s="160">
        <v>16800</v>
      </c>
      <c r="N1273" s="155">
        <v>16456</v>
      </c>
      <c r="O1273" s="462">
        <f t="shared" si="157"/>
        <v>97.95238095238096</v>
      </c>
      <c r="P1273" s="155"/>
      <c r="Q1273" s="155"/>
      <c r="R1273" s="274"/>
    </row>
    <row r="1274" spans="1:18" s="118" customFormat="1" ht="24" customHeight="1">
      <c r="A1274" s="124">
        <v>4110</v>
      </c>
      <c r="B1274" s="277" t="s">
        <v>498</v>
      </c>
      <c r="C1274" s="88">
        <v>41050</v>
      </c>
      <c r="D1274" s="74">
        <f aca="true" t="shared" si="160" ref="D1274:D1340">G1274+J1274+P1274+M1274</f>
        <v>42350</v>
      </c>
      <c r="E1274" s="89">
        <f t="shared" si="158"/>
        <v>20201</v>
      </c>
      <c r="F1274" s="495">
        <f t="shared" si="159"/>
        <v>47.700118063754424</v>
      </c>
      <c r="G1274" s="88"/>
      <c r="H1274" s="89"/>
      <c r="I1274" s="362"/>
      <c r="J1274" s="126"/>
      <c r="K1274" s="89"/>
      <c r="L1274" s="391"/>
      <c r="M1274" s="88">
        <f>41050+1300</f>
        <v>42350</v>
      </c>
      <c r="N1274" s="89">
        <v>20201</v>
      </c>
      <c r="O1274" s="442">
        <f t="shared" si="157"/>
        <v>47.700118063754424</v>
      </c>
      <c r="P1274" s="89"/>
      <c r="Q1274" s="89"/>
      <c r="R1274" s="224"/>
    </row>
    <row r="1275" spans="1:18" s="118" customFormat="1" ht="16.5" customHeight="1">
      <c r="A1275" s="124">
        <v>4120</v>
      </c>
      <c r="B1275" s="277" t="s">
        <v>571</v>
      </c>
      <c r="C1275" s="88">
        <v>5580</v>
      </c>
      <c r="D1275" s="74">
        <f t="shared" si="160"/>
        <v>5780</v>
      </c>
      <c r="E1275" s="89">
        <f t="shared" si="158"/>
        <v>3082</v>
      </c>
      <c r="F1275" s="495">
        <f t="shared" si="159"/>
        <v>53.32179930795847</v>
      </c>
      <c r="G1275" s="88"/>
      <c r="H1275" s="89"/>
      <c r="I1275" s="362"/>
      <c r="J1275" s="126"/>
      <c r="K1275" s="89"/>
      <c r="L1275" s="391"/>
      <c r="M1275" s="88">
        <f>5580+200</f>
        <v>5780</v>
      </c>
      <c r="N1275" s="89">
        <v>3082</v>
      </c>
      <c r="O1275" s="442">
        <f t="shared" si="157"/>
        <v>53.32179930795847</v>
      </c>
      <c r="P1275" s="89"/>
      <c r="Q1275" s="89"/>
      <c r="R1275" s="224"/>
    </row>
    <row r="1276" spans="1:18" s="118" customFormat="1" ht="24">
      <c r="A1276" s="124">
        <v>4170</v>
      </c>
      <c r="B1276" s="277" t="s">
        <v>536</v>
      </c>
      <c r="C1276" s="88">
        <v>3600</v>
      </c>
      <c r="D1276" s="74">
        <f t="shared" si="160"/>
        <v>3600</v>
      </c>
      <c r="E1276" s="89">
        <f t="shared" si="158"/>
        <v>1440</v>
      </c>
      <c r="F1276" s="495">
        <f t="shared" si="159"/>
        <v>40</v>
      </c>
      <c r="G1276" s="88"/>
      <c r="H1276" s="89"/>
      <c r="I1276" s="362"/>
      <c r="J1276" s="126"/>
      <c r="K1276" s="89"/>
      <c r="L1276" s="391"/>
      <c r="M1276" s="88">
        <v>3600</v>
      </c>
      <c r="N1276" s="89">
        <v>1440</v>
      </c>
      <c r="O1276" s="442">
        <f t="shared" si="157"/>
        <v>40</v>
      </c>
      <c r="P1276" s="89"/>
      <c r="Q1276" s="89"/>
      <c r="R1276" s="224"/>
    </row>
    <row r="1277" spans="1:18" s="118" customFormat="1" ht="23.25" customHeight="1">
      <c r="A1277" s="124">
        <v>4210</v>
      </c>
      <c r="B1277" s="277" t="s">
        <v>502</v>
      </c>
      <c r="C1277" s="88">
        <v>3600</v>
      </c>
      <c r="D1277" s="74">
        <f t="shared" si="160"/>
        <v>3600</v>
      </c>
      <c r="E1277" s="89">
        <f t="shared" si="158"/>
        <v>1433</v>
      </c>
      <c r="F1277" s="495">
        <f t="shared" si="159"/>
        <v>39.80555555555556</v>
      </c>
      <c r="G1277" s="88"/>
      <c r="H1277" s="89"/>
      <c r="I1277" s="362"/>
      <c r="J1277" s="126"/>
      <c r="K1277" s="89"/>
      <c r="L1277" s="391"/>
      <c r="M1277" s="88">
        <v>3600</v>
      </c>
      <c r="N1277" s="89">
        <v>1433</v>
      </c>
      <c r="O1277" s="442">
        <f t="shared" si="157"/>
        <v>39.80555555555556</v>
      </c>
      <c r="P1277" s="89"/>
      <c r="Q1277" s="89"/>
      <c r="R1277" s="224"/>
    </row>
    <row r="1278" spans="1:18" s="118" customFormat="1" ht="24">
      <c r="A1278" s="124">
        <v>4240</v>
      </c>
      <c r="B1278" s="277" t="s">
        <v>3</v>
      </c>
      <c r="C1278" s="88">
        <v>400</v>
      </c>
      <c r="D1278" s="74">
        <f t="shared" si="160"/>
        <v>400</v>
      </c>
      <c r="E1278" s="89">
        <f t="shared" si="158"/>
        <v>25</v>
      </c>
      <c r="F1278" s="495">
        <f t="shared" si="159"/>
        <v>6.25</v>
      </c>
      <c r="G1278" s="88"/>
      <c r="H1278" s="89"/>
      <c r="I1278" s="362"/>
      <c r="J1278" s="126"/>
      <c r="K1278" s="89"/>
      <c r="L1278" s="391"/>
      <c r="M1278" s="88">
        <v>400</v>
      </c>
      <c r="N1278" s="89">
        <v>25</v>
      </c>
      <c r="O1278" s="442">
        <f t="shared" si="157"/>
        <v>6.25</v>
      </c>
      <c r="P1278" s="89"/>
      <c r="Q1278" s="89"/>
      <c r="R1278" s="224"/>
    </row>
    <row r="1279" spans="1:18" s="118" customFormat="1" ht="15" customHeight="1">
      <c r="A1279" s="124">
        <v>4260</v>
      </c>
      <c r="B1279" s="277" t="s">
        <v>506</v>
      </c>
      <c r="C1279" s="88">
        <v>7500</v>
      </c>
      <c r="D1279" s="74">
        <f t="shared" si="160"/>
        <v>5500</v>
      </c>
      <c r="E1279" s="89">
        <f t="shared" si="158"/>
        <v>3314</v>
      </c>
      <c r="F1279" s="495">
        <f t="shared" si="159"/>
        <v>60.25454545454545</v>
      </c>
      <c r="G1279" s="88"/>
      <c r="H1279" s="89"/>
      <c r="I1279" s="362"/>
      <c r="J1279" s="126"/>
      <c r="K1279" s="89"/>
      <c r="L1279" s="391"/>
      <c r="M1279" s="88">
        <f>7500-2000</f>
        <v>5500</v>
      </c>
      <c r="N1279" s="89">
        <v>3314</v>
      </c>
      <c r="O1279" s="442">
        <f t="shared" si="157"/>
        <v>60.25454545454545</v>
      </c>
      <c r="P1279" s="89"/>
      <c r="Q1279" s="89"/>
      <c r="R1279" s="224"/>
    </row>
    <row r="1280" spans="1:18" s="118" customFormat="1" ht="15" customHeight="1">
      <c r="A1280" s="124">
        <v>4270</v>
      </c>
      <c r="B1280" s="277" t="s">
        <v>508</v>
      </c>
      <c r="C1280" s="88">
        <v>490</v>
      </c>
      <c r="D1280" s="74">
        <f t="shared" si="160"/>
        <v>490</v>
      </c>
      <c r="E1280" s="89">
        <f>SUM(H1280+K1280+N1280+Q1280)</f>
        <v>0</v>
      </c>
      <c r="F1280" s="495">
        <f>E1280/D1280*100</f>
        <v>0</v>
      </c>
      <c r="G1280" s="88"/>
      <c r="H1280" s="89"/>
      <c r="I1280" s="362"/>
      <c r="J1280" s="126"/>
      <c r="K1280" s="89"/>
      <c r="L1280" s="391"/>
      <c r="M1280" s="88">
        <v>490</v>
      </c>
      <c r="N1280" s="89"/>
      <c r="O1280" s="442">
        <f t="shared" si="157"/>
        <v>0</v>
      </c>
      <c r="P1280" s="89"/>
      <c r="Q1280" s="89"/>
      <c r="R1280" s="224"/>
    </row>
    <row r="1281" spans="1:18" s="118" customFormat="1" ht="15" customHeight="1">
      <c r="A1281" s="124">
        <v>4280</v>
      </c>
      <c r="B1281" s="277" t="s">
        <v>545</v>
      </c>
      <c r="C1281" s="88">
        <v>600</v>
      </c>
      <c r="D1281" s="74">
        <f t="shared" si="160"/>
        <v>600</v>
      </c>
      <c r="E1281" s="89">
        <f t="shared" si="158"/>
        <v>0</v>
      </c>
      <c r="F1281" s="495">
        <f t="shared" si="159"/>
        <v>0</v>
      </c>
      <c r="G1281" s="88"/>
      <c r="H1281" s="89"/>
      <c r="I1281" s="362"/>
      <c r="J1281" s="126"/>
      <c r="K1281" s="89"/>
      <c r="L1281" s="391"/>
      <c r="M1281" s="88">
        <v>600</v>
      </c>
      <c r="N1281" s="89"/>
      <c r="O1281" s="442">
        <f t="shared" si="157"/>
        <v>0</v>
      </c>
      <c r="P1281" s="89"/>
      <c r="Q1281" s="89"/>
      <c r="R1281" s="224"/>
    </row>
    <row r="1282" spans="1:18" s="118" customFormat="1" ht="16.5" customHeight="1">
      <c r="A1282" s="124">
        <v>4300</v>
      </c>
      <c r="B1282" s="277" t="s">
        <v>510</v>
      </c>
      <c r="C1282" s="88">
        <v>7200</v>
      </c>
      <c r="D1282" s="74">
        <f t="shared" si="160"/>
        <v>9200</v>
      </c>
      <c r="E1282" s="89">
        <f t="shared" si="158"/>
        <v>6850</v>
      </c>
      <c r="F1282" s="495">
        <f t="shared" si="159"/>
        <v>74.45652173913044</v>
      </c>
      <c r="G1282" s="88"/>
      <c r="H1282" s="89"/>
      <c r="I1282" s="362"/>
      <c r="J1282" s="126"/>
      <c r="K1282" s="89"/>
      <c r="L1282" s="391"/>
      <c r="M1282" s="88">
        <f>7200+2000</f>
        <v>9200</v>
      </c>
      <c r="N1282" s="89">
        <v>6850</v>
      </c>
      <c r="O1282" s="442">
        <f t="shared" si="157"/>
        <v>74.45652173913044</v>
      </c>
      <c r="P1282" s="89"/>
      <c r="Q1282" s="89"/>
      <c r="R1282" s="224"/>
    </row>
    <row r="1283" spans="1:18" s="118" customFormat="1" ht="24">
      <c r="A1283" s="124">
        <v>4350</v>
      </c>
      <c r="B1283" s="277" t="s">
        <v>48</v>
      </c>
      <c r="C1283" s="88">
        <v>1500</v>
      </c>
      <c r="D1283" s="74">
        <f t="shared" si="160"/>
        <v>1500</v>
      </c>
      <c r="E1283" s="89">
        <f t="shared" si="158"/>
        <v>330</v>
      </c>
      <c r="F1283" s="495">
        <f t="shared" si="159"/>
        <v>22</v>
      </c>
      <c r="G1283" s="88"/>
      <c r="H1283" s="89"/>
      <c r="I1283" s="362"/>
      <c r="J1283" s="126"/>
      <c r="K1283" s="89"/>
      <c r="L1283" s="391"/>
      <c r="M1283" s="88">
        <v>1500</v>
      </c>
      <c r="N1283" s="89">
        <v>330</v>
      </c>
      <c r="O1283" s="442">
        <f t="shared" si="157"/>
        <v>22</v>
      </c>
      <c r="P1283" s="89"/>
      <c r="Q1283" s="89"/>
      <c r="R1283" s="224"/>
    </row>
    <row r="1284" spans="1:18" s="118" customFormat="1" ht="48">
      <c r="A1284" s="172">
        <v>4370</v>
      </c>
      <c r="B1284" s="337" t="s">
        <v>298</v>
      </c>
      <c r="C1284" s="88">
        <v>6000</v>
      </c>
      <c r="D1284" s="74">
        <f t="shared" si="160"/>
        <v>6000</v>
      </c>
      <c r="E1284" s="89">
        <f t="shared" si="158"/>
        <v>1860</v>
      </c>
      <c r="F1284" s="495">
        <f t="shared" si="159"/>
        <v>31</v>
      </c>
      <c r="G1284" s="88"/>
      <c r="H1284" s="89"/>
      <c r="I1284" s="362"/>
      <c r="J1284" s="126"/>
      <c r="K1284" s="89"/>
      <c r="L1284" s="391"/>
      <c r="M1284" s="88">
        <v>6000</v>
      </c>
      <c r="N1284" s="89">
        <v>1860</v>
      </c>
      <c r="O1284" s="442">
        <f t="shared" si="157"/>
        <v>31</v>
      </c>
      <c r="P1284" s="89"/>
      <c r="Q1284" s="89"/>
      <c r="R1284" s="224"/>
    </row>
    <row r="1285" spans="1:18" s="118" customFormat="1" ht="14.25" customHeight="1">
      <c r="A1285" s="124">
        <v>4410</v>
      </c>
      <c r="B1285" s="277" t="s">
        <v>116</v>
      </c>
      <c r="C1285" s="88">
        <v>2500</v>
      </c>
      <c r="D1285" s="74">
        <f t="shared" si="160"/>
        <v>2500</v>
      </c>
      <c r="E1285" s="89">
        <f t="shared" si="158"/>
        <v>648</v>
      </c>
      <c r="F1285" s="495">
        <f t="shared" si="159"/>
        <v>25.919999999999998</v>
      </c>
      <c r="G1285" s="88"/>
      <c r="H1285" s="89"/>
      <c r="I1285" s="362"/>
      <c r="J1285" s="126"/>
      <c r="K1285" s="89"/>
      <c r="L1285" s="391"/>
      <c r="M1285" s="88">
        <v>2500</v>
      </c>
      <c r="N1285" s="89">
        <v>648</v>
      </c>
      <c r="O1285" s="442">
        <f t="shared" si="157"/>
        <v>25.919999999999998</v>
      </c>
      <c r="P1285" s="89"/>
      <c r="Q1285" s="89"/>
      <c r="R1285" s="224"/>
    </row>
    <row r="1286" spans="1:18" s="118" customFormat="1" ht="14.25" customHeight="1">
      <c r="A1286" s="124">
        <v>4440</v>
      </c>
      <c r="B1286" s="291" t="s">
        <v>14</v>
      </c>
      <c r="C1286" s="88">
        <v>5300</v>
      </c>
      <c r="D1286" s="74">
        <f t="shared" si="160"/>
        <v>5300</v>
      </c>
      <c r="E1286" s="89">
        <f t="shared" si="158"/>
        <v>3975</v>
      </c>
      <c r="F1286" s="495">
        <f t="shared" si="159"/>
        <v>75</v>
      </c>
      <c r="G1286" s="88"/>
      <c r="H1286" s="89"/>
      <c r="I1286" s="362"/>
      <c r="J1286" s="126"/>
      <c r="K1286" s="89"/>
      <c r="L1286" s="391"/>
      <c r="M1286" s="88">
        <v>5300</v>
      </c>
      <c r="N1286" s="89">
        <v>3975</v>
      </c>
      <c r="O1286" s="442">
        <f t="shared" si="157"/>
        <v>75</v>
      </c>
      <c r="P1286" s="89"/>
      <c r="Q1286" s="89"/>
      <c r="R1286" s="224"/>
    </row>
    <row r="1287" spans="1:18" s="118" customFormat="1" ht="36">
      <c r="A1287" s="172">
        <v>4700</v>
      </c>
      <c r="B1287" s="337" t="s">
        <v>285</v>
      </c>
      <c r="C1287" s="88">
        <v>1800</v>
      </c>
      <c r="D1287" s="74">
        <f t="shared" si="160"/>
        <v>1800</v>
      </c>
      <c r="E1287" s="89">
        <f t="shared" si="158"/>
        <v>0</v>
      </c>
      <c r="F1287" s="495">
        <f t="shared" si="159"/>
        <v>0</v>
      </c>
      <c r="G1287" s="88"/>
      <c r="H1287" s="89"/>
      <c r="I1287" s="362"/>
      <c r="J1287" s="126"/>
      <c r="K1287" s="89"/>
      <c r="L1287" s="391"/>
      <c r="M1287" s="88">
        <v>1800</v>
      </c>
      <c r="N1287" s="89"/>
      <c r="O1287" s="442">
        <f t="shared" si="157"/>
        <v>0</v>
      </c>
      <c r="P1287" s="89"/>
      <c r="Q1287" s="89"/>
      <c r="R1287" s="224"/>
    </row>
    <row r="1288" spans="1:18" s="118" customFormat="1" ht="60">
      <c r="A1288" s="172">
        <v>4740</v>
      </c>
      <c r="B1288" s="337" t="s">
        <v>290</v>
      </c>
      <c r="C1288" s="88">
        <v>3000</v>
      </c>
      <c r="D1288" s="74">
        <f t="shared" si="160"/>
        <v>3000</v>
      </c>
      <c r="E1288" s="89">
        <f t="shared" si="158"/>
        <v>299</v>
      </c>
      <c r="F1288" s="495">
        <f t="shared" si="159"/>
        <v>9.966666666666667</v>
      </c>
      <c r="G1288" s="88"/>
      <c r="H1288" s="89"/>
      <c r="I1288" s="362"/>
      <c r="J1288" s="126"/>
      <c r="K1288" s="89"/>
      <c r="L1288" s="391"/>
      <c r="M1288" s="88">
        <v>3000</v>
      </c>
      <c r="N1288" s="89">
        <v>299</v>
      </c>
      <c r="O1288" s="442">
        <f t="shared" si="157"/>
        <v>9.966666666666667</v>
      </c>
      <c r="P1288" s="89"/>
      <c r="Q1288" s="89"/>
      <c r="R1288" s="224"/>
    </row>
    <row r="1289" spans="1:18" s="118" customFormat="1" ht="36">
      <c r="A1289" s="172">
        <v>4750</v>
      </c>
      <c r="B1289" s="337" t="s">
        <v>291</v>
      </c>
      <c r="C1289" s="88">
        <v>1200</v>
      </c>
      <c r="D1289" s="74">
        <f t="shared" si="160"/>
        <v>1200</v>
      </c>
      <c r="E1289" s="89">
        <f t="shared" si="158"/>
        <v>415</v>
      </c>
      <c r="F1289" s="495">
        <f t="shared" si="159"/>
        <v>34.583333333333336</v>
      </c>
      <c r="G1289" s="160"/>
      <c r="H1289" s="155"/>
      <c r="I1289" s="366"/>
      <c r="J1289" s="162"/>
      <c r="K1289" s="155"/>
      <c r="L1289" s="415"/>
      <c r="M1289" s="88">
        <v>1200</v>
      </c>
      <c r="N1289" s="155">
        <v>415</v>
      </c>
      <c r="O1289" s="442">
        <f t="shared" si="157"/>
        <v>34.583333333333336</v>
      </c>
      <c r="P1289" s="155"/>
      <c r="Q1289" s="155"/>
      <c r="R1289" s="224"/>
    </row>
    <row r="1290" spans="1:18" ht="36">
      <c r="A1290" s="119">
        <v>85228</v>
      </c>
      <c r="B1290" s="276" t="s">
        <v>117</v>
      </c>
      <c r="C1290" s="121">
        <f>SUM(C1291:C1305)</f>
        <v>1245000</v>
      </c>
      <c r="D1290" s="95">
        <f t="shared" si="160"/>
        <v>1239060</v>
      </c>
      <c r="E1290" s="84">
        <f>H1290+K1290+Q1290+N1290</f>
        <v>611264</v>
      </c>
      <c r="F1290" s="530">
        <f t="shared" si="159"/>
        <v>49.33288137781867</v>
      </c>
      <c r="G1290" s="121">
        <f>SUM(G1291:G1305)</f>
        <v>1094060</v>
      </c>
      <c r="H1290" s="84">
        <f>SUM(H1291:H1305)</f>
        <v>546386</v>
      </c>
      <c r="I1290" s="413">
        <f aca="true" t="shared" si="161" ref="I1290:I1305">H1290/G1290*100</f>
        <v>49.94113668354569</v>
      </c>
      <c r="J1290" s="123">
        <f>SUM(J1291:J1305)</f>
        <v>145000</v>
      </c>
      <c r="K1290" s="84">
        <f>SUM(K1291:K1305)</f>
        <v>64878</v>
      </c>
      <c r="L1290" s="417">
        <f>K1290/J1290*100</f>
        <v>44.74344827586207</v>
      </c>
      <c r="M1290" s="84"/>
      <c r="N1290" s="84"/>
      <c r="O1290" s="381"/>
      <c r="P1290" s="84"/>
      <c r="Q1290" s="84"/>
      <c r="R1290" s="316"/>
    </row>
    <row r="1291" spans="1:18" s="118" customFormat="1" ht="36">
      <c r="A1291" s="124">
        <v>3020</v>
      </c>
      <c r="B1291" s="277" t="s">
        <v>257</v>
      </c>
      <c r="C1291" s="88">
        <v>11700</v>
      </c>
      <c r="D1291" s="74">
        <f t="shared" si="160"/>
        <v>11700</v>
      </c>
      <c r="E1291" s="89">
        <f aca="true" t="shared" si="162" ref="E1291:E1305">SUM(H1291+K1291+N1291+Q1291)</f>
        <v>4908</v>
      </c>
      <c r="F1291" s="495">
        <f t="shared" si="159"/>
        <v>41.94871794871795</v>
      </c>
      <c r="G1291" s="88">
        <v>11300</v>
      </c>
      <c r="H1291" s="89">
        <v>4810</v>
      </c>
      <c r="I1291" s="280">
        <f t="shared" si="161"/>
        <v>42.56637168141593</v>
      </c>
      <c r="J1291" s="126">
        <v>400</v>
      </c>
      <c r="K1291" s="89">
        <v>98</v>
      </c>
      <c r="L1291" s="391">
        <f aca="true" t="shared" si="163" ref="L1291:L1303">K1291/J1291*100</f>
        <v>24.5</v>
      </c>
      <c r="M1291" s="89"/>
      <c r="N1291" s="89"/>
      <c r="O1291" s="368"/>
      <c r="P1291" s="89"/>
      <c r="Q1291" s="89"/>
      <c r="R1291" s="224"/>
    </row>
    <row r="1292" spans="1:18" s="118" customFormat="1" ht="24">
      <c r="A1292" s="124">
        <v>4010</v>
      </c>
      <c r="B1292" s="277" t="s">
        <v>492</v>
      </c>
      <c r="C1292" s="88">
        <v>795490</v>
      </c>
      <c r="D1292" s="74">
        <f>G1292+J1292+P1292+M1292</f>
        <v>795490</v>
      </c>
      <c r="E1292" s="89">
        <f t="shared" si="162"/>
        <v>373478</v>
      </c>
      <c r="F1292" s="495">
        <f>E1292/D1292*100</f>
        <v>46.949427396950306</v>
      </c>
      <c r="G1292" s="88">
        <v>774690</v>
      </c>
      <c r="H1292" s="89">
        <f>361593+1</f>
        <v>361594</v>
      </c>
      <c r="I1292" s="468">
        <f t="shared" si="161"/>
        <v>46.67596070686339</v>
      </c>
      <c r="J1292" s="126">
        <v>20800</v>
      </c>
      <c r="K1292" s="89">
        <v>11884</v>
      </c>
      <c r="L1292" s="391">
        <f t="shared" si="163"/>
        <v>57.13461538461539</v>
      </c>
      <c r="M1292" s="89"/>
      <c r="N1292" s="89"/>
      <c r="O1292" s="368"/>
      <c r="P1292" s="89"/>
      <c r="Q1292" s="89"/>
      <c r="R1292" s="224"/>
    </row>
    <row r="1293" spans="1:18" s="118" customFormat="1" ht="24">
      <c r="A1293" s="158">
        <v>4040</v>
      </c>
      <c r="B1293" s="278" t="s">
        <v>496</v>
      </c>
      <c r="C1293" s="160">
        <v>65300</v>
      </c>
      <c r="D1293" s="161">
        <f>G1293+J1293+P1293+M1293</f>
        <v>53192</v>
      </c>
      <c r="E1293" s="155">
        <f>SUM(H1293+K1293+N1293+Q1293)</f>
        <v>52358</v>
      </c>
      <c r="F1293" s="529">
        <f>E1293/D1293*100</f>
        <v>98.4320950518875</v>
      </c>
      <c r="G1293" s="160">
        <f>62900-12940+832</f>
        <v>50792</v>
      </c>
      <c r="H1293" s="155">
        <v>50791</v>
      </c>
      <c r="I1293" s="469">
        <f t="shared" si="161"/>
        <v>99.99803118601355</v>
      </c>
      <c r="J1293" s="162">
        <v>2400</v>
      </c>
      <c r="K1293" s="155">
        <v>1567</v>
      </c>
      <c r="L1293" s="415">
        <f t="shared" si="163"/>
        <v>65.29166666666667</v>
      </c>
      <c r="M1293" s="155"/>
      <c r="N1293" s="155"/>
      <c r="O1293" s="387"/>
      <c r="P1293" s="155"/>
      <c r="Q1293" s="155"/>
      <c r="R1293" s="274"/>
    </row>
    <row r="1294" spans="1:18" s="118" customFormat="1" ht="24">
      <c r="A1294" s="124">
        <v>4110</v>
      </c>
      <c r="B1294" s="277" t="s">
        <v>498</v>
      </c>
      <c r="C1294" s="88">
        <v>137880</v>
      </c>
      <c r="D1294" s="74">
        <f>G1294+J1294+P1294+M1294</f>
        <v>137048</v>
      </c>
      <c r="E1294" s="89">
        <f t="shared" si="162"/>
        <v>62995</v>
      </c>
      <c r="F1294" s="495">
        <f>E1294/D1294*100</f>
        <v>45.96564707255852</v>
      </c>
      <c r="G1294" s="88">
        <f>134180-832</f>
        <v>133348</v>
      </c>
      <c r="H1294" s="89">
        <v>60840</v>
      </c>
      <c r="I1294" s="468">
        <f t="shared" si="161"/>
        <v>45.62498125206228</v>
      </c>
      <c r="J1294" s="126">
        <v>3700</v>
      </c>
      <c r="K1294" s="89">
        <v>2155</v>
      </c>
      <c r="L1294" s="391">
        <f t="shared" si="163"/>
        <v>58.24324324324325</v>
      </c>
      <c r="M1294" s="89"/>
      <c r="N1294" s="89"/>
      <c r="O1294" s="368"/>
      <c r="P1294" s="89"/>
      <c r="Q1294" s="89"/>
      <c r="R1294" s="224"/>
    </row>
    <row r="1295" spans="1:18" s="118" customFormat="1" ht="14.25" customHeight="1">
      <c r="A1295" s="124">
        <v>4120</v>
      </c>
      <c r="B1295" s="277" t="s">
        <v>571</v>
      </c>
      <c r="C1295" s="88">
        <v>21120</v>
      </c>
      <c r="D1295" s="74">
        <f t="shared" si="160"/>
        <v>21120</v>
      </c>
      <c r="E1295" s="89">
        <f t="shared" si="162"/>
        <v>9337</v>
      </c>
      <c r="F1295" s="495">
        <f t="shared" si="159"/>
        <v>44.209280303030305</v>
      </c>
      <c r="G1295" s="88">
        <v>20520</v>
      </c>
      <c r="H1295" s="89">
        <v>9007</v>
      </c>
      <c r="I1295" s="468">
        <f t="shared" si="161"/>
        <v>43.89376218323587</v>
      </c>
      <c r="J1295" s="126">
        <v>600</v>
      </c>
      <c r="K1295" s="89">
        <v>330</v>
      </c>
      <c r="L1295" s="391">
        <f t="shared" si="163"/>
        <v>55.00000000000001</v>
      </c>
      <c r="M1295" s="89"/>
      <c r="N1295" s="89"/>
      <c r="O1295" s="368"/>
      <c r="P1295" s="89"/>
      <c r="Q1295" s="89"/>
      <c r="R1295" s="224"/>
    </row>
    <row r="1296" spans="1:18" s="118" customFormat="1" ht="24">
      <c r="A1296" s="124">
        <v>4170</v>
      </c>
      <c r="B1296" s="277" t="s">
        <v>536</v>
      </c>
      <c r="C1296" s="88">
        <v>92200</v>
      </c>
      <c r="D1296" s="74">
        <f t="shared" si="160"/>
        <v>99200</v>
      </c>
      <c r="E1296" s="89">
        <f t="shared" si="162"/>
        <v>51110</v>
      </c>
      <c r="F1296" s="495">
        <f t="shared" si="159"/>
        <v>51.52217741935484</v>
      </c>
      <c r="G1296" s="88">
        <f>27200+7000</f>
        <v>34200</v>
      </c>
      <c r="H1296" s="89">
        <v>15341</v>
      </c>
      <c r="I1296" s="468">
        <f t="shared" si="161"/>
        <v>44.856725146198826</v>
      </c>
      <c r="J1296" s="126">
        <v>65000</v>
      </c>
      <c r="K1296" s="89">
        <v>35769</v>
      </c>
      <c r="L1296" s="391">
        <f t="shared" si="163"/>
        <v>55.02923076923077</v>
      </c>
      <c r="M1296" s="89"/>
      <c r="N1296" s="89"/>
      <c r="O1296" s="368"/>
      <c r="P1296" s="89"/>
      <c r="Q1296" s="89"/>
      <c r="R1296" s="224"/>
    </row>
    <row r="1297" spans="1:18" s="118" customFormat="1" ht="24">
      <c r="A1297" s="124">
        <v>4210</v>
      </c>
      <c r="B1297" s="277" t="s">
        <v>502</v>
      </c>
      <c r="C1297" s="88">
        <v>2900</v>
      </c>
      <c r="D1297" s="74">
        <f t="shared" si="160"/>
        <v>2900</v>
      </c>
      <c r="E1297" s="89">
        <f t="shared" si="162"/>
        <v>0</v>
      </c>
      <c r="F1297" s="495">
        <f t="shared" si="159"/>
        <v>0</v>
      </c>
      <c r="G1297" s="88">
        <v>2900</v>
      </c>
      <c r="H1297" s="89"/>
      <c r="I1297" s="468">
        <f t="shared" si="161"/>
        <v>0</v>
      </c>
      <c r="J1297" s="126"/>
      <c r="K1297" s="89"/>
      <c r="L1297" s="391"/>
      <c r="M1297" s="89"/>
      <c r="N1297" s="89"/>
      <c r="O1297" s="368"/>
      <c r="P1297" s="89"/>
      <c r="Q1297" s="89"/>
      <c r="R1297" s="224"/>
    </row>
    <row r="1298" spans="1:18" s="118" customFormat="1" ht="12.75">
      <c r="A1298" s="124">
        <v>4260</v>
      </c>
      <c r="B1298" s="277" t="s">
        <v>506</v>
      </c>
      <c r="C1298" s="88">
        <v>930</v>
      </c>
      <c r="D1298" s="74">
        <f t="shared" si="160"/>
        <v>930</v>
      </c>
      <c r="E1298" s="89">
        <f t="shared" si="162"/>
        <v>218</v>
      </c>
      <c r="F1298" s="495">
        <f t="shared" si="159"/>
        <v>23.440860215053764</v>
      </c>
      <c r="G1298" s="88">
        <v>930</v>
      </c>
      <c r="H1298" s="89">
        <v>218</v>
      </c>
      <c r="I1298" s="468">
        <f t="shared" si="161"/>
        <v>23.440860215053764</v>
      </c>
      <c r="J1298" s="126"/>
      <c r="K1298" s="89"/>
      <c r="L1298" s="391"/>
      <c r="M1298" s="89"/>
      <c r="N1298" s="89"/>
      <c r="O1298" s="368"/>
      <c r="P1298" s="89"/>
      <c r="Q1298" s="89"/>
      <c r="R1298" s="224"/>
    </row>
    <row r="1299" spans="1:18" s="118" customFormat="1" ht="24">
      <c r="A1299" s="124">
        <v>4280</v>
      </c>
      <c r="B1299" s="277" t="s">
        <v>545</v>
      </c>
      <c r="C1299" s="88">
        <v>750</v>
      </c>
      <c r="D1299" s="74">
        <f t="shared" si="160"/>
        <v>750</v>
      </c>
      <c r="E1299" s="89">
        <f t="shared" si="162"/>
        <v>347</v>
      </c>
      <c r="F1299" s="495">
        <f t="shared" si="159"/>
        <v>46.266666666666666</v>
      </c>
      <c r="G1299" s="88">
        <v>750</v>
      </c>
      <c r="H1299" s="89">
        <v>347</v>
      </c>
      <c r="I1299" s="468">
        <f t="shared" si="161"/>
        <v>46.266666666666666</v>
      </c>
      <c r="J1299" s="126"/>
      <c r="K1299" s="89"/>
      <c r="L1299" s="391"/>
      <c r="M1299" s="89"/>
      <c r="N1299" s="89"/>
      <c r="O1299" s="368"/>
      <c r="P1299" s="89"/>
      <c r="Q1299" s="89"/>
      <c r="R1299" s="224"/>
    </row>
    <row r="1300" spans="1:18" s="118" customFormat="1" ht="24">
      <c r="A1300" s="124">
        <v>4300</v>
      </c>
      <c r="B1300" s="277" t="s">
        <v>546</v>
      </c>
      <c r="C1300" s="88">
        <v>54590</v>
      </c>
      <c r="D1300" s="74">
        <f t="shared" si="160"/>
        <v>54590</v>
      </c>
      <c r="E1300" s="89">
        <f t="shared" si="162"/>
        <v>13487</v>
      </c>
      <c r="F1300" s="495">
        <f t="shared" si="159"/>
        <v>24.705990108078403</v>
      </c>
      <c r="G1300" s="88">
        <v>4090</v>
      </c>
      <c r="H1300" s="89">
        <v>1212</v>
      </c>
      <c r="I1300" s="468">
        <f t="shared" si="161"/>
        <v>29.633251833740832</v>
      </c>
      <c r="J1300" s="126">
        <v>50500</v>
      </c>
      <c r="K1300" s="89">
        <v>12275</v>
      </c>
      <c r="L1300" s="391">
        <f t="shared" si="163"/>
        <v>24.306930693069305</v>
      </c>
      <c r="M1300" s="89"/>
      <c r="N1300" s="89"/>
      <c r="O1300" s="368"/>
      <c r="P1300" s="89"/>
      <c r="Q1300" s="89"/>
      <c r="R1300" s="224"/>
    </row>
    <row r="1301" spans="1:18" s="118" customFormat="1" ht="48">
      <c r="A1301" s="124">
        <v>4370</v>
      </c>
      <c r="B1301" s="277" t="s">
        <v>288</v>
      </c>
      <c r="C1301" s="88">
        <v>4000</v>
      </c>
      <c r="D1301" s="74">
        <f>G1301+J1301+P1301+M1301</f>
        <v>4000</v>
      </c>
      <c r="E1301" s="89">
        <f>SUM(H1301+K1301+N1301+Q1301)</f>
        <v>0</v>
      </c>
      <c r="F1301" s="495">
        <f>E1301/D1301*100</f>
        <v>0</v>
      </c>
      <c r="G1301" s="88">
        <v>4000</v>
      </c>
      <c r="H1301" s="89"/>
      <c r="I1301" s="468">
        <f t="shared" si="161"/>
        <v>0</v>
      </c>
      <c r="J1301" s="126"/>
      <c r="K1301" s="89"/>
      <c r="L1301" s="391"/>
      <c r="M1301" s="89"/>
      <c r="N1301" s="89"/>
      <c r="O1301" s="368"/>
      <c r="P1301" s="89"/>
      <c r="Q1301" s="89"/>
      <c r="R1301" s="224"/>
    </row>
    <row r="1302" spans="1:18" s="118" customFormat="1" ht="24">
      <c r="A1302" s="124">
        <v>4410</v>
      </c>
      <c r="B1302" s="277" t="s">
        <v>116</v>
      </c>
      <c r="C1302" s="88">
        <v>25840</v>
      </c>
      <c r="D1302" s="74">
        <f t="shared" si="160"/>
        <v>25840</v>
      </c>
      <c r="E1302" s="89">
        <f t="shared" si="162"/>
        <v>11226</v>
      </c>
      <c r="F1302" s="495">
        <f t="shared" si="159"/>
        <v>43.44427244582043</v>
      </c>
      <c r="G1302" s="88">
        <v>25040</v>
      </c>
      <c r="H1302" s="89">
        <v>11226</v>
      </c>
      <c r="I1302" s="468">
        <f t="shared" si="161"/>
        <v>44.83226837060703</v>
      </c>
      <c r="J1302" s="126">
        <v>800</v>
      </c>
      <c r="K1302" s="89"/>
      <c r="L1302" s="391">
        <f t="shared" si="163"/>
        <v>0</v>
      </c>
      <c r="M1302" s="89"/>
      <c r="N1302" s="89"/>
      <c r="O1302" s="368"/>
      <c r="P1302" s="89"/>
      <c r="Q1302" s="89"/>
      <c r="R1302" s="224"/>
    </row>
    <row r="1303" spans="1:18" s="118" customFormat="1" ht="12.75">
      <c r="A1303" s="124">
        <v>4440</v>
      </c>
      <c r="B1303" s="291" t="s">
        <v>14</v>
      </c>
      <c r="C1303" s="88">
        <v>31800</v>
      </c>
      <c r="D1303" s="74">
        <f t="shared" si="160"/>
        <v>31800</v>
      </c>
      <c r="E1303" s="89">
        <f t="shared" si="162"/>
        <v>31800</v>
      </c>
      <c r="F1303" s="495">
        <f t="shared" si="159"/>
        <v>100</v>
      </c>
      <c r="G1303" s="88">
        <v>31000</v>
      </c>
      <c r="H1303" s="89">
        <v>31000</v>
      </c>
      <c r="I1303" s="468">
        <f t="shared" si="161"/>
        <v>100</v>
      </c>
      <c r="J1303" s="126">
        <v>800</v>
      </c>
      <c r="K1303" s="89">
        <v>800</v>
      </c>
      <c r="L1303" s="482">
        <f t="shared" si="163"/>
        <v>100</v>
      </c>
      <c r="M1303" s="89"/>
      <c r="N1303" s="89"/>
      <c r="O1303" s="368"/>
      <c r="P1303" s="89"/>
      <c r="Q1303" s="89"/>
      <c r="R1303" s="224"/>
    </row>
    <row r="1304" spans="1:18" s="118" customFormat="1" ht="24" hidden="1">
      <c r="A1304" s="124">
        <v>4480</v>
      </c>
      <c r="B1304" s="291" t="s">
        <v>516</v>
      </c>
      <c r="C1304" s="88"/>
      <c r="D1304" s="74">
        <f t="shared" si="160"/>
        <v>0</v>
      </c>
      <c r="E1304" s="89">
        <f t="shared" si="162"/>
        <v>0</v>
      </c>
      <c r="F1304" s="495" t="e">
        <f t="shared" si="159"/>
        <v>#DIV/0!</v>
      </c>
      <c r="G1304" s="88"/>
      <c r="H1304" s="89"/>
      <c r="I1304" s="468"/>
      <c r="J1304" s="126"/>
      <c r="K1304" s="89"/>
      <c r="L1304" s="391"/>
      <c r="M1304" s="89"/>
      <c r="N1304" s="89"/>
      <c r="O1304" s="368"/>
      <c r="P1304" s="89"/>
      <c r="Q1304" s="89"/>
      <c r="R1304" s="224"/>
    </row>
    <row r="1305" spans="1:18" s="118" customFormat="1" ht="60">
      <c r="A1305" s="197">
        <v>4740</v>
      </c>
      <c r="B1305" s="337" t="s">
        <v>290</v>
      </c>
      <c r="C1305" s="88">
        <v>500</v>
      </c>
      <c r="D1305" s="74">
        <f t="shared" si="160"/>
        <v>500</v>
      </c>
      <c r="E1305" s="89">
        <f t="shared" si="162"/>
        <v>0</v>
      </c>
      <c r="F1305" s="495">
        <f t="shared" si="159"/>
        <v>0</v>
      </c>
      <c r="G1305" s="88">
        <v>500</v>
      </c>
      <c r="H1305" s="89"/>
      <c r="I1305" s="468">
        <f t="shared" si="161"/>
        <v>0</v>
      </c>
      <c r="J1305" s="126"/>
      <c r="K1305" s="89"/>
      <c r="L1305" s="391"/>
      <c r="M1305" s="89"/>
      <c r="N1305" s="89"/>
      <c r="O1305" s="368"/>
      <c r="P1305" s="89"/>
      <c r="Q1305" s="89"/>
      <c r="R1305" s="224"/>
    </row>
    <row r="1306" spans="1:18" s="143" customFormat="1" ht="24" hidden="1">
      <c r="A1306" s="201">
        <v>85278</v>
      </c>
      <c r="B1306" s="299" t="s">
        <v>335</v>
      </c>
      <c r="C1306" s="94"/>
      <c r="D1306" s="95">
        <f t="shared" si="160"/>
        <v>0</v>
      </c>
      <c r="E1306" s="95">
        <f>H1306+K1306+Q1306+N1306</f>
        <v>0</v>
      </c>
      <c r="F1306" s="532" t="e">
        <f t="shared" si="159"/>
        <v>#DIV/0!</v>
      </c>
      <c r="G1306" s="94"/>
      <c r="H1306" s="95"/>
      <c r="I1306" s="413"/>
      <c r="J1306" s="171">
        <f>SUM(J1307)</f>
        <v>0</v>
      </c>
      <c r="K1306" s="95">
        <f>SUM(K1307)</f>
        <v>0</v>
      </c>
      <c r="L1306" s="494" t="e">
        <f>K1306/J1306*100</f>
        <v>#DIV/0!</v>
      </c>
      <c r="M1306" s="95"/>
      <c r="N1306" s="95"/>
      <c r="O1306" s="402"/>
      <c r="P1306" s="95"/>
      <c r="Q1306" s="95"/>
      <c r="R1306" s="271"/>
    </row>
    <row r="1307" spans="1:18" s="118" customFormat="1" ht="14.25" customHeight="1" hidden="1">
      <c r="A1307" s="144">
        <v>3110</v>
      </c>
      <c r="B1307" s="302" t="s">
        <v>98</v>
      </c>
      <c r="C1307" s="146"/>
      <c r="D1307" s="147">
        <f t="shared" si="160"/>
        <v>0</v>
      </c>
      <c r="E1307" s="147">
        <f>H1307+K1307+Q1307+N1307</f>
        <v>0</v>
      </c>
      <c r="F1307" s="530" t="e">
        <f t="shared" si="159"/>
        <v>#DIV/0!</v>
      </c>
      <c r="G1307" s="146"/>
      <c r="H1307" s="149"/>
      <c r="I1307" s="413"/>
      <c r="J1307" s="148"/>
      <c r="K1307" s="149"/>
      <c r="L1307" s="480" t="e">
        <f>K1307/J1307*100</f>
        <v>#DIV/0!</v>
      </c>
      <c r="M1307" s="149"/>
      <c r="N1307" s="149"/>
      <c r="O1307" s="381"/>
      <c r="P1307" s="149"/>
      <c r="Q1307" s="149"/>
      <c r="R1307" s="316"/>
    </row>
    <row r="1308" spans="1:18" ht="30.75" customHeight="1">
      <c r="A1308" s="119">
        <v>85295</v>
      </c>
      <c r="B1308" s="276" t="s">
        <v>529</v>
      </c>
      <c r="C1308" s="82">
        <f>SUM(C1309:C1315)</f>
        <v>1120950</v>
      </c>
      <c r="D1308" s="95">
        <f>G1308+J1308+P1308+M1308</f>
        <v>1520434</v>
      </c>
      <c r="E1308" s="84">
        <f>H1308+K1308+Q1308+N1308</f>
        <v>663024</v>
      </c>
      <c r="F1308" s="530">
        <f t="shared" si="159"/>
        <v>43.60754889722276</v>
      </c>
      <c r="G1308" s="82">
        <f>SUM(G1310:G1315)+G1309+G1316+G1321</f>
        <v>1520434</v>
      </c>
      <c r="H1308" s="87">
        <f>SUM(H1310:H1315)+H1309+H1316+H1321</f>
        <v>663024</v>
      </c>
      <c r="I1308" s="467">
        <f aca="true" t="shared" si="164" ref="I1308:I1345">H1308/G1308*100</f>
        <v>43.60754889722276</v>
      </c>
      <c r="J1308" s="82"/>
      <c r="K1308" s="87"/>
      <c r="L1308" s="406"/>
      <c r="M1308" s="305"/>
      <c r="N1308" s="87"/>
      <c r="O1308" s="381"/>
      <c r="P1308" s="156"/>
      <c r="Q1308" s="156"/>
      <c r="R1308" s="316"/>
    </row>
    <row r="1309" spans="1:18" s="118" customFormat="1" ht="59.25" customHeight="1">
      <c r="A1309" s="108">
        <v>2820</v>
      </c>
      <c r="B1309" s="306" t="s">
        <v>119</v>
      </c>
      <c r="C1309" s="90">
        <v>150000</v>
      </c>
      <c r="D1309" s="103">
        <f t="shared" si="160"/>
        <v>150000</v>
      </c>
      <c r="E1309" s="103">
        <f aca="true" t="shared" si="165" ref="E1309:E1328">SUM(H1309+K1309+N1309+Q1309)</f>
        <v>67000</v>
      </c>
      <c r="F1309" s="531">
        <f t="shared" si="159"/>
        <v>44.666666666666664</v>
      </c>
      <c r="G1309" s="90">
        <v>150000</v>
      </c>
      <c r="H1309" s="104">
        <v>67000</v>
      </c>
      <c r="I1309" s="470">
        <f t="shared" si="164"/>
        <v>44.666666666666664</v>
      </c>
      <c r="J1309" s="200"/>
      <c r="K1309" s="104"/>
      <c r="L1309" s="414"/>
      <c r="M1309" s="104"/>
      <c r="N1309" s="104"/>
      <c r="O1309" s="388"/>
      <c r="P1309" s="104"/>
      <c r="Q1309" s="104"/>
      <c r="R1309" s="304"/>
    </row>
    <row r="1310" spans="1:18" s="118" customFormat="1" ht="48">
      <c r="A1310" s="124">
        <v>3110</v>
      </c>
      <c r="B1310" s="292" t="s">
        <v>395</v>
      </c>
      <c r="C1310" s="88">
        <f>200000+595000</f>
        <v>795000</v>
      </c>
      <c r="D1310" s="74">
        <f>G1310+J1310+P1310+M1310</f>
        <v>953970</v>
      </c>
      <c r="E1310" s="89">
        <f t="shared" si="165"/>
        <v>562302</v>
      </c>
      <c r="F1310" s="495">
        <f>E1310/D1310*100</f>
        <v>58.94336299883645</v>
      </c>
      <c r="G1310" s="88">
        <f>200000+595000+117000-30+42000</f>
        <v>953970</v>
      </c>
      <c r="H1310" s="89">
        <v>562302</v>
      </c>
      <c r="I1310" s="468">
        <f t="shared" si="164"/>
        <v>58.94336299883645</v>
      </c>
      <c r="J1310" s="126"/>
      <c r="K1310" s="89"/>
      <c r="L1310" s="391"/>
      <c r="M1310" s="89"/>
      <c r="N1310" s="89"/>
      <c r="O1310" s="368"/>
      <c r="P1310" s="89"/>
      <c r="Q1310" s="89"/>
      <c r="R1310" s="224"/>
    </row>
    <row r="1311" spans="1:18" s="118" customFormat="1" ht="12.75" hidden="1">
      <c r="A1311" s="124">
        <v>4580</v>
      </c>
      <c r="B1311" s="292" t="s">
        <v>549</v>
      </c>
      <c r="C1311" s="88"/>
      <c r="D1311" s="74">
        <f t="shared" si="160"/>
        <v>0</v>
      </c>
      <c r="E1311" s="89">
        <f t="shared" si="165"/>
        <v>0</v>
      </c>
      <c r="F1311" s="495" t="e">
        <f t="shared" si="159"/>
        <v>#DIV/0!</v>
      </c>
      <c r="G1311" s="88">
        <f>30-30</f>
        <v>0</v>
      </c>
      <c r="H1311" s="74"/>
      <c r="I1311" s="468" t="e">
        <f t="shared" si="164"/>
        <v>#DIV/0!</v>
      </c>
      <c r="J1311" s="126"/>
      <c r="K1311" s="89"/>
      <c r="L1311" s="391"/>
      <c r="M1311" s="89"/>
      <c r="N1311" s="89"/>
      <c r="O1311" s="368"/>
      <c r="P1311" s="89"/>
      <c r="Q1311" s="89"/>
      <c r="R1311" s="224"/>
    </row>
    <row r="1312" spans="1:18" s="118" customFormat="1" ht="24" hidden="1">
      <c r="A1312" s="124">
        <v>4170</v>
      </c>
      <c r="B1312" s="277" t="s">
        <v>457</v>
      </c>
      <c r="C1312" s="88"/>
      <c r="D1312" s="74">
        <f>G1312+J1312+P1312+M1312</f>
        <v>0</v>
      </c>
      <c r="E1312" s="89">
        <f t="shared" si="165"/>
        <v>0</v>
      </c>
      <c r="F1312" s="495" t="e">
        <f>E1312/D1312*100</f>
        <v>#DIV/0!</v>
      </c>
      <c r="G1312" s="88"/>
      <c r="H1312" s="74"/>
      <c r="I1312" s="468" t="e">
        <f t="shared" si="164"/>
        <v>#DIV/0!</v>
      </c>
      <c r="J1312" s="126"/>
      <c r="K1312" s="89"/>
      <c r="L1312" s="391"/>
      <c r="M1312" s="89"/>
      <c r="N1312" s="89"/>
      <c r="O1312" s="368"/>
      <c r="P1312" s="89"/>
      <c r="Q1312" s="89"/>
      <c r="R1312" s="224"/>
    </row>
    <row r="1313" spans="1:18" s="118" customFormat="1" ht="24" hidden="1">
      <c r="A1313" s="124">
        <v>4210</v>
      </c>
      <c r="B1313" s="277" t="s">
        <v>458</v>
      </c>
      <c r="C1313" s="88"/>
      <c r="D1313" s="74">
        <f>G1313+J1313+P1313+M1313</f>
        <v>0</v>
      </c>
      <c r="E1313" s="89">
        <f t="shared" si="165"/>
        <v>0</v>
      </c>
      <c r="F1313" s="495" t="e">
        <f>E1313/D1313*100</f>
        <v>#DIV/0!</v>
      </c>
      <c r="G1313" s="88"/>
      <c r="H1313" s="74"/>
      <c r="I1313" s="468" t="e">
        <f t="shared" si="164"/>
        <v>#DIV/0!</v>
      </c>
      <c r="J1313" s="126"/>
      <c r="K1313" s="89"/>
      <c r="L1313" s="391"/>
      <c r="M1313" s="89"/>
      <c r="N1313" s="89"/>
      <c r="O1313" s="368"/>
      <c r="P1313" s="89"/>
      <c r="Q1313" s="89"/>
      <c r="R1313" s="224"/>
    </row>
    <row r="1314" spans="1:18" s="118" customFormat="1" ht="72">
      <c r="A1314" s="124">
        <v>6060</v>
      </c>
      <c r="B1314" s="291" t="s">
        <v>309</v>
      </c>
      <c r="C1314" s="88">
        <v>153450</v>
      </c>
      <c r="D1314" s="74">
        <f t="shared" si="160"/>
        <v>153450</v>
      </c>
      <c r="E1314" s="89">
        <f t="shared" si="165"/>
        <v>0</v>
      </c>
      <c r="F1314" s="495">
        <f t="shared" si="159"/>
        <v>0</v>
      </c>
      <c r="G1314" s="88">
        <v>153450</v>
      </c>
      <c r="H1314" s="74"/>
      <c r="I1314" s="468">
        <f t="shared" si="164"/>
        <v>0</v>
      </c>
      <c r="J1314" s="126"/>
      <c r="K1314" s="89"/>
      <c r="L1314" s="391"/>
      <c r="M1314" s="89"/>
      <c r="N1314" s="89"/>
      <c r="O1314" s="368"/>
      <c r="P1314" s="89"/>
      <c r="Q1314" s="89"/>
      <c r="R1314" s="224"/>
    </row>
    <row r="1315" spans="1:18" s="118" customFormat="1" ht="24.75" customHeight="1">
      <c r="A1315" s="158">
        <v>4300</v>
      </c>
      <c r="B1315" s="278" t="s">
        <v>121</v>
      </c>
      <c r="C1315" s="160">
        <v>22500</v>
      </c>
      <c r="D1315" s="161">
        <f t="shared" si="160"/>
        <v>36350</v>
      </c>
      <c r="E1315" s="155">
        <f t="shared" si="165"/>
        <v>10810</v>
      </c>
      <c r="F1315" s="527">
        <f t="shared" si="159"/>
        <v>29.73865199449794</v>
      </c>
      <c r="G1315" s="160">
        <f>22500+13850</f>
        <v>36350</v>
      </c>
      <c r="H1315" s="155">
        <v>10810</v>
      </c>
      <c r="I1315" s="469">
        <f t="shared" si="164"/>
        <v>29.73865199449794</v>
      </c>
      <c r="J1315" s="162"/>
      <c r="K1315" s="155"/>
      <c r="L1315" s="415"/>
      <c r="M1315" s="155"/>
      <c r="N1315" s="155"/>
      <c r="O1315" s="274"/>
      <c r="P1315" s="155"/>
      <c r="Q1315" s="155"/>
      <c r="R1315" s="274"/>
    </row>
    <row r="1316" spans="1:18" s="143" customFormat="1" ht="24" hidden="1">
      <c r="A1316" s="135"/>
      <c r="B1316" s="339" t="s">
        <v>447</v>
      </c>
      <c r="C1316" s="137"/>
      <c r="D1316" s="139">
        <f t="shared" si="160"/>
        <v>0</v>
      </c>
      <c r="E1316" s="139">
        <f t="shared" si="165"/>
        <v>0</v>
      </c>
      <c r="F1316" s="533" t="e">
        <f t="shared" si="159"/>
        <v>#DIV/0!</v>
      </c>
      <c r="G1316" s="347">
        <f>SUM(G1317:G1320)</f>
        <v>0</v>
      </c>
      <c r="H1316" s="139">
        <f>SUM(H1317:H1320)</f>
        <v>0</v>
      </c>
      <c r="I1316" s="468" t="e">
        <f t="shared" si="164"/>
        <v>#DIV/0!</v>
      </c>
      <c r="J1316" s="140"/>
      <c r="K1316" s="139"/>
      <c r="L1316" s="403"/>
      <c r="M1316" s="137"/>
      <c r="N1316" s="139"/>
      <c r="O1316" s="384"/>
      <c r="P1316" s="139"/>
      <c r="Q1316" s="139"/>
      <c r="R1316" s="384"/>
    </row>
    <row r="1317" spans="1:18" s="118" customFormat="1" ht="24" hidden="1">
      <c r="A1317" s="124">
        <v>4170</v>
      </c>
      <c r="B1317" s="277" t="s">
        <v>536</v>
      </c>
      <c r="C1317" s="88"/>
      <c r="D1317" s="74">
        <f t="shared" si="160"/>
        <v>0</v>
      </c>
      <c r="E1317" s="89">
        <f t="shared" si="165"/>
        <v>0</v>
      </c>
      <c r="F1317" s="491" t="e">
        <f t="shared" si="159"/>
        <v>#DIV/0!</v>
      </c>
      <c r="G1317" s="88"/>
      <c r="H1317" s="89"/>
      <c r="I1317" s="468" t="e">
        <f t="shared" si="164"/>
        <v>#DIV/0!</v>
      </c>
      <c r="J1317" s="126"/>
      <c r="K1317" s="89"/>
      <c r="L1317" s="391"/>
      <c r="M1317" s="88"/>
      <c r="N1317" s="89"/>
      <c r="O1317" s="386"/>
      <c r="P1317" s="89"/>
      <c r="Q1317" s="89"/>
      <c r="R1317" s="280"/>
    </row>
    <row r="1318" spans="1:18" s="118" customFormat="1" ht="24" hidden="1">
      <c r="A1318" s="124">
        <v>4210</v>
      </c>
      <c r="B1318" s="277" t="s">
        <v>502</v>
      </c>
      <c r="C1318" s="88"/>
      <c r="D1318" s="74">
        <f t="shared" si="160"/>
        <v>0</v>
      </c>
      <c r="E1318" s="89">
        <f t="shared" si="165"/>
        <v>0</v>
      </c>
      <c r="F1318" s="491" t="e">
        <f t="shared" si="159"/>
        <v>#DIV/0!</v>
      </c>
      <c r="G1318" s="88"/>
      <c r="H1318" s="89"/>
      <c r="I1318" s="468" t="e">
        <f t="shared" si="164"/>
        <v>#DIV/0!</v>
      </c>
      <c r="J1318" s="126"/>
      <c r="K1318" s="89"/>
      <c r="L1318" s="391"/>
      <c r="M1318" s="88"/>
      <c r="N1318" s="89"/>
      <c r="O1318" s="386"/>
      <c r="P1318" s="89"/>
      <c r="Q1318" s="89"/>
      <c r="R1318" s="280"/>
    </row>
    <row r="1319" spans="1:18" s="118" customFormat="1" ht="24" hidden="1">
      <c r="A1319" s="124">
        <v>4300</v>
      </c>
      <c r="B1319" s="277" t="s">
        <v>510</v>
      </c>
      <c r="C1319" s="88"/>
      <c r="D1319" s="74">
        <f t="shared" si="160"/>
        <v>0</v>
      </c>
      <c r="E1319" s="89">
        <f t="shared" si="165"/>
        <v>0</v>
      </c>
      <c r="F1319" s="491" t="e">
        <f t="shared" si="159"/>
        <v>#DIV/0!</v>
      </c>
      <c r="G1319" s="88"/>
      <c r="H1319" s="89"/>
      <c r="I1319" s="468" t="e">
        <f t="shared" si="164"/>
        <v>#DIV/0!</v>
      </c>
      <c r="J1319" s="126"/>
      <c r="K1319" s="89"/>
      <c r="L1319" s="391"/>
      <c r="M1319" s="88"/>
      <c r="N1319" s="89"/>
      <c r="O1319" s="386"/>
      <c r="P1319" s="89"/>
      <c r="Q1319" s="89"/>
      <c r="R1319" s="280"/>
    </row>
    <row r="1320" spans="1:18" s="118" customFormat="1" ht="60" hidden="1">
      <c r="A1320" s="124">
        <v>4740</v>
      </c>
      <c r="B1320" s="277" t="s">
        <v>290</v>
      </c>
      <c r="C1320" s="88"/>
      <c r="D1320" s="74">
        <f t="shared" si="160"/>
        <v>0</v>
      </c>
      <c r="E1320" s="89">
        <f t="shared" si="165"/>
        <v>0</v>
      </c>
      <c r="F1320" s="491" t="e">
        <f t="shared" si="159"/>
        <v>#DIV/0!</v>
      </c>
      <c r="G1320" s="88"/>
      <c r="H1320" s="89"/>
      <c r="I1320" s="468" t="e">
        <f t="shared" si="164"/>
        <v>#DIV/0!</v>
      </c>
      <c r="J1320" s="126"/>
      <c r="K1320" s="89"/>
      <c r="L1320" s="391"/>
      <c r="M1320" s="88"/>
      <c r="N1320" s="89"/>
      <c r="O1320" s="386"/>
      <c r="P1320" s="89"/>
      <c r="Q1320" s="89"/>
      <c r="R1320" s="280"/>
    </row>
    <row r="1321" spans="1:18" s="143" customFormat="1" ht="84">
      <c r="A1321" s="135"/>
      <c r="B1321" s="339" t="s">
        <v>429</v>
      </c>
      <c r="C1321" s="137"/>
      <c r="D1321" s="139">
        <f t="shared" si="160"/>
        <v>226664</v>
      </c>
      <c r="E1321" s="139">
        <f t="shared" si="165"/>
        <v>22912</v>
      </c>
      <c r="F1321" s="491">
        <f t="shared" si="159"/>
        <v>10.108354215931953</v>
      </c>
      <c r="G1321" s="137">
        <f>SUM(G1322:G1341)</f>
        <v>226664</v>
      </c>
      <c r="H1321" s="139">
        <f>SUM(H1322:H1341)</f>
        <v>22912</v>
      </c>
      <c r="I1321" s="468">
        <f t="shared" si="164"/>
        <v>10.108354215931953</v>
      </c>
      <c r="J1321" s="140"/>
      <c r="K1321" s="139"/>
      <c r="L1321" s="403"/>
      <c r="M1321" s="140"/>
      <c r="N1321" s="139"/>
      <c r="O1321" s="386"/>
      <c r="P1321" s="139"/>
      <c r="Q1321" s="139"/>
      <c r="R1321" s="386"/>
    </row>
    <row r="1322" spans="1:18" s="118" customFormat="1" ht="12.75">
      <c r="A1322" s="124">
        <v>3118</v>
      </c>
      <c r="B1322" s="277" t="s">
        <v>98</v>
      </c>
      <c r="C1322" s="88"/>
      <c r="D1322" s="74">
        <f t="shared" si="160"/>
        <v>34068</v>
      </c>
      <c r="E1322" s="89">
        <f t="shared" si="165"/>
        <v>0</v>
      </c>
      <c r="F1322" s="491">
        <f t="shared" si="159"/>
        <v>0</v>
      </c>
      <c r="G1322" s="88">
        <f>40080-6012</f>
        <v>34068</v>
      </c>
      <c r="H1322" s="89"/>
      <c r="I1322" s="468">
        <f t="shared" si="164"/>
        <v>0</v>
      </c>
      <c r="J1322" s="126"/>
      <c r="K1322" s="89"/>
      <c r="L1322" s="391"/>
      <c r="M1322" s="126"/>
      <c r="N1322" s="89"/>
      <c r="O1322" s="386"/>
      <c r="P1322" s="89"/>
      <c r="Q1322" s="89"/>
      <c r="R1322" s="280"/>
    </row>
    <row r="1323" spans="1:18" s="118" customFormat="1" ht="12.75">
      <c r="A1323" s="124">
        <v>3119</v>
      </c>
      <c r="B1323" s="277" t="s">
        <v>98</v>
      </c>
      <c r="C1323" s="88"/>
      <c r="D1323" s="74">
        <f aca="true" t="shared" si="166" ref="D1323:D1328">G1323+J1323+P1323+M1323</f>
        <v>6012</v>
      </c>
      <c r="E1323" s="89">
        <f t="shared" si="165"/>
        <v>0</v>
      </c>
      <c r="F1323" s="491">
        <f aca="true" t="shared" si="167" ref="F1323:F1328">E1323/D1323*100</f>
        <v>0</v>
      </c>
      <c r="G1323" s="88">
        <v>6012</v>
      </c>
      <c r="H1323" s="89"/>
      <c r="I1323" s="468">
        <f t="shared" si="164"/>
        <v>0</v>
      </c>
      <c r="J1323" s="126"/>
      <c r="K1323" s="89"/>
      <c r="L1323" s="391"/>
      <c r="M1323" s="126"/>
      <c r="N1323" s="89"/>
      <c r="O1323" s="386"/>
      <c r="P1323" s="89"/>
      <c r="Q1323" s="89"/>
      <c r="R1323" s="280"/>
    </row>
    <row r="1324" spans="1:18" s="118" customFormat="1" ht="24">
      <c r="A1324" s="124">
        <v>4018</v>
      </c>
      <c r="B1324" s="277" t="s">
        <v>492</v>
      </c>
      <c r="C1324" s="88"/>
      <c r="D1324" s="74">
        <f t="shared" si="166"/>
        <v>32988</v>
      </c>
      <c r="E1324" s="89">
        <f t="shared" si="165"/>
        <v>7687</v>
      </c>
      <c r="F1324" s="491">
        <f t="shared" si="167"/>
        <v>23.30241299866618</v>
      </c>
      <c r="G1324" s="88">
        <f>38810-5822</f>
        <v>32988</v>
      </c>
      <c r="H1324" s="89">
        <v>7687</v>
      </c>
      <c r="I1324" s="468">
        <f t="shared" si="164"/>
        <v>23.30241299866618</v>
      </c>
      <c r="J1324" s="126"/>
      <c r="K1324" s="89"/>
      <c r="L1324" s="391"/>
      <c r="M1324" s="126"/>
      <c r="N1324" s="89"/>
      <c r="O1324" s="386"/>
      <c r="P1324" s="89"/>
      <c r="Q1324" s="89"/>
      <c r="R1324" s="280"/>
    </row>
    <row r="1325" spans="1:18" s="118" customFormat="1" ht="24">
      <c r="A1325" s="124">
        <v>4019</v>
      </c>
      <c r="B1325" s="277" t="s">
        <v>492</v>
      </c>
      <c r="C1325" s="88"/>
      <c r="D1325" s="74">
        <f t="shared" si="166"/>
        <v>5822</v>
      </c>
      <c r="E1325" s="89">
        <f t="shared" si="165"/>
        <v>0</v>
      </c>
      <c r="F1325" s="491">
        <f t="shared" si="167"/>
        <v>0</v>
      </c>
      <c r="G1325" s="88">
        <v>5822</v>
      </c>
      <c r="H1325" s="89"/>
      <c r="I1325" s="468">
        <f t="shared" si="164"/>
        <v>0</v>
      </c>
      <c r="J1325" s="126"/>
      <c r="K1325" s="89"/>
      <c r="L1325" s="391"/>
      <c r="M1325" s="126"/>
      <c r="N1325" s="89"/>
      <c r="O1325" s="386"/>
      <c r="P1325" s="89"/>
      <c r="Q1325" s="89"/>
      <c r="R1325" s="280"/>
    </row>
    <row r="1326" spans="1:18" s="118" customFormat="1" ht="24">
      <c r="A1326" s="124">
        <v>4118</v>
      </c>
      <c r="B1326" s="277" t="s">
        <v>498</v>
      </c>
      <c r="C1326" s="88"/>
      <c r="D1326" s="74">
        <f t="shared" si="166"/>
        <v>10500</v>
      </c>
      <c r="E1326" s="89">
        <f t="shared" si="165"/>
        <v>1796</v>
      </c>
      <c r="F1326" s="491">
        <f t="shared" si="167"/>
        <v>17.104761904761904</v>
      </c>
      <c r="G1326" s="88">
        <f>12354-1854</f>
        <v>10500</v>
      </c>
      <c r="H1326" s="89">
        <v>1796</v>
      </c>
      <c r="I1326" s="468">
        <f t="shared" si="164"/>
        <v>17.104761904761904</v>
      </c>
      <c r="J1326" s="126"/>
      <c r="K1326" s="89"/>
      <c r="L1326" s="391"/>
      <c r="M1326" s="126"/>
      <c r="N1326" s="89"/>
      <c r="O1326" s="386"/>
      <c r="P1326" s="89"/>
      <c r="Q1326" s="89"/>
      <c r="R1326" s="280"/>
    </row>
    <row r="1327" spans="1:18" s="118" customFormat="1" ht="24">
      <c r="A1327" s="124">
        <v>4119</v>
      </c>
      <c r="B1327" s="277" t="s">
        <v>498</v>
      </c>
      <c r="C1327" s="88"/>
      <c r="D1327" s="74">
        <f t="shared" si="166"/>
        <v>1854</v>
      </c>
      <c r="E1327" s="89">
        <f t="shared" si="165"/>
        <v>0</v>
      </c>
      <c r="F1327" s="491">
        <f t="shared" si="167"/>
        <v>0</v>
      </c>
      <c r="G1327" s="88">
        <v>1854</v>
      </c>
      <c r="H1327" s="89"/>
      <c r="I1327" s="468">
        <f t="shared" si="164"/>
        <v>0</v>
      </c>
      <c r="J1327" s="126"/>
      <c r="K1327" s="89"/>
      <c r="L1327" s="391"/>
      <c r="M1327" s="126"/>
      <c r="N1327" s="89"/>
      <c r="O1327" s="386"/>
      <c r="P1327" s="89"/>
      <c r="Q1327" s="89"/>
      <c r="R1327" s="280"/>
    </row>
    <row r="1328" spans="1:18" s="118" customFormat="1" ht="12.75">
      <c r="A1328" s="124">
        <v>4128</v>
      </c>
      <c r="B1328" s="277" t="s">
        <v>571</v>
      </c>
      <c r="C1328" s="88"/>
      <c r="D1328" s="74">
        <f t="shared" si="166"/>
        <v>1603</v>
      </c>
      <c r="E1328" s="89">
        <f t="shared" si="165"/>
        <v>756</v>
      </c>
      <c r="F1328" s="491">
        <f t="shared" si="167"/>
        <v>47.161572052401745</v>
      </c>
      <c r="G1328" s="88">
        <f>1886-283</f>
        <v>1603</v>
      </c>
      <c r="H1328" s="89">
        <v>756</v>
      </c>
      <c r="I1328" s="468">
        <f t="shared" si="164"/>
        <v>47.161572052401745</v>
      </c>
      <c r="J1328" s="126"/>
      <c r="K1328" s="89"/>
      <c r="L1328" s="391"/>
      <c r="M1328" s="126"/>
      <c r="N1328" s="89"/>
      <c r="O1328" s="386"/>
      <c r="P1328" s="89"/>
      <c r="Q1328" s="89"/>
      <c r="R1328" s="280"/>
    </row>
    <row r="1329" spans="1:18" s="118" customFormat="1" ht="12.75">
      <c r="A1329" s="124">
        <v>4129</v>
      </c>
      <c r="B1329" s="277" t="s">
        <v>571</v>
      </c>
      <c r="C1329" s="88"/>
      <c r="D1329" s="74">
        <f aca="true" t="shared" si="168" ref="D1329:D1335">G1329+J1329+P1329+M1329</f>
        <v>283</v>
      </c>
      <c r="E1329" s="89">
        <f aca="true" t="shared" si="169" ref="E1329:E1335">SUM(H1329+K1329+N1329+Q1329)</f>
        <v>0</v>
      </c>
      <c r="F1329" s="491">
        <f aca="true" t="shared" si="170" ref="F1329:F1335">E1329/D1329*100</f>
        <v>0</v>
      </c>
      <c r="G1329" s="88">
        <v>283</v>
      </c>
      <c r="H1329" s="89"/>
      <c r="I1329" s="468">
        <f t="shared" si="164"/>
        <v>0</v>
      </c>
      <c r="J1329" s="126"/>
      <c r="K1329" s="89"/>
      <c r="L1329" s="391"/>
      <c r="M1329" s="126"/>
      <c r="N1329" s="89"/>
      <c r="O1329" s="386"/>
      <c r="P1329" s="89"/>
      <c r="Q1329" s="89"/>
      <c r="R1329" s="280"/>
    </row>
    <row r="1330" spans="1:18" s="118" customFormat="1" ht="24">
      <c r="A1330" s="124">
        <v>4178</v>
      </c>
      <c r="B1330" s="277" t="s">
        <v>536</v>
      </c>
      <c r="C1330" s="88"/>
      <c r="D1330" s="74">
        <f t="shared" si="168"/>
        <v>32427</v>
      </c>
      <c r="E1330" s="89">
        <f t="shared" si="169"/>
        <v>7412</v>
      </c>
      <c r="F1330" s="491">
        <f t="shared" si="170"/>
        <v>22.857495297128935</v>
      </c>
      <c r="G1330" s="88">
        <f>38150-5723</f>
        <v>32427</v>
      </c>
      <c r="H1330" s="89">
        <v>7412</v>
      </c>
      <c r="I1330" s="468">
        <f t="shared" si="164"/>
        <v>22.857495297128935</v>
      </c>
      <c r="J1330" s="126"/>
      <c r="K1330" s="89"/>
      <c r="L1330" s="391"/>
      <c r="M1330" s="126"/>
      <c r="N1330" s="89"/>
      <c r="O1330" s="386"/>
      <c r="P1330" s="89"/>
      <c r="Q1330" s="89"/>
      <c r="R1330" s="280"/>
    </row>
    <row r="1331" spans="1:18" s="118" customFormat="1" ht="24">
      <c r="A1331" s="124">
        <v>4179</v>
      </c>
      <c r="B1331" s="277" t="s">
        <v>536</v>
      </c>
      <c r="C1331" s="88"/>
      <c r="D1331" s="74">
        <f t="shared" si="168"/>
        <v>5723</v>
      </c>
      <c r="E1331" s="89">
        <f t="shared" si="169"/>
        <v>0</v>
      </c>
      <c r="F1331" s="491">
        <f t="shared" si="170"/>
        <v>0</v>
      </c>
      <c r="G1331" s="88">
        <v>5723</v>
      </c>
      <c r="H1331" s="89"/>
      <c r="I1331" s="468">
        <f t="shared" si="164"/>
        <v>0</v>
      </c>
      <c r="J1331" s="126"/>
      <c r="K1331" s="89"/>
      <c r="L1331" s="391"/>
      <c r="M1331" s="126"/>
      <c r="N1331" s="89"/>
      <c r="O1331" s="386"/>
      <c r="P1331" s="89"/>
      <c r="Q1331" s="89"/>
      <c r="R1331" s="280"/>
    </row>
    <row r="1332" spans="1:18" s="118" customFormat="1" ht="24">
      <c r="A1332" s="124">
        <v>4218</v>
      </c>
      <c r="B1332" s="277" t="s">
        <v>502</v>
      </c>
      <c r="C1332" s="88"/>
      <c r="D1332" s="74">
        <f t="shared" si="168"/>
        <v>867</v>
      </c>
      <c r="E1332" s="89">
        <f t="shared" si="169"/>
        <v>0</v>
      </c>
      <c r="F1332" s="491">
        <f t="shared" si="170"/>
        <v>0</v>
      </c>
      <c r="G1332" s="88">
        <f>1020-153</f>
        <v>867</v>
      </c>
      <c r="H1332" s="89"/>
      <c r="I1332" s="468">
        <f t="shared" si="164"/>
        <v>0</v>
      </c>
      <c r="J1332" s="126"/>
      <c r="K1332" s="89"/>
      <c r="L1332" s="391"/>
      <c r="M1332" s="126"/>
      <c r="N1332" s="89"/>
      <c r="O1332" s="386"/>
      <c r="P1332" s="89"/>
      <c r="Q1332" s="89"/>
      <c r="R1332" s="280"/>
    </row>
    <row r="1333" spans="1:18" s="118" customFormat="1" ht="24">
      <c r="A1333" s="124">
        <v>4219</v>
      </c>
      <c r="B1333" s="277" t="s">
        <v>502</v>
      </c>
      <c r="C1333" s="88"/>
      <c r="D1333" s="74">
        <f t="shared" si="168"/>
        <v>153</v>
      </c>
      <c r="E1333" s="89">
        <f t="shared" si="169"/>
        <v>0</v>
      </c>
      <c r="F1333" s="491">
        <f t="shared" si="170"/>
        <v>0</v>
      </c>
      <c r="G1333" s="88">
        <v>153</v>
      </c>
      <c r="H1333" s="89"/>
      <c r="I1333" s="468">
        <f t="shared" si="164"/>
        <v>0</v>
      </c>
      <c r="J1333" s="126"/>
      <c r="K1333" s="89"/>
      <c r="L1333" s="391"/>
      <c r="M1333" s="126"/>
      <c r="N1333" s="89"/>
      <c r="O1333" s="386"/>
      <c r="P1333" s="89"/>
      <c r="Q1333" s="89"/>
      <c r="R1333" s="280"/>
    </row>
    <row r="1334" spans="1:18" s="118" customFormat="1" ht="24">
      <c r="A1334" s="124">
        <v>4308</v>
      </c>
      <c r="B1334" s="277" t="s">
        <v>546</v>
      </c>
      <c r="C1334" s="88"/>
      <c r="D1334" s="74">
        <f t="shared" si="168"/>
        <v>72799</v>
      </c>
      <c r="E1334" s="89">
        <f t="shared" si="169"/>
        <v>5135</v>
      </c>
      <c r="F1334" s="491">
        <f t="shared" si="170"/>
        <v>7.053668319619775</v>
      </c>
      <c r="G1334" s="88">
        <f>85645-12846</f>
        <v>72799</v>
      </c>
      <c r="H1334" s="89">
        <v>5135</v>
      </c>
      <c r="I1334" s="468">
        <f t="shared" si="164"/>
        <v>7.053668319619775</v>
      </c>
      <c r="J1334" s="126"/>
      <c r="K1334" s="89"/>
      <c r="L1334" s="391"/>
      <c r="M1334" s="126"/>
      <c r="N1334" s="89"/>
      <c r="O1334" s="386"/>
      <c r="P1334" s="89"/>
      <c r="Q1334" s="89"/>
      <c r="R1334" s="280"/>
    </row>
    <row r="1335" spans="1:18" s="118" customFormat="1" ht="24">
      <c r="A1335" s="124">
        <v>4309</v>
      </c>
      <c r="B1335" s="277" t="s">
        <v>546</v>
      </c>
      <c r="C1335" s="88"/>
      <c r="D1335" s="74">
        <f t="shared" si="168"/>
        <v>12846</v>
      </c>
      <c r="E1335" s="89">
        <f t="shared" si="169"/>
        <v>0</v>
      </c>
      <c r="F1335" s="491">
        <f t="shared" si="170"/>
        <v>0</v>
      </c>
      <c r="G1335" s="88">
        <v>12846</v>
      </c>
      <c r="H1335" s="89"/>
      <c r="I1335" s="468">
        <f t="shared" si="164"/>
        <v>0</v>
      </c>
      <c r="J1335" s="126"/>
      <c r="K1335" s="89"/>
      <c r="L1335" s="391"/>
      <c r="M1335" s="126"/>
      <c r="N1335" s="89"/>
      <c r="O1335" s="386"/>
      <c r="P1335" s="89"/>
      <c r="Q1335" s="89"/>
      <c r="R1335" s="280"/>
    </row>
    <row r="1336" spans="1:18" s="118" customFormat="1" ht="24">
      <c r="A1336" s="172">
        <v>4418</v>
      </c>
      <c r="B1336" s="337" t="s">
        <v>484</v>
      </c>
      <c r="C1336" s="88"/>
      <c r="D1336" s="74">
        <f t="shared" si="160"/>
        <v>5563</v>
      </c>
      <c r="E1336" s="89">
        <f aca="true" t="shared" si="171" ref="E1336:E1341">SUM(H1336+K1336+N1336+Q1336)</f>
        <v>126</v>
      </c>
      <c r="F1336" s="491">
        <f t="shared" si="159"/>
        <v>2.264964946971059</v>
      </c>
      <c r="G1336" s="88">
        <f>6544-981</f>
        <v>5563</v>
      </c>
      <c r="H1336" s="89">
        <v>126</v>
      </c>
      <c r="I1336" s="468">
        <f t="shared" si="164"/>
        <v>2.264964946971059</v>
      </c>
      <c r="J1336" s="126"/>
      <c r="K1336" s="89"/>
      <c r="L1336" s="391"/>
      <c r="M1336" s="126"/>
      <c r="N1336" s="89"/>
      <c r="O1336" s="386"/>
      <c r="P1336" s="89"/>
      <c r="Q1336" s="89"/>
      <c r="R1336" s="280"/>
    </row>
    <row r="1337" spans="1:18" s="118" customFormat="1" ht="24">
      <c r="A1337" s="172">
        <v>4419</v>
      </c>
      <c r="B1337" s="337" t="s">
        <v>484</v>
      </c>
      <c r="C1337" s="88"/>
      <c r="D1337" s="74">
        <f>G1337+J1337+P1337+M1337</f>
        <v>981</v>
      </c>
      <c r="E1337" s="89">
        <f t="shared" si="171"/>
        <v>0</v>
      </c>
      <c r="F1337" s="491">
        <f>E1337/D1337*100</f>
        <v>0</v>
      </c>
      <c r="G1337" s="88">
        <v>981</v>
      </c>
      <c r="H1337" s="89"/>
      <c r="I1337" s="468">
        <f t="shared" si="164"/>
        <v>0</v>
      </c>
      <c r="J1337" s="126"/>
      <c r="K1337" s="89"/>
      <c r="L1337" s="391"/>
      <c r="M1337" s="126"/>
      <c r="N1337" s="89"/>
      <c r="O1337" s="386"/>
      <c r="P1337" s="89"/>
      <c r="Q1337" s="89"/>
      <c r="R1337" s="280"/>
    </row>
    <row r="1338" spans="1:18" s="118" customFormat="1" ht="60">
      <c r="A1338" s="197">
        <v>4748</v>
      </c>
      <c r="B1338" s="198" t="s">
        <v>290</v>
      </c>
      <c r="C1338" s="160"/>
      <c r="D1338" s="161">
        <f>G1338+J1338+P1338+M1338</f>
        <v>518</v>
      </c>
      <c r="E1338" s="155">
        <f t="shared" si="171"/>
        <v>0</v>
      </c>
      <c r="F1338" s="527">
        <f>E1338/D1338*100</f>
        <v>0</v>
      </c>
      <c r="G1338" s="160">
        <f>610-92</f>
        <v>518</v>
      </c>
      <c r="H1338" s="155"/>
      <c r="I1338" s="469">
        <f t="shared" si="164"/>
        <v>0</v>
      </c>
      <c r="J1338" s="162"/>
      <c r="K1338" s="155"/>
      <c r="L1338" s="415"/>
      <c r="M1338" s="162"/>
      <c r="N1338" s="155"/>
      <c r="O1338" s="432"/>
      <c r="P1338" s="155"/>
      <c r="Q1338" s="155"/>
      <c r="R1338" s="323"/>
    </row>
    <row r="1339" spans="1:18" s="118" customFormat="1" ht="60">
      <c r="A1339" s="172">
        <v>4749</v>
      </c>
      <c r="B1339" s="337" t="s">
        <v>290</v>
      </c>
      <c r="C1339" s="88"/>
      <c r="D1339" s="74">
        <f>G1339+J1339+P1339+M1339</f>
        <v>92</v>
      </c>
      <c r="E1339" s="89">
        <f t="shared" si="171"/>
        <v>0</v>
      </c>
      <c r="F1339" s="491">
        <f>E1339/D1339*100</f>
        <v>0</v>
      </c>
      <c r="G1339" s="88">
        <v>92</v>
      </c>
      <c r="H1339" s="89"/>
      <c r="I1339" s="468">
        <f t="shared" si="164"/>
        <v>0</v>
      </c>
      <c r="J1339" s="126"/>
      <c r="K1339" s="89"/>
      <c r="L1339" s="391"/>
      <c r="M1339" s="126"/>
      <c r="N1339" s="89"/>
      <c r="O1339" s="386"/>
      <c r="P1339" s="89"/>
      <c r="Q1339" s="89"/>
      <c r="R1339" s="280"/>
    </row>
    <row r="1340" spans="1:18" s="118" customFormat="1" ht="36">
      <c r="A1340" s="172">
        <v>4758</v>
      </c>
      <c r="B1340" s="337" t="s">
        <v>430</v>
      </c>
      <c r="C1340" s="88"/>
      <c r="D1340" s="74">
        <f t="shared" si="160"/>
        <v>1331</v>
      </c>
      <c r="E1340" s="89">
        <f t="shared" si="171"/>
        <v>0</v>
      </c>
      <c r="F1340" s="491">
        <f t="shared" si="159"/>
        <v>0</v>
      </c>
      <c r="G1340" s="88">
        <f>1565-234</f>
        <v>1331</v>
      </c>
      <c r="H1340" s="89"/>
      <c r="I1340" s="468">
        <f t="shared" si="164"/>
        <v>0</v>
      </c>
      <c r="J1340" s="126"/>
      <c r="K1340" s="89"/>
      <c r="L1340" s="391"/>
      <c r="M1340" s="126"/>
      <c r="N1340" s="89"/>
      <c r="O1340" s="386"/>
      <c r="P1340" s="89"/>
      <c r="Q1340" s="89"/>
      <c r="R1340" s="280"/>
    </row>
    <row r="1341" spans="1:18" s="118" customFormat="1" ht="36.75" thickBot="1">
      <c r="A1341" s="172">
        <v>4759</v>
      </c>
      <c r="B1341" s="337" t="s">
        <v>430</v>
      </c>
      <c r="C1341" s="88"/>
      <c r="D1341" s="74">
        <f>G1341+J1341+P1341+M1341</f>
        <v>234</v>
      </c>
      <c r="E1341" s="89">
        <f t="shared" si="171"/>
        <v>0</v>
      </c>
      <c r="F1341" s="491">
        <f>E1341/D1341*100</f>
        <v>0</v>
      </c>
      <c r="G1341" s="88">
        <v>234</v>
      </c>
      <c r="H1341" s="89"/>
      <c r="I1341" s="468">
        <f t="shared" si="164"/>
        <v>0</v>
      </c>
      <c r="J1341" s="126"/>
      <c r="K1341" s="89"/>
      <c r="L1341" s="391"/>
      <c r="M1341" s="126"/>
      <c r="N1341" s="89"/>
      <c r="O1341" s="386"/>
      <c r="P1341" s="89"/>
      <c r="Q1341" s="89"/>
      <c r="R1341" s="280"/>
    </row>
    <row r="1342" spans="1:18" s="143" customFormat="1" ht="49.5" thickBot="1" thickTop="1">
      <c r="A1342" s="131">
        <v>853</v>
      </c>
      <c r="B1342" s="307" t="s">
        <v>122</v>
      </c>
      <c r="C1342" s="133">
        <f>C1343+C1349+C1346+C1366+C1364</f>
        <v>2737100</v>
      </c>
      <c r="D1342" s="59">
        <f>D1343+D1349+D1346+D1366+D1364</f>
        <v>4304594</v>
      </c>
      <c r="E1342" s="59">
        <f>E1343+E1349+E1346+E1366+E1364</f>
        <v>1514250</v>
      </c>
      <c r="F1342" s="534">
        <f>E1342/D1342*100</f>
        <v>35.17753358388735</v>
      </c>
      <c r="G1342" s="133">
        <f>G1343+G1349+G1346+G1366</f>
        <v>3993094</v>
      </c>
      <c r="H1342" s="59">
        <f>H1343+H1349+H1346+H1366</f>
        <v>1349600</v>
      </c>
      <c r="I1342" s="496">
        <f t="shared" si="164"/>
        <v>33.798352856206236</v>
      </c>
      <c r="J1342" s="134"/>
      <c r="K1342" s="59"/>
      <c r="L1342" s="419"/>
      <c r="M1342" s="134">
        <f>M1343+M1349+M1366+M1346</f>
        <v>200500</v>
      </c>
      <c r="N1342" s="59">
        <f>N1343+N1349+N1366+N1346</f>
        <v>108592</v>
      </c>
      <c r="O1342" s="385">
        <f>N1342/M1342*100</f>
        <v>54.16059850374065</v>
      </c>
      <c r="P1342" s="59">
        <f>P1349+P1364</f>
        <v>111000</v>
      </c>
      <c r="Q1342" s="59">
        <f>Q1349+Q1364</f>
        <v>56058</v>
      </c>
      <c r="R1342" s="385">
        <f>Q1342/P1342*100</f>
        <v>50.502702702702706</v>
      </c>
    </row>
    <row r="1343" spans="1:18" s="118" customFormat="1" ht="13.5" thickTop="1">
      <c r="A1343" s="119">
        <v>85305</v>
      </c>
      <c r="B1343" s="276" t="s">
        <v>123</v>
      </c>
      <c r="C1343" s="121">
        <f>SUM(C1344:C1344)</f>
        <v>2428600</v>
      </c>
      <c r="D1343" s="95">
        <f>G1343+J1343+P1343+M1343</f>
        <v>3076700</v>
      </c>
      <c r="E1343" s="512">
        <f aca="true" t="shared" si="172" ref="E1343:E1348">SUM(H1343+K1343+N1343+Q1343)</f>
        <v>1349600</v>
      </c>
      <c r="F1343" s="530">
        <f aca="true" t="shared" si="173" ref="F1343:F1425">E1343/D1343*100</f>
        <v>43.865180225566355</v>
      </c>
      <c r="G1343" s="121">
        <f>SUM(G1344:G1345)</f>
        <v>3076700</v>
      </c>
      <c r="H1343" s="84">
        <f>SUM(H1344:H1345)</f>
        <v>1349600</v>
      </c>
      <c r="I1343" s="467">
        <f t="shared" si="164"/>
        <v>43.865180225566355</v>
      </c>
      <c r="J1343" s="123"/>
      <c r="K1343" s="84"/>
      <c r="L1343" s="417"/>
      <c r="M1343" s="84"/>
      <c r="N1343" s="84"/>
      <c r="O1343" s="381"/>
      <c r="P1343" s="84"/>
      <c r="Q1343" s="84"/>
      <c r="R1343" s="372"/>
    </row>
    <row r="1344" spans="1:18" s="118" customFormat="1" ht="36">
      <c r="A1344" s="108">
        <v>2510</v>
      </c>
      <c r="B1344" s="287" t="s">
        <v>559</v>
      </c>
      <c r="C1344" s="90">
        <v>2428600</v>
      </c>
      <c r="D1344" s="103">
        <f aca="true" t="shared" si="174" ref="D1344:D1426">G1344+J1344+P1344+M1344</f>
        <v>2746700</v>
      </c>
      <c r="E1344" s="104">
        <f t="shared" si="172"/>
        <v>1349600</v>
      </c>
      <c r="F1344" s="531">
        <f t="shared" si="173"/>
        <v>49.135326027596754</v>
      </c>
      <c r="G1344" s="90">
        <f>2428600+26100+92000+200000</f>
        <v>2746700</v>
      </c>
      <c r="H1344" s="104">
        <v>1349600</v>
      </c>
      <c r="I1344" s="470">
        <f t="shared" si="164"/>
        <v>49.135326027596754</v>
      </c>
      <c r="J1344" s="200"/>
      <c r="K1344" s="104"/>
      <c r="L1344" s="414"/>
      <c r="M1344" s="104"/>
      <c r="N1344" s="104"/>
      <c r="O1344" s="388"/>
      <c r="P1344" s="104"/>
      <c r="Q1344" s="104"/>
      <c r="R1344" s="365"/>
    </row>
    <row r="1345" spans="1:18" s="118" customFormat="1" ht="84">
      <c r="A1345" s="197">
        <v>6210</v>
      </c>
      <c r="B1345" s="198" t="s">
        <v>560</v>
      </c>
      <c r="C1345" s="160"/>
      <c r="D1345" s="161">
        <f>G1345+J1345+P1345+M1345</f>
        <v>330000</v>
      </c>
      <c r="E1345" s="155">
        <f t="shared" si="172"/>
        <v>0</v>
      </c>
      <c r="F1345" s="529">
        <f>E1345/D1345*100</f>
        <v>0</v>
      </c>
      <c r="G1345" s="160">
        <f>150000+180000</f>
        <v>330000</v>
      </c>
      <c r="H1345" s="155"/>
      <c r="I1345" s="469">
        <f t="shared" si="164"/>
        <v>0</v>
      </c>
      <c r="J1345" s="162"/>
      <c r="K1345" s="155"/>
      <c r="L1345" s="415"/>
      <c r="M1345" s="155"/>
      <c r="N1345" s="155"/>
      <c r="O1345" s="387"/>
      <c r="P1345" s="155"/>
      <c r="Q1345" s="155"/>
      <c r="R1345" s="366"/>
    </row>
    <row r="1346" spans="1:18" s="143" customFormat="1" ht="48">
      <c r="A1346" s="150">
        <v>85311</v>
      </c>
      <c r="B1346" s="299" t="s">
        <v>124</v>
      </c>
      <c r="C1346" s="94">
        <f>SUM(C1347:C1348)</f>
        <v>149000</v>
      </c>
      <c r="D1346" s="95">
        <f t="shared" si="174"/>
        <v>149000</v>
      </c>
      <c r="E1346" s="95">
        <f t="shared" si="172"/>
        <v>74522</v>
      </c>
      <c r="F1346" s="530">
        <f t="shared" si="173"/>
        <v>50.01476510067114</v>
      </c>
      <c r="G1346" s="94"/>
      <c r="H1346" s="95"/>
      <c r="I1346" s="467"/>
      <c r="J1346" s="171"/>
      <c r="K1346" s="95"/>
      <c r="L1346" s="417"/>
      <c r="M1346" s="94">
        <f>SUM(M1347:M1348)</f>
        <v>149000</v>
      </c>
      <c r="N1346" s="95">
        <f>SUM(N1347:N1348)</f>
        <v>74522</v>
      </c>
      <c r="O1346" s="467">
        <f>N1346/M1346*100</f>
        <v>50.01476510067114</v>
      </c>
      <c r="P1346" s="95"/>
      <c r="Q1346" s="95"/>
      <c r="R1346" s="370"/>
    </row>
    <row r="1347" spans="1:18" s="12" customFormat="1" ht="60">
      <c r="A1347" s="194">
        <v>2580</v>
      </c>
      <c r="B1347" s="306" t="s">
        <v>351</v>
      </c>
      <c r="C1347" s="102">
        <f>149000-46204</f>
        <v>102796</v>
      </c>
      <c r="D1347" s="103">
        <f>G1347+J1347+P1347+M1347</f>
        <v>102796</v>
      </c>
      <c r="E1347" s="104">
        <f t="shared" si="172"/>
        <v>49184</v>
      </c>
      <c r="F1347" s="531">
        <f t="shared" si="173"/>
        <v>47.84621969726449</v>
      </c>
      <c r="G1347" s="102"/>
      <c r="H1347" s="103"/>
      <c r="I1347" s="470"/>
      <c r="J1347" s="196"/>
      <c r="K1347" s="103"/>
      <c r="L1347" s="414"/>
      <c r="M1347" s="102">
        <f>149000-46204</f>
        <v>102796</v>
      </c>
      <c r="N1347" s="103">
        <f>74522-25338</f>
        <v>49184</v>
      </c>
      <c r="O1347" s="470">
        <f>N1347/M1347*100</f>
        <v>47.84621969726449</v>
      </c>
      <c r="P1347" s="103"/>
      <c r="Q1347" s="103"/>
      <c r="R1347" s="365"/>
    </row>
    <row r="1348" spans="1:18" s="118" customFormat="1" ht="72">
      <c r="A1348" s="197">
        <v>2580</v>
      </c>
      <c r="B1348" s="198" t="s">
        <v>82</v>
      </c>
      <c r="C1348" s="160">
        <v>46204</v>
      </c>
      <c r="D1348" s="74">
        <f>G1348+J1348+P1348+M1348</f>
        <v>46204</v>
      </c>
      <c r="E1348" s="89">
        <f t="shared" si="172"/>
        <v>25338</v>
      </c>
      <c r="F1348" s="495">
        <f t="shared" si="173"/>
        <v>54.83940784347675</v>
      </c>
      <c r="G1348" s="160"/>
      <c r="H1348" s="155"/>
      <c r="I1348" s="469"/>
      <c r="J1348" s="162"/>
      <c r="K1348" s="155"/>
      <c r="L1348" s="415"/>
      <c r="M1348" s="160">
        <f>46204</f>
        <v>46204</v>
      </c>
      <c r="N1348" s="155">
        <v>25338</v>
      </c>
      <c r="O1348" s="468">
        <f>N1348/M1348*100</f>
        <v>54.83940784347675</v>
      </c>
      <c r="P1348" s="155"/>
      <c r="Q1348" s="155"/>
      <c r="R1348" s="366"/>
    </row>
    <row r="1349" spans="1:18" s="118" customFormat="1" ht="24">
      <c r="A1349" s="119">
        <v>85321</v>
      </c>
      <c r="B1349" s="276" t="s">
        <v>244</v>
      </c>
      <c r="C1349" s="121">
        <f>SUM(C1350:C1363)</f>
        <v>159500</v>
      </c>
      <c r="D1349" s="95">
        <f t="shared" si="174"/>
        <v>162500</v>
      </c>
      <c r="E1349" s="84">
        <f>H1349+K1349+Q1349+N1349</f>
        <v>90128</v>
      </c>
      <c r="F1349" s="530">
        <f t="shared" si="173"/>
        <v>55.46338461538461</v>
      </c>
      <c r="G1349" s="146"/>
      <c r="H1349" s="149"/>
      <c r="I1349" s="471"/>
      <c r="J1349" s="148"/>
      <c r="K1349" s="149"/>
      <c r="L1349" s="406"/>
      <c r="M1349" s="84">
        <f>SUM(M1350:M1363)</f>
        <v>51500</v>
      </c>
      <c r="N1349" s="84">
        <f>SUM(N1350:N1363)</f>
        <v>34070</v>
      </c>
      <c r="O1349" s="448">
        <f aca="true" t="shared" si="175" ref="O1349:O1361">N1349/M1349*100</f>
        <v>66.15533980582524</v>
      </c>
      <c r="P1349" s="84">
        <f>SUM(P1350:P1363)</f>
        <v>111000</v>
      </c>
      <c r="Q1349" s="84">
        <f>SUM(Q1350:Q1363)</f>
        <v>56058</v>
      </c>
      <c r="R1349" s="448">
        <f>Q1349/P1349*100</f>
        <v>50.502702702702706</v>
      </c>
    </row>
    <row r="1350" spans="1:18" s="118" customFormat="1" ht="24">
      <c r="A1350" s="108">
        <v>4010</v>
      </c>
      <c r="B1350" s="287" t="s">
        <v>492</v>
      </c>
      <c r="C1350" s="90">
        <v>91490</v>
      </c>
      <c r="D1350" s="103">
        <f t="shared" si="174"/>
        <v>91490</v>
      </c>
      <c r="E1350" s="104">
        <f aca="true" t="shared" si="176" ref="E1350:E1367">SUM(H1350+K1350+N1350+Q1350)</f>
        <v>48220</v>
      </c>
      <c r="F1350" s="531">
        <f t="shared" si="173"/>
        <v>52.70521368455569</v>
      </c>
      <c r="G1350" s="90"/>
      <c r="H1350" s="104"/>
      <c r="I1350" s="472"/>
      <c r="J1350" s="200"/>
      <c r="K1350" s="104"/>
      <c r="L1350" s="414"/>
      <c r="M1350" s="104">
        <v>17690</v>
      </c>
      <c r="N1350" s="303">
        <v>10507</v>
      </c>
      <c r="O1350" s="464">
        <f t="shared" si="175"/>
        <v>59.39513849632561</v>
      </c>
      <c r="P1350" s="200">
        <v>73800</v>
      </c>
      <c r="Q1350" s="104">
        <v>37713</v>
      </c>
      <c r="R1350" s="442">
        <f>Q1350/P1350*100</f>
        <v>51.10162601626016</v>
      </c>
    </row>
    <row r="1351" spans="1:18" s="118" customFormat="1" ht="24">
      <c r="A1351" s="124">
        <v>4040</v>
      </c>
      <c r="B1351" s="277" t="s">
        <v>496</v>
      </c>
      <c r="C1351" s="88">
        <v>7040</v>
      </c>
      <c r="D1351" s="74">
        <f t="shared" si="174"/>
        <v>7336</v>
      </c>
      <c r="E1351" s="89">
        <f t="shared" si="176"/>
        <v>7336</v>
      </c>
      <c r="F1351" s="495">
        <f t="shared" si="173"/>
        <v>100</v>
      </c>
      <c r="G1351" s="88"/>
      <c r="H1351" s="89"/>
      <c r="I1351" s="473"/>
      <c r="J1351" s="126"/>
      <c r="K1351" s="89"/>
      <c r="L1351" s="391"/>
      <c r="M1351" s="89">
        <f>7040+296</f>
        <v>7336</v>
      </c>
      <c r="N1351" s="220">
        <f>7336-1+1</f>
        <v>7336</v>
      </c>
      <c r="O1351" s="442">
        <f t="shared" si="175"/>
        <v>100</v>
      </c>
      <c r="P1351" s="126"/>
      <c r="Q1351" s="89"/>
      <c r="R1351" s="442"/>
    </row>
    <row r="1352" spans="1:18" s="118" customFormat="1" ht="24">
      <c r="A1352" s="124">
        <v>4110</v>
      </c>
      <c r="B1352" s="277" t="s">
        <v>498</v>
      </c>
      <c r="C1352" s="88">
        <v>16950</v>
      </c>
      <c r="D1352" s="74">
        <f t="shared" si="174"/>
        <v>16950</v>
      </c>
      <c r="E1352" s="89">
        <f t="shared" si="176"/>
        <v>9008</v>
      </c>
      <c r="F1352" s="495">
        <f t="shared" si="173"/>
        <v>53.14454277286136</v>
      </c>
      <c r="G1352" s="88"/>
      <c r="H1352" s="89"/>
      <c r="I1352" s="473"/>
      <c r="J1352" s="126"/>
      <c r="K1352" s="89"/>
      <c r="L1352" s="391"/>
      <c r="M1352" s="89">
        <v>11350</v>
      </c>
      <c r="N1352" s="220">
        <v>3408</v>
      </c>
      <c r="O1352" s="442">
        <f t="shared" si="175"/>
        <v>30.026431718061673</v>
      </c>
      <c r="P1352" s="126">
        <v>5600</v>
      </c>
      <c r="Q1352" s="89">
        <v>5600</v>
      </c>
      <c r="R1352" s="442">
        <f>Q1352/P1352*100</f>
        <v>100</v>
      </c>
    </row>
    <row r="1353" spans="1:18" s="118" customFormat="1" ht="24">
      <c r="A1353" s="124">
        <v>4120</v>
      </c>
      <c r="B1353" s="277" t="s">
        <v>578</v>
      </c>
      <c r="C1353" s="88">
        <v>2740</v>
      </c>
      <c r="D1353" s="74">
        <f t="shared" si="174"/>
        <v>2740</v>
      </c>
      <c r="E1353" s="89">
        <f t="shared" si="176"/>
        <v>1378</v>
      </c>
      <c r="F1353" s="495">
        <f t="shared" si="173"/>
        <v>50.29197080291971</v>
      </c>
      <c r="G1353" s="88"/>
      <c r="H1353" s="89"/>
      <c r="I1353" s="473"/>
      <c r="J1353" s="126"/>
      <c r="K1353" s="89"/>
      <c r="L1353" s="391"/>
      <c r="M1353" s="89">
        <v>1040</v>
      </c>
      <c r="N1353" s="220">
        <v>908</v>
      </c>
      <c r="O1353" s="442">
        <f t="shared" si="175"/>
        <v>87.3076923076923</v>
      </c>
      <c r="P1353" s="126">
        <v>1700</v>
      </c>
      <c r="Q1353" s="89">
        <v>470</v>
      </c>
      <c r="R1353" s="442">
        <f>Q1353/P1353*100</f>
        <v>27.647058823529413</v>
      </c>
    </row>
    <row r="1354" spans="1:18" s="118" customFormat="1" ht="24">
      <c r="A1354" s="124">
        <v>4170</v>
      </c>
      <c r="B1354" s="277" t="s">
        <v>536</v>
      </c>
      <c r="C1354" s="88">
        <v>5800</v>
      </c>
      <c r="D1354" s="74">
        <f t="shared" si="174"/>
        <v>5800</v>
      </c>
      <c r="E1354" s="89">
        <f t="shared" si="176"/>
        <v>2300</v>
      </c>
      <c r="F1354" s="495">
        <f t="shared" si="173"/>
        <v>39.6551724137931</v>
      </c>
      <c r="G1354" s="88"/>
      <c r="H1354" s="89"/>
      <c r="I1354" s="473"/>
      <c r="J1354" s="126"/>
      <c r="K1354" s="89"/>
      <c r="L1354" s="391"/>
      <c r="M1354" s="89">
        <v>500</v>
      </c>
      <c r="N1354" s="220"/>
      <c r="O1354" s="442">
        <f t="shared" si="175"/>
        <v>0</v>
      </c>
      <c r="P1354" s="126">
        <v>5300</v>
      </c>
      <c r="Q1354" s="89">
        <v>2300</v>
      </c>
      <c r="R1354" s="442">
        <f>Q1354/P1354*100</f>
        <v>43.39622641509434</v>
      </c>
    </row>
    <row r="1355" spans="1:18" s="118" customFormat="1" ht="24">
      <c r="A1355" s="124">
        <v>4210</v>
      </c>
      <c r="B1355" s="277" t="s">
        <v>502</v>
      </c>
      <c r="C1355" s="88">
        <v>1800</v>
      </c>
      <c r="D1355" s="74">
        <f t="shared" si="174"/>
        <v>1800</v>
      </c>
      <c r="E1355" s="89">
        <f t="shared" si="176"/>
        <v>1314</v>
      </c>
      <c r="F1355" s="495">
        <f t="shared" si="173"/>
        <v>73</v>
      </c>
      <c r="G1355" s="88"/>
      <c r="H1355" s="89"/>
      <c r="I1355" s="473"/>
      <c r="J1355" s="126"/>
      <c r="K1355" s="89"/>
      <c r="L1355" s="391"/>
      <c r="M1355" s="89">
        <v>1800</v>
      </c>
      <c r="N1355" s="220">
        <v>1314</v>
      </c>
      <c r="O1355" s="442">
        <f t="shared" si="175"/>
        <v>73</v>
      </c>
      <c r="P1355" s="126"/>
      <c r="Q1355" s="89"/>
      <c r="R1355" s="442"/>
    </row>
    <row r="1356" spans="1:18" s="118" customFormat="1" ht="12" customHeight="1">
      <c r="A1356" s="124">
        <v>4300</v>
      </c>
      <c r="B1356" s="277" t="s">
        <v>510</v>
      </c>
      <c r="C1356" s="88">
        <v>28800</v>
      </c>
      <c r="D1356" s="74">
        <f t="shared" si="174"/>
        <v>31504</v>
      </c>
      <c r="E1356" s="89">
        <f t="shared" si="176"/>
        <v>16879</v>
      </c>
      <c r="F1356" s="495">
        <f t="shared" si="173"/>
        <v>53.57732351447435</v>
      </c>
      <c r="G1356" s="88"/>
      <c r="H1356" s="89"/>
      <c r="I1356" s="473"/>
      <c r="J1356" s="126"/>
      <c r="K1356" s="89"/>
      <c r="L1356" s="391"/>
      <c r="M1356" s="89">
        <f>7200-296</f>
        <v>6904</v>
      </c>
      <c r="N1356" s="220">
        <v>6904</v>
      </c>
      <c r="O1356" s="442">
        <f t="shared" si="175"/>
        <v>100</v>
      </c>
      <c r="P1356" s="126">
        <f>21600+3000</f>
        <v>24600</v>
      </c>
      <c r="Q1356" s="89">
        <v>9975</v>
      </c>
      <c r="R1356" s="442">
        <f>Q1356/P1356*100</f>
        <v>40.54878048780488</v>
      </c>
    </row>
    <row r="1357" spans="1:18" s="118" customFormat="1" ht="24">
      <c r="A1357" s="124">
        <v>4350</v>
      </c>
      <c r="B1357" s="128" t="s">
        <v>48</v>
      </c>
      <c r="C1357" s="88">
        <v>200</v>
      </c>
      <c r="D1357" s="74">
        <f>G1357+J1357+P1357+M1357</f>
        <v>200</v>
      </c>
      <c r="E1357" s="89">
        <f t="shared" si="176"/>
        <v>200</v>
      </c>
      <c r="F1357" s="495">
        <f>E1357/D1357*100</f>
        <v>100</v>
      </c>
      <c r="G1357" s="88"/>
      <c r="H1357" s="89"/>
      <c r="I1357" s="473"/>
      <c r="J1357" s="126"/>
      <c r="K1357" s="89"/>
      <c r="L1357" s="391"/>
      <c r="M1357" s="89">
        <v>200</v>
      </c>
      <c r="N1357" s="220">
        <v>200</v>
      </c>
      <c r="O1357" s="442">
        <f t="shared" si="175"/>
        <v>100</v>
      </c>
      <c r="P1357" s="126"/>
      <c r="Q1357" s="89"/>
      <c r="R1357" s="442"/>
    </row>
    <row r="1358" spans="1:18" s="118" customFormat="1" ht="48">
      <c r="A1358" s="172">
        <v>4370</v>
      </c>
      <c r="B1358" s="337" t="s">
        <v>298</v>
      </c>
      <c r="C1358" s="88">
        <v>1440</v>
      </c>
      <c r="D1358" s="74">
        <f>G1358+J1358+P1358+M1358</f>
        <v>1440</v>
      </c>
      <c r="E1358" s="89">
        <f t="shared" si="176"/>
        <v>1082</v>
      </c>
      <c r="F1358" s="495">
        <f>E1358/D1358*100</f>
        <v>75.13888888888889</v>
      </c>
      <c r="G1358" s="88"/>
      <c r="H1358" s="89"/>
      <c r="I1358" s="473"/>
      <c r="J1358" s="126"/>
      <c r="K1358" s="89"/>
      <c r="L1358" s="391"/>
      <c r="M1358" s="89">
        <v>1440</v>
      </c>
      <c r="N1358" s="220">
        <v>1082</v>
      </c>
      <c r="O1358" s="442">
        <f t="shared" si="175"/>
        <v>75.13888888888889</v>
      </c>
      <c r="P1358" s="126"/>
      <c r="Q1358" s="89"/>
      <c r="R1358" s="442"/>
    </row>
    <row r="1359" spans="1:18" s="118" customFormat="1" ht="24">
      <c r="A1359" s="124">
        <v>4410</v>
      </c>
      <c r="B1359" s="277" t="s">
        <v>484</v>
      </c>
      <c r="C1359" s="88">
        <v>400</v>
      </c>
      <c r="D1359" s="74">
        <f>G1359+J1359+P1359+M1359</f>
        <v>400</v>
      </c>
      <c r="E1359" s="89">
        <f t="shared" si="176"/>
        <v>71</v>
      </c>
      <c r="F1359" s="495">
        <f>E1359/D1359*100</f>
        <v>17.75</v>
      </c>
      <c r="G1359" s="88"/>
      <c r="H1359" s="89"/>
      <c r="I1359" s="473"/>
      <c r="J1359" s="126"/>
      <c r="K1359" s="89"/>
      <c r="L1359" s="391"/>
      <c r="M1359" s="89">
        <v>400</v>
      </c>
      <c r="N1359" s="220">
        <f>72-1</f>
        <v>71</v>
      </c>
      <c r="O1359" s="442">
        <f t="shared" si="175"/>
        <v>17.75</v>
      </c>
      <c r="P1359" s="126"/>
      <c r="Q1359" s="89"/>
      <c r="R1359" s="442"/>
    </row>
    <row r="1360" spans="1:18" s="118" customFormat="1" ht="60">
      <c r="A1360" s="172">
        <v>4740</v>
      </c>
      <c r="B1360" s="337" t="s">
        <v>290</v>
      </c>
      <c r="C1360" s="88">
        <v>250</v>
      </c>
      <c r="D1360" s="74">
        <f>G1360+J1360+P1360+M1360</f>
        <v>250</v>
      </c>
      <c r="E1360" s="89">
        <f t="shared" si="176"/>
        <v>0</v>
      </c>
      <c r="F1360" s="495">
        <f>E1360/D1360*100</f>
        <v>0</v>
      </c>
      <c r="G1360" s="88"/>
      <c r="H1360" s="89"/>
      <c r="I1360" s="473"/>
      <c r="J1360" s="126"/>
      <c r="K1360" s="89"/>
      <c r="L1360" s="391"/>
      <c r="M1360" s="89">
        <v>250</v>
      </c>
      <c r="N1360" s="220"/>
      <c r="O1360" s="442">
        <f t="shared" si="175"/>
        <v>0</v>
      </c>
      <c r="P1360" s="126"/>
      <c r="Q1360" s="89"/>
      <c r="R1360" s="442"/>
    </row>
    <row r="1361" spans="1:18" s="118" customFormat="1" ht="36">
      <c r="A1361" s="172">
        <v>4750</v>
      </c>
      <c r="B1361" s="337" t="s">
        <v>291</v>
      </c>
      <c r="C1361" s="88">
        <v>250</v>
      </c>
      <c r="D1361" s="74">
        <f>G1361+J1361+P1361+M1361</f>
        <v>250</v>
      </c>
      <c r="E1361" s="89">
        <f t="shared" si="176"/>
        <v>0</v>
      </c>
      <c r="F1361" s="495">
        <f>E1361/D1361*100</f>
        <v>0</v>
      </c>
      <c r="G1361" s="88"/>
      <c r="H1361" s="89"/>
      <c r="I1361" s="473"/>
      <c r="J1361" s="126"/>
      <c r="K1361" s="89"/>
      <c r="L1361" s="391"/>
      <c r="M1361" s="89">
        <v>250</v>
      </c>
      <c r="N1361" s="220"/>
      <c r="O1361" s="442">
        <f t="shared" si="175"/>
        <v>0</v>
      </c>
      <c r="P1361" s="126"/>
      <c r="Q1361" s="89"/>
      <c r="R1361" s="442"/>
    </row>
    <row r="1362" spans="1:18" s="118" customFormat="1" ht="12.75">
      <c r="A1362" s="124">
        <v>4440</v>
      </c>
      <c r="B1362" s="291" t="s">
        <v>14</v>
      </c>
      <c r="C1362" s="88">
        <v>2340</v>
      </c>
      <c r="D1362" s="74">
        <f t="shared" si="174"/>
        <v>2340</v>
      </c>
      <c r="E1362" s="89">
        <f t="shared" si="176"/>
        <v>2340</v>
      </c>
      <c r="F1362" s="495">
        <f t="shared" si="173"/>
        <v>100</v>
      </c>
      <c r="G1362" s="88"/>
      <c r="H1362" s="89"/>
      <c r="I1362" s="473"/>
      <c r="J1362" s="126"/>
      <c r="K1362" s="89"/>
      <c r="L1362" s="391"/>
      <c r="M1362" s="89">
        <v>2340</v>
      </c>
      <c r="N1362" s="220">
        <v>2340</v>
      </c>
      <c r="O1362" s="442">
        <f>N1362/M1362*100</f>
        <v>100</v>
      </c>
      <c r="P1362" s="126"/>
      <c r="Q1362" s="89"/>
      <c r="R1362" s="442"/>
    </row>
    <row r="1363" spans="1:18" s="118" customFormat="1" ht="36" hidden="1">
      <c r="A1363" s="158">
        <v>6060</v>
      </c>
      <c r="B1363" s="278" t="s">
        <v>49</v>
      </c>
      <c r="C1363" s="160"/>
      <c r="D1363" s="74">
        <f t="shared" si="174"/>
        <v>0</v>
      </c>
      <c r="E1363" s="89">
        <f t="shared" si="176"/>
        <v>0</v>
      </c>
      <c r="F1363" s="495" t="e">
        <f t="shared" si="173"/>
        <v>#DIV/0!</v>
      </c>
      <c r="G1363" s="160"/>
      <c r="H1363" s="155"/>
      <c r="I1363" s="475"/>
      <c r="J1363" s="162"/>
      <c r="K1363" s="155"/>
      <c r="L1363" s="415"/>
      <c r="M1363" s="155"/>
      <c r="N1363" s="244"/>
      <c r="O1363" s="274" t="e">
        <f>N1363/M1363*100</f>
        <v>#DIV/0!</v>
      </c>
      <c r="P1363" s="162"/>
      <c r="Q1363" s="155"/>
      <c r="R1363" s="462"/>
    </row>
    <row r="1364" spans="1:18" s="143" customFormat="1" ht="24" hidden="1">
      <c r="A1364" s="150">
        <v>85334</v>
      </c>
      <c r="B1364" s="299" t="s">
        <v>118</v>
      </c>
      <c r="C1364" s="94"/>
      <c r="D1364" s="74">
        <f t="shared" si="174"/>
        <v>0</v>
      </c>
      <c r="E1364" s="89">
        <f t="shared" si="176"/>
        <v>0</v>
      </c>
      <c r="F1364" s="484" t="e">
        <f t="shared" si="173"/>
        <v>#DIV/0!</v>
      </c>
      <c r="G1364" s="94"/>
      <c r="H1364" s="95"/>
      <c r="I1364" s="471"/>
      <c r="J1364" s="171"/>
      <c r="K1364" s="95"/>
      <c r="L1364" s="417"/>
      <c r="M1364" s="95"/>
      <c r="N1364" s="219"/>
      <c r="O1364" s="271"/>
      <c r="P1364" s="171">
        <f>SUM(P1365)</f>
        <v>0</v>
      </c>
      <c r="Q1364" s="95">
        <f>SUM(Q1365)</f>
        <v>0</v>
      </c>
      <c r="R1364" s="476" t="e">
        <f>Q1364/P1364*100</f>
        <v>#DIV/0!</v>
      </c>
    </row>
    <row r="1365" spans="1:18" s="118" customFormat="1" ht="12.75" hidden="1">
      <c r="A1365" s="124">
        <v>3110</v>
      </c>
      <c r="B1365" s="292" t="s">
        <v>98</v>
      </c>
      <c r="C1365" s="160"/>
      <c r="D1365" s="74">
        <f t="shared" si="174"/>
        <v>0</v>
      </c>
      <c r="E1365" s="89">
        <f t="shared" si="176"/>
        <v>0</v>
      </c>
      <c r="F1365" s="495" t="e">
        <f t="shared" si="173"/>
        <v>#DIV/0!</v>
      </c>
      <c r="G1365" s="160"/>
      <c r="H1365" s="155"/>
      <c r="I1365" s="475"/>
      <c r="J1365" s="162"/>
      <c r="K1365" s="155"/>
      <c r="L1365" s="415"/>
      <c r="M1365" s="155"/>
      <c r="N1365" s="244"/>
      <c r="O1365" s="274"/>
      <c r="P1365" s="162"/>
      <c r="Q1365" s="155"/>
      <c r="R1365" s="469" t="e">
        <f>Q1365/P1365*100</f>
        <v>#DIV/0!</v>
      </c>
    </row>
    <row r="1366" spans="1:18" s="143" customFormat="1" ht="54">
      <c r="A1366" s="150">
        <v>85395</v>
      </c>
      <c r="B1366" s="299" t="s">
        <v>255</v>
      </c>
      <c r="C1366" s="94">
        <f>C1387</f>
        <v>0</v>
      </c>
      <c r="D1366" s="95">
        <f t="shared" si="174"/>
        <v>916394</v>
      </c>
      <c r="E1366" s="95">
        <f t="shared" si="176"/>
        <v>0</v>
      </c>
      <c r="F1366" s="484">
        <f>E1366/D1366*100</f>
        <v>0</v>
      </c>
      <c r="G1366" s="94">
        <f>SUM(G1367:G1387)</f>
        <v>916394</v>
      </c>
      <c r="H1366" s="95">
        <f>SUM(H1367:H1387)</f>
        <v>0</v>
      </c>
      <c r="I1366" s="471">
        <f>H1366/G1366*100</f>
        <v>0</v>
      </c>
      <c r="J1366" s="171"/>
      <c r="K1366" s="95"/>
      <c r="L1366" s="417"/>
      <c r="M1366" s="95"/>
      <c r="N1366" s="219"/>
      <c r="O1366" s="271"/>
      <c r="P1366" s="171"/>
      <c r="Q1366" s="95"/>
      <c r="R1366" s="476"/>
    </row>
    <row r="1367" spans="1:18" s="143" customFormat="1" ht="12.75">
      <c r="A1367" s="108">
        <v>3119</v>
      </c>
      <c r="B1367" s="287" t="s">
        <v>98</v>
      </c>
      <c r="C1367" s="572"/>
      <c r="D1367" s="103">
        <f t="shared" si="174"/>
        <v>91640</v>
      </c>
      <c r="E1367" s="104">
        <f t="shared" si="176"/>
        <v>0</v>
      </c>
      <c r="F1367" s="464">
        <f>E1367/D1367*100</f>
        <v>0</v>
      </c>
      <c r="G1367" s="102">
        <v>91640</v>
      </c>
      <c r="H1367" s="103"/>
      <c r="I1367" s="472">
        <f>H1367/G1367*100</f>
        <v>0</v>
      </c>
      <c r="J1367" s="573"/>
      <c r="K1367" s="512"/>
      <c r="L1367" s="425"/>
      <c r="M1367" s="103"/>
      <c r="N1367" s="548"/>
      <c r="O1367" s="304"/>
      <c r="P1367" s="573"/>
      <c r="Q1367" s="512"/>
      <c r="R1367" s="519"/>
    </row>
    <row r="1368" spans="1:18" s="143" customFormat="1" ht="24">
      <c r="A1368" s="124">
        <v>4018</v>
      </c>
      <c r="B1368" s="291" t="s">
        <v>492</v>
      </c>
      <c r="C1368" s="137"/>
      <c r="D1368" s="74">
        <f aca="true" t="shared" si="177" ref="D1368:D1387">G1368+J1368+P1368+M1368</f>
        <v>174358</v>
      </c>
      <c r="E1368" s="89">
        <f aca="true" t="shared" si="178" ref="E1368:E1387">SUM(H1368+K1368+N1368+Q1368)</f>
        <v>0</v>
      </c>
      <c r="F1368" s="442">
        <f aca="true" t="shared" si="179" ref="F1368:F1387">E1368/D1368*100</f>
        <v>0</v>
      </c>
      <c r="G1368" s="174">
        <v>174358</v>
      </c>
      <c r="H1368" s="74"/>
      <c r="I1368" s="473">
        <f aca="true" t="shared" si="180" ref="I1368:I1387">H1368/G1368*100</f>
        <v>0</v>
      </c>
      <c r="J1368" s="140"/>
      <c r="K1368" s="139"/>
      <c r="L1368" s="403"/>
      <c r="M1368" s="74"/>
      <c r="N1368" s="223"/>
      <c r="O1368" s="224"/>
      <c r="P1368" s="140"/>
      <c r="Q1368" s="139"/>
      <c r="R1368" s="477"/>
    </row>
    <row r="1369" spans="1:18" s="143" customFormat="1" ht="24">
      <c r="A1369" s="124">
        <v>4019</v>
      </c>
      <c r="B1369" s="277" t="s">
        <v>492</v>
      </c>
      <c r="C1369" s="137"/>
      <c r="D1369" s="74">
        <f t="shared" si="177"/>
        <v>10227</v>
      </c>
      <c r="E1369" s="89">
        <f t="shared" si="178"/>
        <v>0</v>
      </c>
      <c r="F1369" s="442">
        <f t="shared" si="179"/>
        <v>0</v>
      </c>
      <c r="G1369" s="174">
        <v>10227</v>
      </c>
      <c r="H1369" s="74"/>
      <c r="I1369" s="473">
        <f t="shared" si="180"/>
        <v>0</v>
      </c>
      <c r="J1369" s="140"/>
      <c r="K1369" s="139"/>
      <c r="L1369" s="403"/>
      <c r="M1369" s="74"/>
      <c r="N1369" s="223"/>
      <c r="O1369" s="224"/>
      <c r="P1369" s="140"/>
      <c r="Q1369" s="139"/>
      <c r="R1369" s="477"/>
    </row>
    <row r="1370" spans="1:18" s="143" customFormat="1" ht="24">
      <c r="A1370" s="124">
        <v>4118</v>
      </c>
      <c r="B1370" s="277" t="s">
        <v>498</v>
      </c>
      <c r="C1370" s="137"/>
      <c r="D1370" s="74">
        <f t="shared" si="177"/>
        <v>25325</v>
      </c>
      <c r="E1370" s="89">
        <f t="shared" si="178"/>
        <v>0</v>
      </c>
      <c r="F1370" s="442">
        <f t="shared" si="179"/>
        <v>0</v>
      </c>
      <c r="G1370" s="174">
        <v>25325</v>
      </c>
      <c r="H1370" s="74"/>
      <c r="I1370" s="473">
        <f t="shared" si="180"/>
        <v>0</v>
      </c>
      <c r="J1370" s="140"/>
      <c r="K1370" s="139"/>
      <c r="L1370" s="403"/>
      <c r="M1370" s="74"/>
      <c r="N1370" s="223"/>
      <c r="O1370" s="224"/>
      <c r="P1370" s="140"/>
      <c r="Q1370" s="139"/>
      <c r="R1370" s="477"/>
    </row>
    <row r="1371" spans="1:18" s="143" customFormat="1" ht="24">
      <c r="A1371" s="158">
        <v>4119</v>
      </c>
      <c r="B1371" s="278" t="s">
        <v>498</v>
      </c>
      <c r="C1371" s="203"/>
      <c r="D1371" s="161">
        <f t="shared" si="177"/>
        <v>1491</v>
      </c>
      <c r="E1371" s="155">
        <f t="shared" si="178"/>
        <v>0</v>
      </c>
      <c r="F1371" s="462">
        <f t="shared" si="179"/>
        <v>0</v>
      </c>
      <c r="G1371" s="176">
        <v>1491</v>
      </c>
      <c r="H1371" s="161"/>
      <c r="I1371" s="475">
        <f t="shared" si="180"/>
        <v>0</v>
      </c>
      <c r="J1371" s="204"/>
      <c r="K1371" s="122"/>
      <c r="L1371" s="424"/>
      <c r="M1371" s="161"/>
      <c r="N1371" s="273"/>
      <c r="O1371" s="274"/>
      <c r="P1371" s="204"/>
      <c r="Q1371" s="122"/>
      <c r="R1371" s="521"/>
    </row>
    <row r="1372" spans="1:18" s="143" customFormat="1" ht="24">
      <c r="A1372" s="124">
        <v>4128</v>
      </c>
      <c r="B1372" s="277" t="s">
        <v>578</v>
      </c>
      <c r="C1372" s="137"/>
      <c r="D1372" s="74">
        <f t="shared" si="177"/>
        <v>3853</v>
      </c>
      <c r="E1372" s="89">
        <f t="shared" si="178"/>
        <v>0</v>
      </c>
      <c r="F1372" s="442">
        <f t="shared" si="179"/>
        <v>0</v>
      </c>
      <c r="G1372" s="174">
        <v>3853</v>
      </c>
      <c r="H1372" s="74"/>
      <c r="I1372" s="473">
        <f t="shared" si="180"/>
        <v>0</v>
      </c>
      <c r="J1372" s="140"/>
      <c r="K1372" s="139"/>
      <c r="L1372" s="403"/>
      <c r="M1372" s="74"/>
      <c r="N1372" s="223"/>
      <c r="O1372" s="224"/>
      <c r="P1372" s="140"/>
      <c r="Q1372" s="139"/>
      <c r="R1372" s="477"/>
    </row>
    <row r="1373" spans="1:18" s="143" customFormat="1" ht="24">
      <c r="A1373" s="124">
        <v>4129</v>
      </c>
      <c r="B1373" s="277" t="s">
        <v>578</v>
      </c>
      <c r="C1373" s="137"/>
      <c r="D1373" s="74">
        <f t="shared" si="177"/>
        <v>227</v>
      </c>
      <c r="E1373" s="89">
        <f t="shared" si="178"/>
        <v>0</v>
      </c>
      <c r="F1373" s="442">
        <f t="shared" si="179"/>
        <v>0</v>
      </c>
      <c r="G1373" s="174">
        <v>227</v>
      </c>
      <c r="H1373" s="74"/>
      <c r="I1373" s="473">
        <f t="shared" si="180"/>
        <v>0</v>
      </c>
      <c r="J1373" s="140"/>
      <c r="K1373" s="139"/>
      <c r="L1373" s="403"/>
      <c r="M1373" s="74"/>
      <c r="N1373" s="223"/>
      <c r="O1373" s="224"/>
      <c r="P1373" s="140"/>
      <c r="Q1373" s="139"/>
      <c r="R1373" s="477"/>
    </row>
    <row r="1374" spans="1:18" s="143" customFormat="1" ht="24">
      <c r="A1374" s="124">
        <v>4178</v>
      </c>
      <c r="B1374" s="277" t="s">
        <v>536</v>
      </c>
      <c r="C1374" s="137"/>
      <c r="D1374" s="74">
        <f t="shared" si="177"/>
        <v>20241</v>
      </c>
      <c r="E1374" s="89">
        <f t="shared" si="178"/>
        <v>0</v>
      </c>
      <c r="F1374" s="442">
        <f t="shared" si="179"/>
        <v>0</v>
      </c>
      <c r="G1374" s="174">
        <v>20241</v>
      </c>
      <c r="H1374" s="74"/>
      <c r="I1374" s="473">
        <f t="shared" si="180"/>
        <v>0</v>
      </c>
      <c r="J1374" s="140"/>
      <c r="K1374" s="139"/>
      <c r="L1374" s="403"/>
      <c r="M1374" s="74"/>
      <c r="N1374" s="223"/>
      <c r="O1374" s="224"/>
      <c r="P1374" s="140"/>
      <c r="Q1374" s="139"/>
      <c r="R1374" s="477"/>
    </row>
    <row r="1375" spans="1:18" s="143" customFormat="1" ht="24">
      <c r="A1375" s="124">
        <v>4179</v>
      </c>
      <c r="B1375" s="277" t="s">
        <v>536</v>
      </c>
      <c r="C1375" s="137"/>
      <c r="D1375" s="74">
        <f t="shared" si="177"/>
        <v>1192</v>
      </c>
      <c r="E1375" s="89">
        <f t="shared" si="178"/>
        <v>0</v>
      </c>
      <c r="F1375" s="442">
        <f t="shared" si="179"/>
        <v>0</v>
      </c>
      <c r="G1375" s="174">
        <v>1192</v>
      </c>
      <c r="H1375" s="74"/>
      <c r="I1375" s="473">
        <f t="shared" si="180"/>
        <v>0</v>
      </c>
      <c r="J1375" s="140"/>
      <c r="K1375" s="139"/>
      <c r="L1375" s="403"/>
      <c r="M1375" s="74"/>
      <c r="N1375" s="223"/>
      <c r="O1375" s="224"/>
      <c r="P1375" s="140"/>
      <c r="Q1375" s="139"/>
      <c r="R1375" s="477"/>
    </row>
    <row r="1376" spans="1:18" s="143" customFormat="1" ht="24">
      <c r="A1376" s="124">
        <v>4218</v>
      </c>
      <c r="B1376" s="277" t="s">
        <v>502</v>
      </c>
      <c r="C1376" s="137"/>
      <c r="D1376" s="74">
        <f t="shared" si="177"/>
        <v>64085</v>
      </c>
      <c r="E1376" s="89">
        <f t="shared" si="178"/>
        <v>0</v>
      </c>
      <c r="F1376" s="442">
        <f t="shared" si="179"/>
        <v>0</v>
      </c>
      <c r="G1376" s="174">
        <v>64085</v>
      </c>
      <c r="H1376" s="74"/>
      <c r="I1376" s="473">
        <f t="shared" si="180"/>
        <v>0</v>
      </c>
      <c r="J1376" s="140"/>
      <c r="K1376" s="139"/>
      <c r="L1376" s="403"/>
      <c r="M1376" s="74"/>
      <c r="N1376" s="223"/>
      <c r="O1376" s="224"/>
      <c r="P1376" s="140"/>
      <c r="Q1376" s="139"/>
      <c r="R1376" s="477"/>
    </row>
    <row r="1377" spans="1:18" s="143" customFormat="1" ht="24">
      <c r="A1377" s="124">
        <v>4219</v>
      </c>
      <c r="B1377" s="277" t="s">
        <v>502</v>
      </c>
      <c r="C1377" s="137"/>
      <c r="D1377" s="74">
        <f t="shared" si="177"/>
        <v>3773</v>
      </c>
      <c r="E1377" s="89">
        <f aca="true" t="shared" si="181" ref="E1377:E1382">SUM(H1377+K1377+N1377+Q1377)</f>
        <v>0</v>
      </c>
      <c r="F1377" s="442">
        <f aca="true" t="shared" si="182" ref="F1377:F1382">E1377/D1377*100</f>
        <v>0</v>
      </c>
      <c r="G1377" s="174">
        <v>3773</v>
      </c>
      <c r="H1377" s="74"/>
      <c r="I1377" s="473">
        <f t="shared" si="180"/>
        <v>0</v>
      </c>
      <c r="J1377" s="140"/>
      <c r="K1377" s="139"/>
      <c r="L1377" s="403"/>
      <c r="M1377" s="74"/>
      <c r="N1377" s="223"/>
      <c r="O1377" s="224"/>
      <c r="P1377" s="140"/>
      <c r="Q1377" s="139"/>
      <c r="R1377" s="477"/>
    </row>
    <row r="1378" spans="1:18" s="143" customFormat="1" ht="24">
      <c r="A1378" s="124">
        <v>4308</v>
      </c>
      <c r="B1378" s="277" t="s">
        <v>527</v>
      </c>
      <c r="C1378" s="137"/>
      <c r="D1378" s="74">
        <f t="shared" si="177"/>
        <v>468120</v>
      </c>
      <c r="E1378" s="89">
        <f t="shared" si="181"/>
        <v>0</v>
      </c>
      <c r="F1378" s="442">
        <f t="shared" si="182"/>
        <v>0</v>
      </c>
      <c r="G1378" s="174">
        <v>468120</v>
      </c>
      <c r="H1378" s="74"/>
      <c r="I1378" s="473">
        <f t="shared" si="180"/>
        <v>0</v>
      </c>
      <c r="J1378" s="140"/>
      <c r="K1378" s="139"/>
      <c r="L1378" s="403"/>
      <c r="M1378" s="74"/>
      <c r="N1378" s="223"/>
      <c r="O1378" s="224"/>
      <c r="P1378" s="140"/>
      <c r="Q1378" s="139"/>
      <c r="R1378" s="477"/>
    </row>
    <row r="1379" spans="1:18" s="143" customFormat="1" ht="24">
      <c r="A1379" s="124">
        <v>4309</v>
      </c>
      <c r="B1379" s="277" t="s">
        <v>527</v>
      </c>
      <c r="C1379" s="137"/>
      <c r="D1379" s="74">
        <f t="shared" si="177"/>
        <v>27560</v>
      </c>
      <c r="E1379" s="89">
        <f t="shared" si="181"/>
        <v>0</v>
      </c>
      <c r="F1379" s="442">
        <f t="shared" si="182"/>
        <v>0</v>
      </c>
      <c r="G1379" s="174">
        <v>27560</v>
      </c>
      <c r="H1379" s="74"/>
      <c r="I1379" s="473">
        <f t="shared" si="180"/>
        <v>0</v>
      </c>
      <c r="J1379" s="140"/>
      <c r="K1379" s="139"/>
      <c r="L1379" s="403"/>
      <c r="M1379" s="74"/>
      <c r="N1379" s="223"/>
      <c r="O1379" s="224"/>
      <c r="P1379" s="140"/>
      <c r="Q1379" s="139"/>
      <c r="R1379" s="477"/>
    </row>
    <row r="1380" spans="1:18" s="143" customFormat="1" ht="48">
      <c r="A1380" s="124">
        <v>4368</v>
      </c>
      <c r="B1380" s="337" t="s">
        <v>287</v>
      </c>
      <c r="C1380" s="137"/>
      <c r="D1380" s="74">
        <f t="shared" si="177"/>
        <v>3400</v>
      </c>
      <c r="E1380" s="89">
        <f t="shared" si="181"/>
        <v>0</v>
      </c>
      <c r="F1380" s="442">
        <f t="shared" si="182"/>
        <v>0</v>
      </c>
      <c r="G1380" s="174">
        <v>3400</v>
      </c>
      <c r="H1380" s="74"/>
      <c r="I1380" s="473">
        <f t="shared" si="180"/>
        <v>0</v>
      </c>
      <c r="J1380" s="140"/>
      <c r="K1380" s="139"/>
      <c r="L1380" s="403"/>
      <c r="M1380" s="74"/>
      <c r="N1380" s="223"/>
      <c r="O1380" s="224"/>
      <c r="P1380" s="140"/>
      <c r="Q1380" s="139"/>
      <c r="R1380" s="477"/>
    </row>
    <row r="1381" spans="1:18" s="143" customFormat="1" ht="48">
      <c r="A1381" s="124">
        <v>4369</v>
      </c>
      <c r="B1381" s="337" t="s">
        <v>287</v>
      </c>
      <c r="C1381" s="137"/>
      <c r="D1381" s="74">
        <f t="shared" si="177"/>
        <v>200</v>
      </c>
      <c r="E1381" s="89">
        <f t="shared" si="181"/>
        <v>0</v>
      </c>
      <c r="F1381" s="442">
        <f t="shared" si="182"/>
        <v>0</v>
      </c>
      <c r="G1381" s="174">
        <v>200</v>
      </c>
      <c r="H1381" s="74"/>
      <c r="I1381" s="473">
        <f t="shared" si="180"/>
        <v>0</v>
      </c>
      <c r="J1381" s="140"/>
      <c r="K1381" s="139"/>
      <c r="L1381" s="403"/>
      <c r="M1381" s="74"/>
      <c r="N1381" s="223"/>
      <c r="O1381" s="224"/>
      <c r="P1381" s="140"/>
      <c r="Q1381" s="139"/>
      <c r="R1381" s="477"/>
    </row>
    <row r="1382" spans="1:18" s="143" customFormat="1" ht="48">
      <c r="A1382" s="124">
        <v>4378</v>
      </c>
      <c r="B1382" s="337" t="s">
        <v>298</v>
      </c>
      <c r="C1382" s="137"/>
      <c r="D1382" s="74">
        <f t="shared" si="177"/>
        <v>5100</v>
      </c>
      <c r="E1382" s="89">
        <f t="shared" si="181"/>
        <v>0</v>
      </c>
      <c r="F1382" s="442">
        <f t="shared" si="182"/>
        <v>0</v>
      </c>
      <c r="G1382" s="174">
        <v>5100</v>
      </c>
      <c r="H1382" s="74"/>
      <c r="I1382" s="473">
        <f t="shared" si="180"/>
        <v>0</v>
      </c>
      <c r="J1382" s="140"/>
      <c r="K1382" s="139"/>
      <c r="L1382" s="403"/>
      <c r="M1382" s="74"/>
      <c r="N1382" s="223"/>
      <c r="O1382" s="224"/>
      <c r="P1382" s="140"/>
      <c r="Q1382" s="139"/>
      <c r="R1382" s="477"/>
    </row>
    <row r="1383" spans="1:18" s="143" customFormat="1" ht="48">
      <c r="A1383" s="124">
        <v>4379</v>
      </c>
      <c r="B1383" s="337" t="s">
        <v>298</v>
      </c>
      <c r="C1383" s="137"/>
      <c r="D1383" s="74">
        <f>G1383+J1383+P1383+M1383</f>
        <v>300</v>
      </c>
      <c r="E1383" s="89">
        <f>SUM(H1383+K1383+N1383+Q1383)</f>
        <v>0</v>
      </c>
      <c r="F1383" s="442">
        <f>E1383/D1383*100</f>
        <v>0</v>
      </c>
      <c r="G1383" s="174">
        <v>300</v>
      </c>
      <c r="H1383" s="74"/>
      <c r="I1383" s="473">
        <f t="shared" si="180"/>
        <v>0</v>
      </c>
      <c r="J1383" s="140"/>
      <c r="K1383" s="139"/>
      <c r="L1383" s="403"/>
      <c r="M1383" s="74"/>
      <c r="N1383" s="223"/>
      <c r="O1383" s="224"/>
      <c r="P1383" s="140"/>
      <c r="Q1383" s="139"/>
      <c r="R1383" s="477"/>
    </row>
    <row r="1384" spans="1:18" s="143" customFormat="1" ht="60">
      <c r="A1384" s="124">
        <v>4748</v>
      </c>
      <c r="B1384" s="337" t="s">
        <v>290</v>
      </c>
      <c r="C1384" s="137"/>
      <c r="D1384" s="74">
        <f>G1384+J1384+P1384+M1384</f>
        <v>1655</v>
      </c>
      <c r="E1384" s="89">
        <f>SUM(H1384+K1384+N1384+Q1384)</f>
        <v>0</v>
      </c>
      <c r="F1384" s="442">
        <f>E1384/D1384*100</f>
        <v>0</v>
      </c>
      <c r="G1384" s="174">
        <v>1655</v>
      </c>
      <c r="H1384" s="74"/>
      <c r="I1384" s="473">
        <f t="shared" si="180"/>
        <v>0</v>
      </c>
      <c r="J1384" s="140"/>
      <c r="K1384" s="139"/>
      <c r="L1384" s="403"/>
      <c r="M1384" s="74"/>
      <c r="N1384" s="223"/>
      <c r="O1384" s="224"/>
      <c r="P1384" s="140"/>
      <c r="Q1384" s="139"/>
      <c r="R1384" s="477"/>
    </row>
    <row r="1385" spans="1:18" s="143" customFormat="1" ht="60">
      <c r="A1385" s="158">
        <v>4749</v>
      </c>
      <c r="B1385" s="198" t="s">
        <v>290</v>
      </c>
      <c r="C1385" s="203"/>
      <c r="D1385" s="161">
        <f>G1385+J1385+P1385+M1385</f>
        <v>97</v>
      </c>
      <c r="E1385" s="155">
        <f>SUM(H1385+K1385+N1385+Q1385)</f>
        <v>0</v>
      </c>
      <c r="F1385" s="462">
        <f>E1385/D1385*100</f>
        <v>0</v>
      </c>
      <c r="G1385" s="176">
        <v>97</v>
      </c>
      <c r="H1385" s="161"/>
      <c r="I1385" s="475">
        <f t="shared" si="180"/>
        <v>0</v>
      </c>
      <c r="J1385" s="204"/>
      <c r="K1385" s="122"/>
      <c r="L1385" s="424"/>
      <c r="M1385" s="161"/>
      <c r="N1385" s="273"/>
      <c r="O1385" s="274"/>
      <c r="P1385" s="204"/>
      <c r="Q1385" s="122"/>
      <c r="R1385" s="521"/>
    </row>
    <row r="1386" spans="1:18" s="143" customFormat="1" ht="36">
      <c r="A1386" s="124">
        <v>4758</v>
      </c>
      <c r="B1386" s="337" t="s">
        <v>291</v>
      </c>
      <c r="C1386" s="137"/>
      <c r="D1386" s="74">
        <f>G1386+J1386+P1386+M1386</f>
        <v>12797</v>
      </c>
      <c r="E1386" s="89">
        <f>SUM(H1386+K1386+N1386+Q1386)</f>
        <v>0</v>
      </c>
      <c r="F1386" s="442">
        <f>E1386/D1386*100</f>
        <v>0</v>
      </c>
      <c r="G1386" s="174">
        <v>12797</v>
      </c>
      <c r="H1386" s="74"/>
      <c r="I1386" s="473">
        <f t="shared" si="180"/>
        <v>0</v>
      </c>
      <c r="J1386" s="140"/>
      <c r="K1386" s="139"/>
      <c r="L1386" s="403"/>
      <c r="M1386" s="74"/>
      <c r="N1386" s="223"/>
      <c r="O1386" s="224"/>
      <c r="P1386" s="140"/>
      <c r="Q1386" s="139"/>
      <c r="R1386" s="477"/>
    </row>
    <row r="1387" spans="1:18" s="118" customFormat="1" ht="36.75" thickBot="1">
      <c r="A1387" s="124">
        <v>4759</v>
      </c>
      <c r="B1387" s="337" t="s">
        <v>291</v>
      </c>
      <c r="C1387" s="88"/>
      <c r="D1387" s="74">
        <f t="shared" si="177"/>
        <v>753</v>
      </c>
      <c r="E1387" s="89">
        <f t="shared" si="178"/>
        <v>0</v>
      </c>
      <c r="F1387" s="442">
        <f t="shared" si="179"/>
        <v>0</v>
      </c>
      <c r="G1387" s="88">
        <v>753</v>
      </c>
      <c r="H1387" s="89"/>
      <c r="I1387" s="473">
        <f t="shared" si="180"/>
        <v>0</v>
      </c>
      <c r="J1387" s="126"/>
      <c r="K1387" s="89"/>
      <c r="L1387" s="391"/>
      <c r="M1387" s="74"/>
      <c r="N1387" s="223"/>
      <c r="O1387" s="224"/>
      <c r="P1387" s="126"/>
      <c r="Q1387" s="89"/>
      <c r="R1387" s="468"/>
    </row>
    <row r="1388" spans="1:18" s="290" customFormat="1" ht="37.5" thickBot="1" thickTop="1">
      <c r="A1388" s="308">
        <v>854</v>
      </c>
      <c r="B1388" s="309" t="s">
        <v>125</v>
      </c>
      <c r="C1388" s="116">
        <f>C1389+C1405+C1432+C1468+C1492+C1537+C1518+C1560+C1565+C1558</f>
        <v>8643400</v>
      </c>
      <c r="D1388" s="59">
        <f t="shared" si="174"/>
        <v>9981300</v>
      </c>
      <c r="E1388" s="59">
        <f>H1388+K1388+Q1388+N1388</f>
        <v>5865593</v>
      </c>
      <c r="F1388" s="463">
        <f t="shared" si="173"/>
        <v>58.765822087303256</v>
      </c>
      <c r="G1388" s="222">
        <f>G1389+G1405+G1432+G1468+G1492+G1518+G1537+G1560+G1565+G1558</f>
        <v>2035809</v>
      </c>
      <c r="H1388" s="107">
        <f>H1389+H1405+H1432+H1468+H1492+H1518+H1537+H1560+H1565+H1558</f>
        <v>1310241</v>
      </c>
      <c r="I1388" s="496">
        <f aca="true" t="shared" si="183" ref="I1388:I1397">H1388/G1388*100</f>
        <v>64.35972136875317</v>
      </c>
      <c r="J1388" s="117"/>
      <c r="K1388" s="107"/>
      <c r="L1388" s="419"/>
      <c r="M1388" s="107">
        <f>M1389+M1405+M1432+M1468+M1492+M1516+M1518+M1537+M1560+M1565+M1558</f>
        <v>7945491</v>
      </c>
      <c r="N1388" s="107">
        <f>N1389+N1405+N1432+N1468+N1492+N1516+N1518+N1537+N1560+N1565+N1558</f>
        <v>4555352</v>
      </c>
      <c r="O1388" s="463">
        <f>N1388/M1388*100</f>
        <v>57.3325424445135</v>
      </c>
      <c r="P1388" s="107"/>
      <c r="Q1388" s="107"/>
      <c r="R1388" s="478"/>
    </row>
    <row r="1389" spans="1:18" s="118" customFormat="1" ht="15.75" customHeight="1" thickTop="1">
      <c r="A1389" s="188">
        <v>85401</v>
      </c>
      <c r="B1389" s="300" t="s">
        <v>126</v>
      </c>
      <c r="C1389" s="190">
        <f>SUM(C1390:C1404)</f>
        <v>1372800</v>
      </c>
      <c r="D1389" s="122">
        <f t="shared" si="174"/>
        <v>1373490</v>
      </c>
      <c r="E1389" s="192">
        <f>H1389+K1389+Q1389+N1389</f>
        <v>796907</v>
      </c>
      <c r="F1389" s="527">
        <f t="shared" si="173"/>
        <v>58.0205898841637</v>
      </c>
      <c r="G1389" s="190">
        <f>SUM(G1390:G1404)</f>
        <v>1134900</v>
      </c>
      <c r="H1389" s="192">
        <f>SUM(H1390:H1404)</f>
        <v>653372</v>
      </c>
      <c r="I1389" s="469">
        <f t="shared" si="183"/>
        <v>57.57088730284606</v>
      </c>
      <c r="J1389" s="193"/>
      <c r="K1389" s="192"/>
      <c r="L1389" s="424"/>
      <c r="M1389" s="192">
        <f>SUM(M1390:M1404)</f>
        <v>238590</v>
      </c>
      <c r="N1389" s="192">
        <f>SUM(N1390:N1404)</f>
        <v>143535</v>
      </c>
      <c r="O1389" s="462">
        <f aca="true" t="shared" si="184" ref="O1389:O1453">N1389/M1389*100</f>
        <v>60.15968816798692</v>
      </c>
      <c r="P1389" s="192"/>
      <c r="Q1389" s="192"/>
      <c r="R1389" s="479"/>
    </row>
    <row r="1390" spans="1:18" s="212" customFormat="1" ht="36">
      <c r="A1390" s="108">
        <v>3020</v>
      </c>
      <c r="B1390" s="277" t="s">
        <v>257</v>
      </c>
      <c r="C1390" s="90">
        <v>3000</v>
      </c>
      <c r="D1390" s="103">
        <f t="shared" si="174"/>
        <v>3000</v>
      </c>
      <c r="E1390" s="104">
        <f aca="true" t="shared" si="185" ref="E1390:E1404">SUM(H1390+K1390+N1390+Q1390)</f>
        <v>616</v>
      </c>
      <c r="F1390" s="526">
        <f t="shared" si="173"/>
        <v>20.533333333333335</v>
      </c>
      <c r="G1390" s="90">
        <v>2700</v>
      </c>
      <c r="H1390" s="104">
        <v>416</v>
      </c>
      <c r="I1390" s="470">
        <f t="shared" si="183"/>
        <v>15.407407407407408</v>
      </c>
      <c r="J1390" s="200"/>
      <c r="K1390" s="104"/>
      <c r="L1390" s="414"/>
      <c r="M1390" s="104">
        <v>300</v>
      </c>
      <c r="N1390" s="104">
        <v>200</v>
      </c>
      <c r="O1390" s="464">
        <f t="shared" si="184"/>
        <v>66.66666666666666</v>
      </c>
      <c r="P1390" s="104"/>
      <c r="Q1390" s="104"/>
      <c r="R1390" s="472"/>
    </row>
    <row r="1391" spans="1:18" s="212" customFormat="1" ht="27" customHeight="1">
      <c r="A1391" s="124">
        <v>4010</v>
      </c>
      <c r="B1391" s="291" t="s">
        <v>492</v>
      </c>
      <c r="C1391" s="88">
        <v>970600</v>
      </c>
      <c r="D1391" s="74">
        <f t="shared" si="174"/>
        <v>970600</v>
      </c>
      <c r="E1391" s="89">
        <f t="shared" si="185"/>
        <v>544543</v>
      </c>
      <c r="F1391" s="468">
        <f t="shared" si="173"/>
        <v>56.103750257572635</v>
      </c>
      <c r="G1391" s="126">
        <v>799600</v>
      </c>
      <c r="H1391" s="126">
        <v>443951</v>
      </c>
      <c r="I1391" s="442">
        <f t="shared" si="183"/>
        <v>55.52163581790895</v>
      </c>
      <c r="J1391" s="126"/>
      <c r="K1391" s="89"/>
      <c r="L1391" s="391"/>
      <c r="M1391" s="89">
        <v>171000</v>
      </c>
      <c r="N1391" s="89">
        <v>100592</v>
      </c>
      <c r="O1391" s="442">
        <f t="shared" si="184"/>
        <v>58.825730994152046</v>
      </c>
      <c r="P1391" s="89"/>
      <c r="Q1391" s="89"/>
      <c r="R1391" s="473"/>
    </row>
    <row r="1392" spans="1:18" s="212" customFormat="1" ht="24.75" customHeight="1">
      <c r="A1392" s="124">
        <v>4040</v>
      </c>
      <c r="B1392" s="277" t="s">
        <v>541</v>
      </c>
      <c r="C1392" s="88">
        <v>77300</v>
      </c>
      <c r="D1392" s="74">
        <f t="shared" si="174"/>
        <v>69770</v>
      </c>
      <c r="E1392" s="89">
        <f t="shared" si="185"/>
        <v>69632</v>
      </c>
      <c r="F1392" s="468">
        <f t="shared" si="173"/>
        <v>99.80220725240075</v>
      </c>
      <c r="G1392" s="89">
        <f>67000-7120</f>
        <v>59880</v>
      </c>
      <c r="H1392" s="126">
        <f>59744+1-1</f>
        <v>59744</v>
      </c>
      <c r="I1392" s="442">
        <f t="shared" si="183"/>
        <v>99.77287909151636</v>
      </c>
      <c r="J1392" s="126"/>
      <c r="K1392" s="89"/>
      <c r="L1392" s="391"/>
      <c r="M1392" s="89">
        <f>10300-410</f>
        <v>9890</v>
      </c>
      <c r="N1392" s="89">
        <v>9888</v>
      </c>
      <c r="O1392" s="442">
        <f t="shared" si="184"/>
        <v>99.97977755308392</v>
      </c>
      <c r="P1392" s="89"/>
      <c r="Q1392" s="89"/>
      <c r="R1392" s="362"/>
    </row>
    <row r="1393" spans="1:18" s="212" customFormat="1" ht="24">
      <c r="A1393" s="124">
        <v>4110</v>
      </c>
      <c r="B1393" s="277" t="s">
        <v>498</v>
      </c>
      <c r="C1393" s="88">
        <v>179600</v>
      </c>
      <c r="D1393" s="74">
        <f t="shared" si="174"/>
        <v>179600</v>
      </c>
      <c r="E1393" s="89">
        <f t="shared" si="185"/>
        <v>93466</v>
      </c>
      <c r="F1393" s="468">
        <f t="shared" si="173"/>
        <v>52.04120267260579</v>
      </c>
      <c r="G1393" s="89">
        <v>149900</v>
      </c>
      <c r="H1393" s="126">
        <v>76051</v>
      </c>
      <c r="I1393" s="442">
        <f t="shared" si="183"/>
        <v>50.73448965977319</v>
      </c>
      <c r="J1393" s="126"/>
      <c r="K1393" s="89"/>
      <c r="L1393" s="391"/>
      <c r="M1393" s="89">
        <v>29700</v>
      </c>
      <c r="N1393" s="89">
        <v>17415</v>
      </c>
      <c r="O1393" s="442">
        <f t="shared" si="184"/>
        <v>58.63636363636363</v>
      </c>
      <c r="P1393" s="89"/>
      <c r="Q1393" s="89"/>
      <c r="R1393" s="362"/>
    </row>
    <row r="1394" spans="1:18" s="212" customFormat="1" ht="12.75">
      <c r="A1394" s="124">
        <v>4120</v>
      </c>
      <c r="B1394" s="277" t="s">
        <v>571</v>
      </c>
      <c r="C1394" s="88">
        <v>26000</v>
      </c>
      <c r="D1394" s="74">
        <f t="shared" si="174"/>
        <v>26000</v>
      </c>
      <c r="E1394" s="89">
        <f t="shared" si="185"/>
        <v>14403</v>
      </c>
      <c r="F1394" s="468">
        <f t="shared" si="173"/>
        <v>55.39615384615385</v>
      </c>
      <c r="G1394" s="89">
        <v>21700</v>
      </c>
      <c r="H1394" s="126">
        <v>11689</v>
      </c>
      <c r="I1394" s="442">
        <f t="shared" si="183"/>
        <v>53.866359447004605</v>
      </c>
      <c r="J1394" s="126"/>
      <c r="K1394" s="89"/>
      <c r="L1394" s="391"/>
      <c r="M1394" s="89">
        <v>4300</v>
      </c>
      <c r="N1394" s="89">
        <v>2714</v>
      </c>
      <c r="O1394" s="442">
        <f t="shared" si="184"/>
        <v>63.116279069767444</v>
      </c>
      <c r="P1394" s="89"/>
      <c r="Q1394" s="89"/>
      <c r="R1394" s="362"/>
    </row>
    <row r="1395" spans="1:18" s="212" customFormat="1" ht="12.75">
      <c r="A1395" s="124">
        <v>4140</v>
      </c>
      <c r="B1395" s="277" t="s">
        <v>544</v>
      </c>
      <c r="C1395" s="88">
        <v>2700</v>
      </c>
      <c r="D1395" s="74">
        <f t="shared" si="174"/>
        <v>2700</v>
      </c>
      <c r="E1395" s="89">
        <f t="shared" si="185"/>
        <v>1557</v>
      </c>
      <c r="F1395" s="468">
        <f t="shared" si="173"/>
        <v>57.666666666666664</v>
      </c>
      <c r="G1395" s="89">
        <v>2700</v>
      </c>
      <c r="H1395" s="126">
        <v>1557</v>
      </c>
      <c r="I1395" s="442">
        <f t="shared" si="183"/>
        <v>57.666666666666664</v>
      </c>
      <c r="J1395" s="126"/>
      <c r="K1395" s="89"/>
      <c r="L1395" s="391"/>
      <c r="M1395" s="89"/>
      <c r="N1395" s="89"/>
      <c r="O1395" s="224"/>
      <c r="P1395" s="89"/>
      <c r="Q1395" s="89"/>
      <c r="R1395" s="362"/>
    </row>
    <row r="1396" spans="1:18" s="212" customFormat="1" ht="24">
      <c r="A1396" s="124">
        <v>4210</v>
      </c>
      <c r="B1396" s="277" t="s">
        <v>502</v>
      </c>
      <c r="C1396" s="88">
        <v>19600</v>
      </c>
      <c r="D1396" s="74">
        <f t="shared" si="174"/>
        <v>20700</v>
      </c>
      <c r="E1396" s="89">
        <f t="shared" si="185"/>
        <v>2806</v>
      </c>
      <c r="F1396" s="468">
        <f t="shared" si="173"/>
        <v>13.555555555555557</v>
      </c>
      <c r="G1396" s="89">
        <f>17200+1100</f>
        <v>18300</v>
      </c>
      <c r="H1396" s="126">
        <v>2706</v>
      </c>
      <c r="I1396" s="442">
        <f t="shared" si="183"/>
        <v>14.78688524590164</v>
      </c>
      <c r="J1396" s="126"/>
      <c r="K1396" s="89"/>
      <c r="L1396" s="391"/>
      <c r="M1396" s="89">
        <v>2400</v>
      </c>
      <c r="N1396" s="89">
        <v>100</v>
      </c>
      <c r="O1396" s="442">
        <f t="shared" si="184"/>
        <v>4.166666666666666</v>
      </c>
      <c r="P1396" s="89"/>
      <c r="Q1396" s="89"/>
      <c r="R1396" s="362"/>
    </row>
    <row r="1397" spans="1:18" s="212" customFormat="1" ht="36">
      <c r="A1397" s="124">
        <v>4240</v>
      </c>
      <c r="B1397" s="277" t="s">
        <v>47</v>
      </c>
      <c r="C1397" s="88">
        <v>14400</v>
      </c>
      <c r="D1397" s="74">
        <f t="shared" si="174"/>
        <v>13300</v>
      </c>
      <c r="E1397" s="89">
        <f t="shared" si="185"/>
        <v>2150</v>
      </c>
      <c r="F1397" s="468">
        <f t="shared" si="173"/>
        <v>16.165413533834585</v>
      </c>
      <c r="G1397" s="89">
        <f>13900-1100</f>
        <v>12800</v>
      </c>
      <c r="H1397" s="126">
        <v>2124</v>
      </c>
      <c r="I1397" s="442">
        <f t="shared" si="183"/>
        <v>16.59375</v>
      </c>
      <c r="J1397" s="126"/>
      <c r="K1397" s="89"/>
      <c r="L1397" s="391"/>
      <c r="M1397" s="89">
        <v>500</v>
      </c>
      <c r="N1397" s="89">
        <v>26</v>
      </c>
      <c r="O1397" s="442">
        <f t="shared" si="184"/>
        <v>5.2</v>
      </c>
      <c r="P1397" s="89"/>
      <c r="Q1397" s="89"/>
      <c r="R1397" s="362"/>
    </row>
    <row r="1398" spans="1:18" s="212" customFormat="1" ht="15" customHeight="1">
      <c r="A1398" s="124">
        <v>4260</v>
      </c>
      <c r="B1398" s="277" t="s">
        <v>506</v>
      </c>
      <c r="C1398" s="88">
        <v>3000</v>
      </c>
      <c r="D1398" s="74">
        <f t="shared" si="174"/>
        <v>3000</v>
      </c>
      <c r="E1398" s="89">
        <f t="shared" si="185"/>
        <v>3000</v>
      </c>
      <c r="F1398" s="468">
        <f t="shared" si="173"/>
        <v>100</v>
      </c>
      <c r="G1398" s="89"/>
      <c r="H1398" s="126"/>
      <c r="I1398" s="442"/>
      <c r="J1398" s="126"/>
      <c r="K1398" s="89"/>
      <c r="L1398" s="391"/>
      <c r="M1398" s="89">
        <v>3000</v>
      </c>
      <c r="N1398" s="89">
        <v>3000</v>
      </c>
      <c r="O1398" s="442">
        <f t="shared" si="184"/>
        <v>100</v>
      </c>
      <c r="P1398" s="89"/>
      <c r="Q1398" s="89"/>
      <c r="R1398" s="362"/>
    </row>
    <row r="1399" spans="1:18" s="212" customFormat="1" ht="24">
      <c r="A1399" s="124">
        <v>4270</v>
      </c>
      <c r="B1399" s="277" t="s">
        <v>508</v>
      </c>
      <c r="C1399" s="88">
        <v>300</v>
      </c>
      <c r="D1399" s="74">
        <f t="shared" si="174"/>
        <v>300</v>
      </c>
      <c r="E1399" s="89">
        <f t="shared" si="185"/>
        <v>300</v>
      </c>
      <c r="F1399" s="468">
        <f t="shared" si="173"/>
        <v>100</v>
      </c>
      <c r="G1399" s="89"/>
      <c r="H1399" s="126"/>
      <c r="I1399" s="442"/>
      <c r="J1399" s="126"/>
      <c r="K1399" s="89"/>
      <c r="L1399" s="391"/>
      <c r="M1399" s="89">
        <v>300</v>
      </c>
      <c r="N1399" s="89">
        <v>300</v>
      </c>
      <c r="O1399" s="442">
        <f t="shared" si="184"/>
        <v>100</v>
      </c>
      <c r="P1399" s="88"/>
      <c r="Q1399" s="89"/>
      <c r="R1399" s="362"/>
    </row>
    <row r="1400" spans="1:18" s="212" customFormat="1" ht="15.75" customHeight="1">
      <c r="A1400" s="124">
        <v>4280</v>
      </c>
      <c r="B1400" s="277" t="s">
        <v>545</v>
      </c>
      <c r="C1400" s="88">
        <v>100</v>
      </c>
      <c r="D1400" s="74">
        <f t="shared" si="174"/>
        <v>100</v>
      </c>
      <c r="E1400" s="89">
        <f t="shared" si="185"/>
        <v>0</v>
      </c>
      <c r="F1400" s="468">
        <f t="shared" si="173"/>
        <v>0</v>
      </c>
      <c r="G1400" s="89"/>
      <c r="H1400" s="126"/>
      <c r="I1400" s="442"/>
      <c r="J1400" s="126"/>
      <c r="K1400" s="89"/>
      <c r="L1400" s="391"/>
      <c r="M1400" s="89">
        <v>100</v>
      </c>
      <c r="N1400" s="89"/>
      <c r="O1400" s="442">
        <f t="shared" si="184"/>
        <v>0</v>
      </c>
      <c r="P1400" s="89"/>
      <c r="Q1400" s="89"/>
      <c r="R1400" s="362"/>
    </row>
    <row r="1401" spans="1:18" s="212" customFormat="1" ht="15.75" customHeight="1">
      <c r="A1401" s="124">
        <v>4300</v>
      </c>
      <c r="B1401" s="277" t="s">
        <v>510</v>
      </c>
      <c r="C1401" s="88">
        <v>5600</v>
      </c>
      <c r="D1401" s="74">
        <f t="shared" si="174"/>
        <v>5600</v>
      </c>
      <c r="E1401" s="74">
        <f>H1401+K1401+Q1401+N1401</f>
        <v>725</v>
      </c>
      <c r="F1401" s="468">
        <f t="shared" si="173"/>
        <v>12.946428571428573</v>
      </c>
      <c r="G1401" s="89"/>
      <c r="H1401" s="126"/>
      <c r="I1401" s="442"/>
      <c r="J1401" s="126"/>
      <c r="K1401" s="89"/>
      <c r="L1401" s="391"/>
      <c r="M1401" s="89">
        <v>5600</v>
      </c>
      <c r="N1401" s="89">
        <v>725</v>
      </c>
      <c r="O1401" s="442">
        <f t="shared" si="184"/>
        <v>12.946428571428573</v>
      </c>
      <c r="P1401" s="89"/>
      <c r="Q1401" s="89"/>
      <c r="R1401" s="362"/>
    </row>
    <row r="1402" spans="1:18" s="212" customFormat="1" ht="48">
      <c r="A1402" s="172">
        <v>4370</v>
      </c>
      <c r="B1402" s="337" t="s">
        <v>298</v>
      </c>
      <c r="C1402" s="88">
        <v>200</v>
      </c>
      <c r="D1402" s="74">
        <f>G1402+J1402+P1402+M1402</f>
        <v>200</v>
      </c>
      <c r="E1402" s="74">
        <f>H1402+K1402+Q1402+N1402</f>
        <v>0</v>
      </c>
      <c r="F1402" s="468">
        <f>E1402/D1402*100</f>
        <v>0</v>
      </c>
      <c r="G1402" s="89"/>
      <c r="H1402" s="126"/>
      <c r="I1402" s="442"/>
      <c r="J1402" s="126"/>
      <c r="K1402" s="89"/>
      <c r="L1402" s="391"/>
      <c r="M1402" s="89">
        <v>200</v>
      </c>
      <c r="N1402" s="89"/>
      <c r="O1402" s="442">
        <f t="shared" si="184"/>
        <v>0</v>
      </c>
      <c r="P1402" s="89"/>
      <c r="Q1402" s="89"/>
      <c r="R1402" s="362"/>
    </row>
    <row r="1403" spans="1:18" s="212" customFormat="1" ht="15.75" customHeight="1">
      <c r="A1403" s="124">
        <v>4440</v>
      </c>
      <c r="B1403" s="291" t="s">
        <v>14</v>
      </c>
      <c r="C1403" s="88">
        <v>70200</v>
      </c>
      <c r="D1403" s="74">
        <f>G1403+J1403+P1403+M1403</f>
        <v>78420</v>
      </c>
      <c r="E1403" s="74">
        <f>H1403+K1403+Q1403+N1403</f>
        <v>63709</v>
      </c>
      <c r="F1403" s="468">
        <f>E1403/D1403*100</f>
        <v>81.24075490946187</v>
      </c>
      <c r="G1403" s="89">
        <f>60200+7120</f>
        <v>67320</v>
      </c>
      <c r="H1403" s="126">
        <v>55134</v>
      </c>
      <c r="I1403" s="442">
        <f>H1403/G1403*100</f>
        <v>81.89839572192513</v>
      </c>
      <c r="J1403" s="126"/>
      <c r="K1403" s="89"/>
      <c r="L1403" s="391"/>
      <c r="M1403" s="89">
        <f>10000+410+690</f>
        <v>11100</v>
      </c>
      <c r="N1403" s="89">
        <v>8575</v>
      </c>
      <c r="O1403" s="442">
        <f t="shared" si="184"/>
        <v>77.25225225225225</v>
      </c>
      <c r="P1403" s="89"/>
      <c r="Q1403" s="89"/>
      <c r="R1403" s="362"/>
    </row>
    <row r="1404" spans="1:18" s="212" customFormat="1" ht="36">
      <c r="A1404" s="197">
        <v>4700</v>
      </c>
      <c r="B1404" s="198" t="s">
        <v>285</v>
      </c>
      <c r="C1404" s="160">
        <v>200</v>
      </c>
      <c r="D1404" s="161">
        <f t="shared" si="174"/>
        <v>200</v>
      </c>
      <c r="E1404" s="155">
        <f t="shared" si="185"/>
        <v>0</v>
      </c>
      <c r="F1404" s="469">
        <f t="shared" si="173"/>
        <v>0</v>
      </c>
      <c r="G1404" s="155"/>
      <c r="H1404" s="162"/>
      <c r="I1404" s="274"/>
      <c r="J1404" s="162"/>
      <c r="K1404" s="155"/>
      <c r="L1404" s="415"/>
      <c r="M1404" s="155">
        <v>200</v>
      </c>
      <c r="N1404" s="155"/>
      <c r="O1404" s="462">
        <f t="shared" si="184"/>
        <v>0</v>
      </c>
      <c r="P1404" s="155"/>
      <c r="Q1404" s="155"/>
      <c r="R1404" s="366"/>
    </row>
    <row r="1405" spans="1:18" s="212" customFormat="1" ht="22.5" customHeight="1">
      <c r="A1405" s="119">
        <v>85403</v>
      </c>
      <c r="B1405" s="276" t="s">
        <v>127</v>
      </c>
      <c r="C1405" s="121">
        <f>SUM(C1406:C1431)</f>
        <v>1257800</v>
      </c>
      <c r="D1405" s="95">
        <f t="shared" si="174"/>
        <v>1274800</v>
      </c>
      <c r="E1405" s="84">
        <f>H1405+K1405+Q1405+N1405</f>
        <v>767770</v>
      </c>
      <c r="F1405" s="467">
        <f t="shared" si="173"/>
        <v>60.226702227800445</v>
      </c>
      <c r="G1405" s="84"/>
      <c r="H1405" s="123"/>
      <c r="I1405" s="381"/>
      <c r="J1405" s="123"/>
      <c r="K1405" s="84"/>
      <c r="L1405" s="417"/>
      <c r="M1405" s="84">
        <f>SUM(M1406:M1431)</f>
        <v>1274800</v>
      </c>
      <c r="N1405" s="84">
        <f>SUM(N1406:N1431)</f>
        <v>767770</v>
      </c>
      <c r="O1405" s="448">
        <f t="shared" si="184"/>
        <v>60.226702227800445</v>
      </c>
      <c r="P1405" s="84"/>
      <c r="Q1405" s="84"/>
      <c r="R1405" s="372"/>
    </row>
    <row r="1406" spans="1:18" s="212" customFormat="1" ht="36">
      <c r="A1406" s="108">
        <v>3020</v>
      </c>
      <c r="B1406" s="277" t="s">
        <v>257</v>
      </c>
      <c r="C1406" s="90">
        <v>3700</v>
      </c>
      <c r="D1406" s="103">
        <f t="shared" si="174"/>
        <v>3700</v>
      </c>
      <c r="E1406" s="104">
        <f aca="true" t="shared" si="186" ref="E1406:E1431">SUM(H1406+K1406+N1406+Q1406)</f>
        <v>1423</v>
      </c>
      <c r="F1406" s="470">
        <f t="shared" si="173"/>
        <v>38.45945945945946</v>
      </c>
      <c r="G1406" s="104"/>
      <c r="H1406" s="200"/>
      <c r="I1406" s="388"/>
      <c r="J1406" s="200"/>
      <c r="K1406" s="104"/>
      <c r="L1406" s="414"/>
      <c r="M1406" s="90">
        <v>3700</v>
      </c>
      <c r="N1406" s="104">
        <v>1423</v>
      </c>
      <c r="O1406" s="464">
        <f t="shared" si="184"/>
        <v>38.45945945945946</v>
      </c>
      <c r="P1406" s="104"/>
      <c r="Q1406" s="104"/>
      <c r="R1406" s="365"/>
    </row>
    <row r="1407" spans="1:18" s="212" customFormat="1" ht="12.75" hidden="1">
      <c r="A1407" s="124">
        <v>3110</v>
      </c>
      <c r="B1407" s="277" t="s">
        <v>98</v>
      </c>
      <c r="C1407" s="88"/>
      <c r="D1407" s="74">
        <f t="shared" si="174"/>
        <v>0</v>
      </c>
      <c r="E1407" s="89">
        <f t="shared" si="186"/>
        <v>0</v>
      </c>
      <c r="F1407" s="468" t="e">
        <f t="shared" si="173"/>
        <v>#DIV/0!</v>
      </c>
      <c r="G1407" s="89"/>
      <c r="H1407" s="126"/>
      <c r="I1407" s="368"/>
      <c r="J1407" s="126"/>
      <c r="K1407" s="89"/>
      <c r="L1407" s="391"/>
      <c r="M1407" s="88"/>
      <c r="N1407" s="89"/>
      <c r="O1407" s="442" t="e">
        <f t="shared" si="184"/>
        <v>#DIV/0!</v>
      </c>
      <c r="P1407" s="89"/>
      <c r="Q1407" s="89"/>
      <c r="R1407" s="362"/>
    </row>
    <row r="1408" spans="1:18" s="212" customFormat="1" ht="24">
      <c r="A1408" s="124">
        <v>4010</v>
      </c>
      <c r="B1408" s="277" t="s">
        <v>492</v>
      </c>
      <c r="C1408" s="88">
        <v>780000</v>
      </c>
      <c r="D1408" s="74">
        <f t="shared" si="174"/>
        <v>780000</v>
      </c>
      <c r="E1408" s="89">
        <f t="shared" si="186"/>
        <v>448535</v>
      </c>
      <c r="F1408" s="468">
        <f t="shared" si="173"/>
        <v>57.504487179487185</v>
      </c>
      <c r="G1408" s="89"/>
      <c r="H1408" s="126"/>
      <c r="I1408" s="368"/>
      <c r="J1408" s="126"/>
      <c r="K1408" s="89"/>
      <c r="L1408" s="391"/>
      <c r="M1408" s="88">
        <v>780000</v>
      </c>
      <c r="N1408" s="89">
        <v>448535</v>
      </c>
      <c r="O1408" s="442">
        <f t="shared" si="184"/>
        <v>57.504487179487185</v>
      </c>
      <c r="P1408" s="89"/>
      <c r="Q1408" s="89"/>
      <c r="R1408" s="362"/>
    </row>
    <row r="1409" spans="1:18" s="212" customFormat="1" ht="24">
      <c r="A1409" s="124">
        <v>4040</v>
      </c>
      <c r="B1409" s="277" t="s">
        <v>496</v>
      </c>
      <c r="C1409" s="88">
        <v>62800</v>
      </c>
      <c r="D1409" s="74">
        <f t="shared" si="174"/>
        <v>62800</v>
      </c>
      <c r="E1409" s="89">
        <f t="shared" si="186"/>
        <v>62800</v>
      </c>
      <c r="F1409" s="468">
        <f t="shared" si="173"/>
        <v>100</v>
      </c>
      <c r="G1409" s="89"/>
      <c r="H1409" s="126"/>
      <c r="I1409" s="368"/>
      <c r="J1409" s="126"/>
      <c r="K1409" s="89"/>
      <c r="L1409" s="391"/>
      <c r="M1409" s="88">
        <v>62800</v>
      </c>
      <c r="N1409" s="89">
        <v>62800</v>
      </c>
      <c r="O1409" s="442">
        <f t="shared" si="184"/>
        <v>100</v>
      </c>
      <c r="P1409" s="89"/>
      <c r="Q1409" s="89"/>
      <c r="R1409" s="362"/>
    </row>
    <row r="1410" spans="1:18" s="212" customFormat="1" ht="24">
      <c r="A1410" s="124">
        <v>4110</v>
      </c>
      <c r="B1410" s="277" t="s">
        <v>498</v>
      </c>
      <c r="C1410" s="88">
        <v>148000</v>
      </c>
      <c r="D1410" s="74">
        <f t="shared" si="174"/>
        <v>148000</v>
      </c>
      <c r="E1410" s="89">
        <f t="shared" si="186"/>
        <v>85056</v>
      </c>
      <c r="F1410" s="468">
        <f t="shared" si="173"/>
        <v>57.47027027027028</v>
      </c>
      <c r="G1410" s="89"/>
      <c r="H1410" s="126"/>
      <c r="I1410" s="368"/>
      <c r="J1410" s="126"/>
      <c r="K1410" s="89"/>
      <c r="L1410" s="391"/>
      <c r="M1410" s="88">
        <v>148000</v>
      </c>
      <c r="N1410" s="89">
        <f>85055+1</f>
        <v>85056</v>
      </c>
      <c r="O1410" s="442">
        <f t="shared" si="184"/>
        <v>57.47027027027028</v>
      </c>
      <c r="P1410" s="89"/>
      <c r="Q1410" s="89"/>
      <c r="R1410" s="362"/>
    </row>
    <row r="1411" spans="1:18" s="212" customFormat="1" ht="12.75">
      <c r="A1411" s="124">
        <v>4120</v>
      </c>
      <c r="B1411" s="277" t="s">
        <v>571</v>
      </c>
      <c r="C1411" s="88">
        <v>20600</v>
      </c>
      <c r="D1411" s="74">
        <f t="shared" si="174"/>
        <v>20600</v>
      </c>
      <c r="E1411" s="89">
        <f t="shared" si="186"/>
        <v>13108</v>
      </c>
      <c r="F1411" s="468">
        <f t="shared" si="173"/>
        <v>63.631067961165044</v>
      </c>
      <c r="G1411" s="89"/>
      <c r="H1411" s="126"/>
      <c r="I1411" s="368"/>
      <c r="J1411" s="126"/>
      <c r="K1411" s="89"/>
      <c r="L1411" s="391"/>
      <c r="M1411" s="88">
        <v>20600</v>
      </c>
      <c r="N1411" s="89">
        <v>13108</v>
      </c>
      <c r="O1411" s="442">
        <f t="shared" si="184"/>
        <v>63.631067961165044</v>
      </c>
      <c r="P1411" s="89"/>
      <c r="Q1411" s="89"/>
      <c r="R1411" s="362"/>
    </row>
    <row r="1412" spans="1:18" s="212" customFormat="1" ht="24" hidden="1">
      <c r="A1412" s="124">
        <v>4130</v>
      </c>
      <c r="B1412" s="277" t="s">
        <v>51</v>
      </c>
      <c r="C1412" s="88"/>
      <c r="D1412" s="74">
        <f t="shared" si="174"/>
        <v>0</v>
      </c>
      <c r="E1412" s="89">
        <f>H1412+K1412+Q1412+N1412</f>
        <v>0</v>
      </c>
      <c r="F1412" s="468" t="e">
        <f t="shared" si="173"/>
        <v>#DIV/0!</v>
      </c>
      <c r="G1412" s="89"/>
      <c r="H1412" s="126"/>
      <c r="I1412" s="368"/>
      <c r="J1412" s="126"/>
      <c r="K1412" s="89"/>
      <c r="L1412" s="391"/>
      <c r="M1412" s="88"/>
      <c r="N1412" s="89"/>
      <c r="O1412" s="442" t="e">
        <f t="shared" si="184"/>
        <v>#DIV/0!</v>
      </c>
      <c r="P1412" s="89"/>
      <c r="Q1412" s="89"/>
      <c r="R1412" s="362"/>
    </row>
    <row r="1413" spans="1:18" s="212" customFormat="1" ht="24">
      <c r="A1413" s="124">
        <v>4170</v>
      </c>
      <c r="B1413" s="277" t="s">
        <v>536</v>
      </c>
      <c r="C1413" s="88">
        <v>1000</v>
      </c>
      <c r="D1413" s="74">
        <f t="shared" si="174"/>
        <v>1000</v>
      </c>
      <c r="E1413" s="89">
        <f>H1413+K1413+Q1413+N1413</f>
        <v>185</v>
      </c>
      <c r="F1413" s="468">
        <f t="shared" si="173"/>
        <v>18.5</v>
      </c>
      <c r="G1413" s="89"/>
      <c r="H1413" s="126"/>
      <c r="I1413" s="368"/>
      <c r="J1413" s="126"/>
      <c r="K1413" s="89"/>
      <c r="L1413" s="391"/>
      <c r="M1413" s="88">
        <v>1000</v>
      </c>
      <c r="N1413" s="89">
        <v>185</v>
      </c>
      <c r="O1413" s="442">
        <f t="shared" si="184"/>
        <v>18.5</v>
      </c>
      <c r="P1413" s="89"/>
      <c r="Q1413" s="89"/>
      <c r="R1413" s="362"/>
    </row>
    <row r="1414" spans="1:18" s="212" customFormat="1" ht="24">
      <c r="A1414" s="124">
        <v>4210</v>
      </c>
      <c r="B1414" s="277" t="s">
        <v>502</v>
      </c>
      <c r="C1414" s="88">
        <v>50000</v>
      </c>
      <c r="D1414" s="74">
        <f t="shared" si="174"/>
        <v>54400</v>
      </c>
      <c r="E1414" s="89">
        <f t="shared" si="186"/>
        <v>28258</v>
      </c>
      <c r="F1414" s="468">
        <f t="shared" si="173"/>
        <v>51.944852941176464</v>
      </c>
      <c r="G1414" s="89"/>
      <c r="H1414" s="126"/>
      <c r="I1414" s="368"/>
      <c r="J1414" s="126"/>
      <c r="K1414" s="89"/>
      <c r="L1414" s="391"/>
      <c r="M1414" s="88">
        <f>50000+4400</f>
        <v>54400</v>
      </c>
      <c r="N1414" s="89">
        <v>28258</v>
      </c>
      <c r="O1414" s="442">
        <f t="shared" si="184"/>
        <v>51.944852941176464</v>
      </c>
      <c r="P1414" s="89"/>
      <c r="Q1414" s="89"/>
      <c r="R1414" s="362"/>
    </row>
    <row r="1415" spans="1:18" s="212" customFormat="1" ht="24">
      <c r="A1415" s="124">
        <v>4220</v>
      </c>
      <c r="B1415" s="277" t="s">
        <v>12</v>
      </c>
      <c r="C1415" s="88">
        <v>60000</v>
      </c>
      <c r="D1415" s="74">
        <f t="shared" si="174"/>
        <v>60000</v>
      </c>
      <c r="E1415" s="89">
        <f t="shared" si="186"/>
        <v>29042</v>
      </c>
      <c r="F1415" s="468">
        <f t="shared" si="173"/>
        <v>48.40333333333333</v>
      </c>
      <c r="G1415" s="89"/>
      <c r="H1415" s="126"/>
      <c r="I1415" s="368"/>
      <c r="J1415" s="126"/>
      <c r="K1415" s="89"/>
      <c r="L1415" s="391"/>
      <c r="M1415" s="88">
        <v>60000</v>
      </c>
      <c r="N1415" s="89">
        <v>29042</v>
      </c>
      <c r="O1415" s="442">
        <f t="shared" si="184"/>
        <v>48.40333333333333</v>
      </c>
      <c r="P1415" s="89"/>
      <c r="Q1415" s="89"/>
      <c r="R1415" s="362"/>
    </row>
    <row r="1416" spans="1:18" s="212" customFormat="1" ht="36">
      <c r="A1416" s="124">
        <v>4240</v>
      </c>
      <c r="B1416" s="277" t="s">
        <v>128</v>
      </c>
      <c r="C1416" s="88">
        <v>4000</v>
      </c>
      <c r="D1416" s="74">
        <f t="shared" si="174"/>
        <v>4000</v>
      </c>
      <c r="E1416" s="89">
        <f t="shared" si="186"/>
        <v>3000</v>
      </c>
      <c r="F1416" s="468">
        <f t="shared" si="173"/>
        <v>75</v>
      </c>
      <c r="G1416" s="89"/>
      <c r="H1416" s="126"/>
      <c r="I1416" s="368"/>
      <c r="J1416" s="126"/>
      <c r="K1416" s="89"/>
      <c r="L1416" s="391"/>
      <c r="M1416" s="88">
        <v>4000</v>
      </c>
      <c r="N1416" s="89">
        <v>3000</v>
      </c>
      <c r="O1416" s="442">
        <f t="shared" si="184"/>
        <v>75</v>
      </c>
      <c r="P1416" s="89"/>
      <c r="Q1416" s="89"/>
      <c r="R1416" s="362"/>
    </row>
    <row r="1417" spans="1:18" s="212" customFormat="1" ht="12.75">
      <c r="A1417" s="124">
        <v>4260</v>
      </c>
      <c r="B1417" s="277" t="s">
        <v>506</v>
      </c>
      <c r="C1417" s="88">
        <v>40000</v>
      </c>
      <c r="D1417" s="74">
        <f t="shared" si="174"/>
        <v>40000</v>
      </c>
      <c r="E1417" s="89">
        <f t="shared" si="186"/>
        <v>27591</v>
      </c>
      <c r="F1417" s="468">
        <f t="shared" si="173"/>
        <v>68.9775</v>
      </c>
      <c r="G1417" s="89"/>
      <c r="H1417" s="126"/>
      <c r="I1417" s="368"/>
      <c r="J1417" s="126"/>
      <c r="K1417" s="89"/>
      <c r="L1417" s="391"/>
      <c r="M1417" s="88">
        <v>40000</v>
      </c>
      <c r="N1417" s="89">
        <v>27591</v>
      </c>
      <c r="O1417" s="442">
        <f t="shared" si="184"/>
        <v>68.9775</v>
      </c>
      <c r="P1417" s="89"/>
      <c r="Q1417" s="89"/>
      <c r="R1417" s="362"/>
    </row>
    <row r="1418" spans="1:18" s="212" customFormat="1" ht="24">
      <c r="A1418" s="124">
        <v>4270</v>
      </c>
      <c r="B1418" s="277" t="s">
        <v>508</v>
      </c>
      <c r="C1418" s="88">
        <v>8000</v>
      </c>
      <c r="D1418" s="74">
        <f t="shared" si="174"/>
        <v>8000</v>
      </c>
      <c r="E1418" s="89">
        <f t="shared" si="186"/>
        <v>4624</v>
      </c>
      <c r="F1418" s="468">
        <f t="shared" si="173"/>
        <v>57.8</v>
      </c>
      <c r="G1418" s="89"/>
      <c r="H1418" s="126"/>
      <c r="I1418" s="368"/>
      <c r="J1418" s="126"/>
      <c r="K1418" s="89"/>
      <c r="L1418" s="391"/>
      <c r="M1418" s="88">
        <v>8000</v>
      </c>
      <c r="N1418" s="89">
        <v>4624</v>
      </c>
      <c r="O1418" s="442">
        <f t="shared" si="184"/>
        <v>57.8</v>
      </c>
      <c r="P1418" s="89"/>
      <c r="Q1418" s="89"/>
      <c r="R1418" s="362"/>
    </row>
    <row r="1419" spans="1:18" s="212" customFormat="1" ht="24">
      <c r="A1419" s="124">
        <v>4280</v>
      </c>
      <c r="B1419" s="277" t="s">
        <v>545</v>
      </c>
      <c r="C1419" s="88">
        <v>1600</v>
      </c>
      <c r="D1419" s="74">
        <f t="shared" si="174"/>
        <v>1600</v>
      </c>
      <c r="E1419" s="89">
        <f t="shared" si="186"/>
        <v>0</v>
      </c>
      <c r="F1419" s="468">
        <f t="shared" si="173"/>
        <v>0</v>
      </c>
      <c r="G1419" s="89"/>
      <c r="H1419" s="126"/>
      <c r="I1419" s="368"/>
      <c r="J1419" s="126"/>
      <c r="K1419" s="89"/>
      <c r="L1419" s="391"/>
      <c r="M1419" s="88">
        <v>1600</v>
      </c>
      <c r="N1419" s="89"/>
      <c r="O1419" s="442">
        <f t="shared" si="184"/>
        <v>0</v>
      </c>
      <c r="P1419" s="89"/>
      <c r="Q1419" s="89"/>
      <c r="R1419" s="362"/>
    </row>
    <row r="1420" spans="1:18" s="212" customFormat="1" ht="24">
      <c r="A1420" s="124">
        <v>4300</v>
      </c>
      <c r="B1420" s="277" t="s">
        <v>510</v>
      </c>
      <c r="C1420" s="88">
        <v>15000</v>
      </c>
      <c r="D1420" s="74">
        <f t="shared" si="174"/>
        <v>15000</v>
      </c>
      <c r="E1420" s="89">
        <f t="shared" si="186"/>
        <v>7371</v>
      </c>
      <c r="F1420" s="468">
        <f t="shared" si="173"/>
        <v>49.14</v>
      </c>
      <c r="G1420" s="89"/>
      <c r="H1420" s="126"/>
      <c r="I1420" s="368"/>
      <c r="J1420" s="126"/>
      <c r="K1420" s="89"/>
      <c r="L1420" s="391"/>
      <c r="M1420" s="88">
        <v>15000</v>
      </c>
      <c r="N1420" s="89">
        <v>7371</v>
      </c>
      <c r="O1420" s="442">
        <f t="shared" si="184"/>
        <v>49.14</v>
      </c>
      <c r="P1420" s="89"/>
      <c r="Q1420" s="89"/>
      <c r="R1420" s="362"/>
    </row>
    <row r="1421" spans="1:18" s="212" customFormat="1" ht="24">
      <c r="A1421" s="124">
        <v>4350</v>
      </c>
      <c r="B1421" s="277" t="s">
        <v>48</v>
      </c>
      <c r="C1421" s="88">
        <v>600</v>
      </c>
      <c r="D1421" s="74">
        <f t="shared" si="174"/>
        <v>600</v>
      </c>
      <c r="E1421" s="89">
        <f t="shared" si="186"/>
        <v>380</v>
      </c>
      <c r="F1421" s="468">
        <f t="shared" si="173"/>
        <v>63.33333333333333</v>
      </c>
      <c r="G1421" s="89"/>
      <c r="H1421" s="126"/>
      <c r="I1421" s="368"/>
      <c r="J1421" s="126"/>
      <c r="K1421" s="89"/>
      <c r="L1421" s="391"/>
      <c r="M1421" s="88">
        <v>600</v>
      </c>
      <c r="N1421" s="89">
        <v>380</v>
      </c>
      <c r="O1421" s="442">
        <f t="shared" si="184"/>
        <v>63.33333333333333</v>
      </c>
      <c r="P1421" s="89"/>
      <c r="Q1421" s="89"/>
      <c r="R1421" s="362"/>
    </row>
    <row r="1422" spans="1:18" s="212" customFormat="1" ht="48">
      <c r="A1422" s="172">
        <v>4360</v>
      </c>
      <c r="B1422" s="337" t="s">
        <v>297</v>
      </c>
      <c r="C1422" s="88">
        <v>1000</v>
      </c>
      <c r="D1422" s="74">
        <f>G1422+J1422+P1422+M1422</f>
        <v>1000</v>
      </c>
      <c r="E1422" s="89">
        <f>SUM(H1422+K1422+N1422+Q1422)</f>
        <v>586</v>
      </c>
      <c r="F1422" s="468">
        <f>E1422/D1422*100</f>
        <v>58.599999999999994</v>
      </c>
      <c r="G1422" s="89"/>
      <c r="H1422" s="126"/>
      <c r="I1422" s="368"/>
      <c r="J1422" s="126"/>
      <c r="K1422" s="89"/>
      <c r="L1422" s="391"/>
      <c r="M1422" s="88">
        <v>1000</v>
      </c>
      <c r="N1422" s="89">
        <v>586</v>
      </c>
      <c r="O1422" s="442">
        <f t="shared" si="184"/>
        <v>58.599999999999994</v>
      </c>
      <c r="P1422" s="89"/>
      <c r="Q1422" s="89"/>
      <c r="R1422" s="362"/>
    </row>
    <row r="1423" spans="1:18" s="212" customFormat="1" ht="48">
      <c r="A1423" s="172">
        <v>4370</v>
      </c>
      <c r="B1423" s="337" t="s">
        <v>298</v>
      </c>
      <c r="C1423" s="88">
        <v>2200</v>
      </c>
      <c r="D1423" s="74">
        <f>G1423+J1423+P1423+M1423</f>
        <v>2200</v>
      </c>
      <c r="E1423" s="89">
        <f>SUM(H1423+K1423+N1423+Q1423)</f>
        <v>1436</v>
      </c>
      <c r="F1423" s="468">
        <f>E1423/D1423*100</f>
        <v>65.27272727272727</v>
      </c>
      <c r="G1423" s="89"/>
      <c r="H1423" s="126"/>
      <c r="I1423" s="368"/>
      <c r="J1423" s="126"/>
      <c r="K1423" s="89"/>
      <c r="L1423" s="391"/>
      <c r="M1423" s="88">
        <v>2200</v>
      </c>
      <c r="N1423" s="89">
        <f>1446-10</f>
        <v>1436</v>
      </c>
      <c r="O1423" s="442">
        <f t="shared" si="184"/>
        <v>65.27272727272727</v>
      </c>
      <c r="P1423" s="89"/>
      <c r="Q1423" s="89"/>
      <c r="R1423" s="362"/>
    </row>
    <row r="1424" spans="1:18" s="212" customFormat="1" ht="36">
      <c r="A1424" s="124">
        <v>4390</v>
      </c>
      <c r="B1424" s="206" t="s">
        <v>268</v>
      </c>
      <c r="C1424" s="88">
        <v>1000</v>
      </c>
      <c r="D1424" s="74">
        <f>G1424+J1424+P1424+M1424</f>
        <v>1000</v>
      </c>
      <c r="E1424" s="89">
        <f>SUM(H1424+K1424+N1424+Q1424)</f>
        <v>0</v>
      </c>
      <c r="F1424" s="468">
        <f>E1424/D1424*100</f>
        <v>0</v>
      </c>
      <c r="G1424" s="89"/>
      <c r="H1424" s="126"/>
      <c r="I1424" s="368"/>
      <c r="J1424" s="126"/>
      <c r="K1424" s="89"/>
      <c r="L1424" s="391"/>
      <c r="M1424" s="88">
        <v>1000</v>
      </c>
      <c r="N1424" s="89"/>
      <c r="O1424" s="442">
        <f t="shared" si="184"/>
        <v>0</v>
      </c>
      <c r="P1424" s="89"/>
      <c r="Q1424" s="89"/>
      <c r="R1424" s="362"/>
    </row>
    <row r="1425" spans="1:18" s="212" customFormat="1" ht="24">
      <c r="A1425" s="124">
        <v>4410</v>
      </c>
      <c r="B1425" s="277" t="s">
        <v>484</v>
      </c>
      <c r="C1425" s="88">
        <v>300</v>
      </c>
      <c r="D1425" s="74">
        <f t="shared" si="174"/>
        <v>300</v>
      </c>
      <c r="E1425" s="89">
        <f t="shared" si="186"/>
        <v>29</v>
      </c>
      <c r="F1425" s="468">
        <f t="shared" si="173"/>
        <v>9.666666666666666</v>
      </c>
      <c r="G1425" s="89"/>
      <c r="H1425" s="126"/>
      <c r="I1425" s="368"/>
      <c r="J1425" s="126"/>
      <c r="K1425" s="89"/>
      <c r="L1425" s="391"/>
      <c r="M1425" s="88">
        <v>300</v>
      </c>
      <c r="N1425" s="89">
        <v>29</v>
      </c>
      <c r="O1425" s="442">
        <f t="shared" si="184"/>
        <v>9.666666666666666</v>
      </c>
      <c r="P1425" s="89"/>
      <c r="Q1425" s="89"/>
      <c r="R1425" s="362"/>
    </row>
    <row r="1426" spans="1:18" s="212" customFormat="1" ht="12.75">
      <c r="A1426" s="158">
        <v>4440</v>
      </c>
      <c r="B1426" s="350" t="s">
        <v>514</v>
      </c>
      <c r="C1426" s="160">
        <v>42500</v>
      </c>
      <c r="D1426" s="161">
        <f t="shared" si="174"/>
        <v>48100</v>
      </c>
      <c r="E1426" s="155">
        <f t="shared" si="186"/>
        <v>36200</v>
      </c>
      <c r="F1426" s="469">
        <f>E1426/D1426*100</f>
        <v>75.25987525987526</v>
      </c>
      <c r="G1426" s="155"/>
      <c r="H1426" s="162"/>
      <c r="I1426" s="387"/>
      <c r="J1426" s="162"/>
      <c r="K1426" s="155"/>
      <c r="L1426" s="415"/>
      <c r="M1426" s="160">
        <f>42500+5600</f>
        <v>48100</v>
      </c>
      <c r="N1426" s="155">
        <v>36200</v>
      </c>
      <c r="O1426" s="462">
        <f t="shared" si="184"/>
        <v>75.25987525987526</v>
      </c>
      <c r="P1426" s="155"/>
      <c r="Q1426" s="155"/>
      <c r="R1426" s="366"/>
    </row>
    <row r="1427" spans="1:18" s="212" customFormat="1" ht="36">
      <c r="A1427" s="172">
        <v>4700</v>
      </c>
      <c r="B1427" s="337" t="s">
        <v>285</v>
      </c>
      <c r="C1427" s="88">
        <v>3000</v>
      </c>
      <c r="D1427" s="74">
        <f aca="true" t="shared" si="187" ref="D1427:D1493">G1427+J1427+P1427+M1427</f>
        <v>3000</v>
      </c>
      <c r="E1427" s="89">
        <f t="shared" si="186"/>
        <v>1680</v>
      </c>
      <c r="F1427" s="468">
        <f>E1427/D1427*100</f>
        <v>56.00000000000001</v>
      </c>
      <c r="G1427" s="89"/>
      <c r="H1427" s="126"/>
      <c r="I1427" s="368"/>
      <c r="J1427" s="126"/>
      <c r="K1427" s="89"/>
      <c r="L1427" s="391"/>
      <c r="M1427" s="88">
        <v>3000</v>
      </c>
      <c r="N1427" s="89">
        <v>1680</v>
      </c>
      <c r="O1427" s="442">
        <f t="shared" si="184"/>
        <v>56.00000000000001</v>
      </c>
      <c r="P1427" s="89"/>
      <c r="Q1427" s="89"/>
      <c r="R1427" s="362"/>
    </row>
    <row r="1428" spans="1:18" s="212" customFormat="1" ht="60">
      <c r="A1428" s="172">
        <v>4740</v>
      </c>
      <c r="B1428" s="337" t="s">
        <v>290</v>
      </c>
      <c r="C1428" s="88">
        <v>1500</v>
      </c>
      <c r="D1428" s="74">
        <f t="shared" si="187"/>
        <v>1500</v>
      </c>
      <c r="E1428" s="89">
        <f>SUM(H1428+K1428+N1428+Q1428)</f>
        <v>204</v>
      </c>
      <c r="F1428" s="468">
        <f>E1428/D1428*100</f>
        <v>13.600000000000001</v>
      </c>
      <c r="G1428" s="89"/>
      <c r="H1428" s="126"/>
      <c r="I1428" s="368"/>
      <c r="J1428" s="126"/>
      <c r="K1428" s="89"/>
      <c r="L1428" s="391"/>
      <c r="M1428" s="88">
        <v>1500</v>
      </c>
      <c r="N1428" s="89">
        <v>204</v>
      </c>
      <c r="O1428" s="442">
        <f t="shared" si="184"/>
        <v>13.600000000000001</v>
      </c>
      <c r="P1428" s="89"/>
      <c r="Q1428" s="89"/>
      <c r="R1428" s="362"/>
    </row>
    <row r="1429" spans="1:18" s="212" customFormat="1" ht="36">
      <c r="A1429" s="172">
        <v>4750</v>
      </c>
      <c r="B1429" s="337" t="s">
        <v>291</v>
      </c>
      <c r="C1429" s="88">
        <v>2000</v>
      </c>
      <c r="D1429" s="74">
        <f t="shared" si="187"/>
        <v>2000</v>
      </c>
      <c r="E1429" s="89">
        <f>SUM(H1429+K1429+N1429+Q1429)</f>
        <v>744</v>
      </c>
      <c r="F1429" s="468">
        <f>E1429/D1429*100</f>
        <v>37.2</v>
      </c>
      <c r="G1429" s="89"/>
      <c r="H1429" s="126"/>
      <c r="I1429" s="368"/>
      <c r="J1429" s="126"/>
      <c r="K1429" s="89"/>
      <c r="L1429" s="391"/>
      <c r="M1429" s="88">
        <v>2000</v>
      </c>
      <c r="N1429" s="89">
        <v>744</v>
      </c>
      <c r="O1429" s="442">
        <f t="shared" si="184"/>
        <v>37.2</v>
      </c>
      <c r="P1429" s="89"/>
      <c r="Q1429" s="89"/>
      <c r="R1429" s="362"/>
    </row>
    <row r="1430" spans="1:18" s="212" customFormat="1" ht="24">
      <c r="A1430" s="172">
        <v>6050</v>
      </c>
      <c r="B1430" s="337" t="s">
        <v>574</v>
      </c>
      <c r="C1430" s="88"/>
      <c r="D1430" s="74">
        <f t="shared" si="187"/>
        <v>7000</v>
      </c>
      <c r="E1430" s="89">
        <f>SUM(H1430+K1430+N1430+Q1430)</f>
        <v>6518</v>
      </c>
      <c r="F1430" s="468">
        <f>E1430/D1430*100</f>
        <v>93.11428571428571</v>
      </c>
      <c r="G1430" s="89"/>
      <c r="H1430" s="126"/>
      <c r="I1430" s="368"/>
      <c r="J1430" s="126"/>
      <c r="K1430" s="89"/>
      <c r="L1430" s="391"/>
      <c r="M1430" s="88">
        <v>7000</v>
      </c>
      <c r="N1430" s="89">
        <v>6518</v>
      </c>
      <c r="O1430" s="442">
        <f t="shared" si="184"/>
        <v>93.11428571428571</v>
      </c>
      <c r="P1430" s="89"/>
      <c r="Q1430" s="89"/>
      <c r="R1430" s="362"/>
    </row>
    <row r="1431" spans="1:18" s="212" customFormat="1" ht="36">
      <c r="A1431" s="172">
        <v>6060</v>
      </c>
      <c r="B1431" s="337" t="s">
        <v>49</v>
      </c>
      <c r="C1431" s="160">
        <v>9000</v>
      </c>
      <c r="D1431" s="161">
        <f t="shared" si="187"/>
        <v>9000</v>
      </c>
      <c r="E1431" s="155">
        <f t="shared" si="186"/>
        <v>9000</v>
      </c>
      <c r="F1431" s="469">
        <f aca="true" t="shared" si="188" ref="F1431:F1452">E1431/D1431*100</f>
        <v>100</v>
      </c>
      <c r="G1431" s="155"/>
      <c r="H1431" s="162"/>
      <c r="I1431" s="387"/>
      <c r="J1431" s="162"/>
      <c r="K1431" s="155"/>
      <c r="L1431" s="415"/>
      <c r="M1431" s="160">
        <v>9000</v>
      </c>
      <c r="N1431" s="155">
        <v>9000</v>
      </c>
      <c r="O1431" s="442">
        <f t="shared" si="184"/>
        <v>100</v>
      </c>
      <c r="P1431" s="155"/>
      <c r="Q1431" s="155"/>
      <c r="R1431" s="366"/>
    </row>
    <row r="1432" spans="1:18" s="118" customFormat="1" ht="60">
      <c r="A1432" s="119">
        <v>85406</v>
      </c>
      <c r="B1432" s="276" t="s">
        <v>245</v>
      </c>
      <c r="C1432" s="121">
        <f>SUM(C1433:C1455)</f>
        <v>1308000</v>
      </c>
      <c r="D1432" s="95">
        <f t="shared" si="187"/>
        <v>1319029</v>
      </c>
      <c r="E1432" s="84">
        <f>H1432+K1432+Q1432+N1432</f>
        <v>726152</v>
      </c>
      <c r="F1432" s="467">
        <f t="shared" si="188"/>
        <v>55.05201174500334</v>
      </c>
      <c r="G1432" s="149"/>
      <c r="H1432" s="148"/>
      <c r="I1432" s="381"/>
      <c r="J1432" s="148"/>
      <c r="K1432" s="149"/>
      <c r="L1432" s="406"/>
      <c r="M1432" s="84">
        <f>SUM(M1433:M1456)+M1462</f>
        <v>1319029</v>
      </c>
      <c r="N1432" s="84">
        <f>SUM(N1433:N1456)+N1462</f>
        <v>726152</v>
      </c>
      <c r="O1432" s="448">
        <f t="shared" si="184"/>
        <v>55.05201174500334</v>
      </c>
      <c r="P1432" s="84"/>
      <c r="Q1432" s="84"/>
      <c r="R1432" s="372"/>
    </row>
    <row r="1433" spans="1:18" s="118" customFormat="1" ht="36">
      <c r="A1433" s="124">
        <v>3020</v>
      </c>
      <c r="B1433" s="277" t="s">
        <v>257</v>
      </c>
      <c r="C1433" s="88">
        <v>3500</v>
      </c>
      <c r="D1433" s="74">
        <f t="shared" si="187"/>
        <v>3500</v>
      </c>
      <c r="E1433" s="89">
        <f aca="true" t="shared" si="189" ref="E1433:E1452">SUM(H1433+K1433+N1433+Q1433)</f>
        <v>172</v>
      </c>
      <c r="F1433" s="468">
        <f t="shared" si="188"/>
        <v>4.914285714285714</v>
      </c>
      <c r="G1433" s="89"/>
      <c r="H1433" s="126"/>
      <c r="I1433" s="368"/>
      <c r="J1433" s="126"/>
      <c r="K1433" s="89"/>
      <c r="L1433" s="391"/>
      <c r="M1433" s="88">
        <v>3500</v>
      </c>
      <c r="N1433" s="89">
        <v>172</v>
      </c>
      <c r="O1433" s="442">
        <f t="shared" si="184"/>
        <v>4.914285714285714</v>
      </c>
      <c r="P1433" s="89"/>
      <c r="Q1433" s="89"/>
      <c r="R1433" s="362"/>
    </row>
    <row r="1434" spans="1:18" s="118" customFormat="1" ht="24">
      <c r="A1434" s="124">
        <v>4010</v>
      </c>
      <c r="B1434" s="277" t="s">
        <v>492</v>
      </c>
      <c r="C1434" s="88">
        <v>890000</v>
      </c>
      <c r="D1434" s="74">
        <f t="shared" si="187"/>
        <v>890000</v>
      </c>
      <c r="E1434" s="89">
        <f t="shared" si="189"/>
        <v>467538</v>
      </c>
      <c r="F1434" s="468">
        <f t="shared" si="188"/>
        <v>52.5323595505618</v>
      </c>
      <c r="G1434" s="89"/>
      <c r="H1434" s="126"/>
      <c r="I1434" s="368"/>
      <c r="J1434" s="126"/>
      <c r="K1434" s="89"/>
      <c r="L1434" s="391"/>
      <c r="M1434" s="88">
        <v>890000</v>
      </c>
      <c r="N1434" s="89">
        <v>467538</v>
      </c>
      <c r="O1434" s="442">
        <f t="shared" si="184"/>
        <v>52.5323595505618</v>
      </c>
      <c r="P1434" s="89"/>
      <c r="Q1434" s="89"/>
      <c r="R1434" s="362"/>
    </row>
    <row r="1435" spans="1:18" s="118" customFormat="1" ht="24">
      <c r="A1435" s="124">
        <v>4040</v>
      </c>
      <c r="B1435" s="277" t="s">
        <v>496</v>
      </c>
      <c r="C1435" s="88">
        <v>70000</v>
      </c>
      <c r="D1435" s="74">
        <f t="shared" si="187"/>
        <v>71267</v>
      </c>
      <c r="E1435" s="89">
        <f t="shared" si="189"/>
        <v>71266</v>
      </c>
      <c r="F1435" s="468">
        <f t="shared" si="188"/>
        <v>99.99859682602046</v>
      </c>
      <c r="G1435" s="89"/>
      <c r="H1435" s="126"/>
      <c r="I1435" s="368"/>
      <c r="J1435" s="126"/>
      <c r="K1435" s="89"/>
      <c r="L1435" s="391"/>
      <c r="M1435" s="88">
        <f>70000+1267</f>
        <v>71267</v>
      </c>
      <c r="N1435" s="89">
        <v>71266</v>
      </c>
      <c r="O1435" s="442">
        <f t="shared" si="184"/>
        <v>99.99859682602046</v>
      </c>
      <c r="P1435" s="89"/>
      <c r="Q1435" s="89"/>
      <c r="R1435" s="362"/>
    </row>
    <row r="1436" spans="1:18" s="118" customFormat="1" ht="24">
      <c r="A1436" s="124">
        <v>4110</v>
      </c>
      <c r="B1436" s="277" t="s">
        <v>498</v>
      </c>
      <c r="C1436" s="88">
        <v>168000</v>
      </c>
      <c r="D1436" s="74">
        <f t="shared" si="187"/>
        <v>166733</v>
      </c>
      <c r="E1436" s="89">
        <f t="shared" si="189"/>
        <v>79906</v>
      </c>
      <c r="F1436" s="468">
        <f t="shared" si="188"/>
        <v>47.92452603863662</v>
      </c>
      <c r="G1436" s="89"/>
      <c r="H1436" s="126"/>
      <c r="I1436" s="368"/>
      <c r="J1436" s="126"/>
      <c r="K1436" s="89"/>
      <c r="L1436" s="391"/>
      <c r="M1436" s="88">
        <f>168000-1267</f>
        <v>166733</v>
      </c>
      <c r="N1436" s="89">
        <v>79906</v>
      </c>
      <c r="O1436" s="442">
        <f t="shared" si="184"/>
        <v>47.92452603863662</v>
      </c>
      <c r="P1436" s="89"/>
      <c r="Q1436" s="89"/>
      <c r="R1436" s="362"/>
    </row>
    <row r="1437" spans="1:18" s="118" customFormat="1" ht="12.75">
      <c r="A1437" s="124">
        <v>4120</v>
      </c>
      <c r="B1437" s="277" t="s">
        <v>571</v>
      </c>
      <c r="C1437" s="88">
        <v>23500</v>
      </c>
      <c r="D1437" s="74">
        <f t="shared" si="187"/>
        <v>23500</v>
      </c>
      <c r="E1437" s="89">
        <f>SUM(H1437+K1437+N1437+Q1437)</f>
        <v>12264</v>
      </c>
      <c r="F1437" s="468">
        <f>E1437/D1437*100</f>
        <v>52.187234042553186</v>
      </c>
      <c r="G1437" s="89"/>
      <c r="H1437" s="126"/>
      <c r="I1437" s="368"/>
      <c r="J1437" s="126"/>
      <c r="K1437" s="89"/>
      <c r="L1437" s="391"/>
      <c r="M1437" s="88">
        <v>23500</v>
      </c>
      <c r="N1437" s="89">
        <v>12264</v>
      </c>
      <c r="O1437" s="442">
        <f t="shared" si="184"/>
        <v>52.187234042553186</v>
      </c>
      <c r="P1437" s="89"/>
      <c r="Q1437" s="89"/>
      <c r="R1437" s="362"/>
    </row>
    <row r="1438" spans="1:18" s="118" customFormat="1" ht="12.75">
      <c r="A1438" s="124">
        <v>4140</v>
      </c>
      <c r="B1438" s="277" t="s">
        <v>544</v>
      </c>
      <c r="C1438" s="88">
        <v>23300</v>
      </c>
      <c r="D1438" s="74">
        <f t="shared" si="187"/>
        <v>23300</v>
      </c>
      <c r="E1438" s="89">
        <f t="shared" si="189"/>
        <v>11713</v>
      </c>
      <c r="F1438" s="468">
        <f t="shared" si="188"/>
        <v>50.27038626609443</v>
      </c>
      <c r="G1438" s="89"/>
      <c r="H1438" s="126"/>
      <c r="I1438" s="368"/>
      <c r="J1438" s="126"/>
      <c r="K1438" s="89"/>
      <c r="L1438" s="391"/>
      <c r="M1438" s="88">
        <v>23300</v>
      </c>
      <c r="N1438" s="89">
        <v>11713</v>
      </c>
      <c r="O1438" s="442">
        <f t="shared" si="184"/>
        <v>50.27038626609443</v>
      </c>
      <c r="P1438" s="89"/>
      <c r="Q1438" s="89"/>
      <c r="R1438" s="362"/>
    </row>
    <row r="1439" spans="1:18" s="118" customFormat="1" ht="24">
      <c r="A1439" s="124">
        <v>4170</v>
      </c>
      <c r="B1439" s="277" t="s">
        <v>536</v>
      </c>
      <c r="C1439" s="88">
        <v>8000</v>
      </c>
      <c r="D1439" s="74">
        <f t="shared" si="187"/>
        <v>8000</v>
      </c>
      <c r="E1439" s="89">
        <f>SUM(H1439+K1439+N1439+Q1439)</f>
        <v>3567</v>
      </c>
      <c r="F1439" s="468">
        <f>E1439/D1439*100</f>
        <v>44.587500000000006</v>
      </c>
      <c r="G1439" s="89"/>
      <c r="H1439" s="126"/>
      <c r="I1439" s="368"/>
      <c r="J1439" s="126"/>
      <c r="K1439" s="89"/>
      <c r="L1439" s="391"/>
      <c r="M1439" s="88">
        <v>8000</v>
      </c>
      <c r="N1439" s="89">
        <v>3567</v>
      </c>
      <c r="O1439" s="442">
        <f t="shared" si="184"/>
        <v>44.587500000000006</v>
      </c>
      <c r="P1439" s="89"/>
      <c r="Q1439" s="89"/>
      <c r="R1439" s="362"/>
    </row>
    <row r="1440" spans="1:18" s="118" customFormat="1" ht="24">
      <c r="A1440" s="124">
        <v>4210</v>
      </c>
      <c r="B1440" s="277" t="s">
        <v>502</v>
      </c>
      <c r="C1440" s="88">
        <v>16000</v>
      </c>
      <c r="D1440" s="74">
        <f t="shared" si="187"/>
        <v>14000</v>
      </c>
      <c r="E1440" s="89">
        <f t="shared" si="189"/>
        <v>5958</v>
      </c>
      <c r="F1440" s="468">
        <f t="shared" si="188"/>
        <v>42.55714285714286</v>
      </c>
      <c r="G1440" s="89"/>
      <c r="H1440" s="126"/>
      <c r="I1440" s="368"/>
      <c r="J1440" s="126"/>
      <c r="K1440" s="89"/>
      <c r="L1440" s="391"/>
      <c r="M1440" s="88">
        <f>16000-2000</f>
        <v>14000</v>
      </c>
      <c r="N1440" s="89">
        <f>5957+1</f>
        <v>5958</v>
      </c>
      <c r="O1440" s="442">
        <f t="shared" si="184"/>
        <v>42.55714285714286</v>
      </c>
      <c r="P1440" s="89"/>
      <c r="Q1440" s="89"/>
      <c r="R1440" s="362"/>
    </row>
    <row r="1441" spans="1:18" s="118" customFormat="1" ht="36">
      <c r="A1441" s="124">
        <v>4240</v>
      </c>
      <c r="B1441" s="277" t="s">
        <v>129</v>
      </c>
      <c r="C1441" s="88">
        <v>4000</v>
      </c>
      <c r="D1441" s="74">
        <f t="shared" si="187"/>
        <v>4000</v>
      </c>
      <c r="E1441" s="89">
        <f t="shared" si="189"/>
        <v>624</v>
      </c>
      <c r="F1441" s="468">
        <f t="shared" si="188"/>
        <v>15.6</v>
      </c>
      <c r="G1441" s="89"/>
      <c r="H1441" s="126"/>
      <c r="I1441" s="368"/>
      <c r="J1441" s="126"/>
      <c r="K1441" s="89"/>
      <c r="L1441" s="391"/>
      <c r="M1441" s="88">
        <v>4000</v>
      </c>
      <c r="N1441" s="89">
        <v>624</v>
      </c>
      <c r="O1441" s="442">
        <f t="shared" si="184"/>
        <v>15.6</v>
      </c>
      <c r="P1441" s="89"/>
      <c r="Q1441" s="89"/>
      <c r="R1441" s="362"/>
    </row>
    <row r="1442" spans="1:18" s="118" customFormat="1" ht="12.75">
      <c r="A1442" s="124">
        <v>4260</v>
      </c>
      <c r="B1442" s="277" t="s">
        <v>506</v>
      </c>
      <c r="C1442" s="88">
        <v>20000</v>
      </c>
      <c r="D1442" s="74">
        <f t="shared" si="187"/>
        <v>20000</v>
      </c>
      <c r="E1442" s="89">
        <f t="shared" si="189"/>
        <v>14123</v>
      </c>
      <c r="F1442" s="468">
        <f t="shared" si="188"/>
        <v>70.61500000000001</v>
      </c>
      <c r="G1442" s="89"/>
      <c r="H1442" s="126"/>
      <c r="I1442" s="368"/>
      <c r="J1442" s="126"/>
      <c r="K1442" s="89"/>
      <c r="L1442" s="391"/>
      <c r="M1442" s="88">
        <v>20000</v>
      </c>
      <c r="N1442" s="89">
        <v>14123</v>
      </c>
      <c r="O1442" s="442">
        <f t="shared" si="184"/>
        <v>70.61500000000001</v>
      </c>
      <c r="P1442" s="89"/>
      <c r="Q1442" s="89"/>
      <c r="R1442" s="362"/>
    </row>
    <row r="1443" spans="1:18" s="118" customFormat="1" ht="24">
      <c r="A1443" s="124">
        <v>4270</v>
      </c>
      <c r="B1443" s="277" t="s">
        <v>508</v>
      </c>
      <c r="C1443" s="88"/>
      <c r="D1443" s="74">
        <f t="shared" si="187"/>
        <v>1500</v>
      </c>
      <c r="E1443" s="89">
        <f>SUM(H1443+K1443+N1443+Q1443)</f>
        <v>0</v>
      </c>
      <c r="F1443" s="468">
        <f>E1443/D1443*100</f>
        <v>0</v>
      </c>
      <c r="G1443" s="89"/>
      <c r="H1443" s="126"/>
      <c r="I1443" s="368"/>
      <c r="J1443" s="126"/>
      <c r="K1443" s="89"/>
      <c r="L1443" s="391"/>
      <c r="M1443" s="88">
        <v>1500</v>
      </c>
      <c r="N1443" s="89"/>
      <c r="O1443" s="442">
        <f t="shared" si="184"/>
        <v>0</v>
      </c>
      <c r="P1443" s="89"/>
      <c r="Q1443" s="89"/>
      <c r="R1443" s="362"/>
    </row>
    <row r="1444" spans="1:18" s="118" customFormat="1" ht="24">
      <c r="A1444" s="158">
        <v>4280</v>
      </c>
      <c r="B1444" s="278" t="s">
        <v>545</v>
      </c>
      <c r="C1444" s="160">
        <v>700</v>
      </c>
      <c r="D1444" s="161">
        <f t="shared" si="187"/>
        <v>700</v>
      </c>
      <c r="E1444" s="155">
        <f t="shared" si="189"/>
        <v>0</v>
      </c>
      <c r="F1444" s="469">
        <f t="shared" si="188"/>
        <v>0</v>
      </c>
      <c r="G1444" s="155"/>
      <c r="H1444" s="162"/>
      <c r="I1444" s="387"/>
      <c r="J1444" s="162"/>
      <c r="K1444" s="155"/>
      <c r="L1444" s="415"/>
      <c r="M1444" s="160">
        <v>700</v>
      </c>
      <c r="N1444" s="155"/>
      <c r="O1444" s="462">
        <f t="shared" si="184"/>
        <v>0</v>
      </c>
      <c r="P1444" s="155"/>
      <c r="Q1444" s="155"/>
      <c r="R1444" s="366"/>
    </row>
    <row r="1445" spans="1:18" s="118" customFormat="1" ht="24">
      <c r="A1445" s="124">
        <v>4300</v>
      </c>
      <c r="B1445" s="277" t="s">
        <v>510</v>
      </c>
      <c r="C1445" s="88">
        <v>10000</v>
      </c>
      <c r="D1445" s="74">
        <f t="shared" si="187"/>
        <v>15000</v>
      </c>
      <c r="E1445" s="89">
        <f t="shared" si="189"/>
        <v>9512</v>
      </c>
      <c r="F1445" s="468">
        <f t="shared" si="188"/>
        <v>63.413333333333334</v>
      </c>
      <c r="G1445" s="89"/>
      <c r="H1445" s="126"/>
      <c r="I1445" s="368"/>
      <c r="J1445" s="126"/>
      <c r="K1445" s="89"/>
      <c r="L1445" s="391"/>
      <c r="M1445" s="88">
        <f>10000+5000</f>
        <v>15000</v>
      </c>
      <c r="N1445" s="89">
        <v>9512</v>
      </c>
      <c r="O1445" s="442">
        <f t="shared" si="184"/>
        <v>63.413333333333334</v>
      </c>
      <c r="P1445" s="89"/>
      <c r="Q1445" s="89"/>
      <c r="R1445" s="362"/>
    </row>
    <row r="1446" spans="1:18" s="118" customFormat="1" ht="24">
      <c r="A1446" s="124">
        <v>4350</v>
      </c>
      <c r="B1446" s="277" t="s">
        <v>48</v>
      </c>
      <c r="C1446" s="88">
        <v>1700</v>
      </c>
      <c r="D1446" s="74">
        <f t="shared" si="187"/>
        <v>1700</v>
      </c>
      <c r="E1446" s="89">
        <f t="shared" si="189"/>
        <v>800</v>
      </c>
      <c r="F1446" s="468">
        <f t="shared" si="188"/>
        <v>47.05882352941176</v>
      </c>
      <c r="G1446" s="89"/>
      <c r="H1446" s="126"/>
      <c r="I1446" s="368"/>
      <c r="J1446" s="126"/>
      <c r="K1446" s="89"/>
      <c r="L1446" s="391"/>
      <c r="M1446" s="88">
        <v>1700</v>
      </c>
      <c r="N1446" s="89">
        <v>800</v>
      </c>
      <c r="O1446" s="442">
        <f t="shared" si="184"/>
        <v>47.05882352941176</v>
      </c>
      <c r="P1446" s="89"/>
      <c r="Q1446" s="89"/>
      <c r="R1446" s="362"/>
    </row>
    <row r="1447" spans="1:18" s="118" customFormat="1" ht="48">
      <c r="A1447" s="124">
        <v>4360</v>
      </c>
      <c r="B1447" s="337" t="s">
        <v>297</v>
      </c>
      <c r="C1447" s="88">
        <v>3600</v>
      </c>
      <c r="D1447" s="74">
        <f t="shared" si="187"/>
        <v>3600</v>
      </c>
      <c r="E1447" s="89">
        <f>SUM(H1447+K1447+N1447+Q1447)</f>
        <v>2069</v>
      </c>
      <c r="F1447" s="468">
        <f>E1447/D1447*100</f>
        <v>57.47222222222222</v>
      </c>
      <c r="G1447" s="89"/>
      <c r="H1447" s="126"/>
      <c r="I1447" s="368"/>
      <c r="J1447" s="126"/>
      <c r="K1447" s="89"/>
      <c r="L1447" s="391"/>
      <c r="M1447" s="88">
        <v>3600</v>
      </c>
      <c r="N1447" s="89">
        <v>2069</v>
      </c>
      <c r="O1447" s="442">
        <f t="shared" si="184"/>
        <v>57.47222222222222</v>
      </c>
      <c r="P1447" s="89"/>
      <c r="Q1447" s="89"/>
      <c r="R1447" s="362"/>
    </row>
    <row r="1448" spans="1:18" s="118" customFormat="1" ht="48">
      <c r="A1448" s="172">
        <v>4370</v>
      </c>
      <c r="B1448" s="337" t="s">
        <v>298</v>
      </c>
      <c r="C1448" s="88">
        <v>5400</v>
      </c>
      <c r="D1448" s="74">
        <f>G1448+J1448+P1448+M1448</f>
        <v>4900</v>
      </c>
      <c r="E1448" s="89">
        <f>SUM(H1448+K1448+N1448+Q1448)</f>
        <v>1849</v>
      </c>
      <c r="F1448" s="468">
        <f>E1448/D1448*100</f>
        <v>37.73469387755102</v>
      </c>
      <c r="G1448" s="89"/>
      <c r="H1448" s="126"/>
      <c r="I1448" s="368"/>
      <c r="J1448" s="126"/>
      <c r="K1448" s="89"/>
      <c r="L1448" s="391"/>
      <c r="M1448" s="88">
        <f>5400-500</f>
        <v>4900</v>
      </c>
      <c r="N1448" s="89">
        <v>1849</v>
      </c>
      <c r="O1448" s="442">
        <f t="shared" si="184"/>
        <v>37.73469387755102</v>
      </c>
      <c r="P1448" s="89"/>
      <c r="Q1448" s="89"/>
      <c r="R1448" s="362"/>
    </row>
    <row r="1449" spans="1:18" s="118" customFormat="1" ht="36">
      <c r="A1449" s="124">
        <v>4390</v>
      </c>
      <c r="B1449" s="206" t="s">
        <v>268</v>
      </c>
      <c r="C1449" s="88"/>
      <c r="D1449" s="74">
        <f>G1449+J1449+P1449+M1449</f>
        <v>3000</v>
      </c>
      <c r="E1449" s="89">
        <f>SUM(H1449+K1449+N1449+Q1449)</f>
        <v>2034</v>
      </c>
      <c r="F1449" s="468">
        <f>E1449/D1449*100</f>
        <v>67.80000000000001</v>
      </c>
      <c r="G1449" s="89"/>
      <c r="H1449" s="126"/>
      <c r="I1449" s="368"/>
      <c r="J1449" s="126"/>
      <c r="K1449" s="89"/>
      <c r="L1449" s="391"/>
      <c r="M1449" s="88">
        <v>3000</v>
      </c>
      <c r="N1449" s="89">
        <v>2034</v>
      </c>
      <c r="O1449" s="442">
        <f t="shared" si="184"/>
        <v>67.80000000000001</v>
      </c>
      <c r="P1449" s="89"/>
      <c r="Q1449" s="89"/>
      <c r="R1449" s="362"/>
    </row>
    <row r="1450" spans="1:18" s="118" customFormat="1" ht="24">
      <c r="A1450" s="124">
        <v>4410</v>
      </c>
      <c r="B1450" s="277" t="s">
        <v>484</v>
      </c>
      <c r="C1450" s="88">
        <v>400</v>
      </c>
      <c r="D1450" s="74">
        <f>G1450+J1450+P1450+M1450</f>
        <v>400</v>
      </c>
      <c r="E1450" s="89">
        <f>SUM(H1450+K1450+N1450+Q1450)</f>
        <v>290</v>
      </c>
      <c r="F1450" s="468">
        <f>E1450/D1450*100</f>
        <v>72.5</v>
      </c>
      <c r="G1450" s="89"/>
      <c r="H1450" s="126"/>
      <c r="I1450" s="368"/>
      <c r="J1450" s="126"/>
      <c r="K1450" s="89"/>
      <c r="L1450" s="391"/>
      <c r="M1450" s="88">
        <v>400</v>
      </c>
      <c r="N1450" s="89">
        <v>290</v>
      </c>
      <c r="O1450" s="442">
        <f t="shared" si="184"/>
        <v>72.5</v>
      </c>
      <c r="P1450" s="89"/>
      <c r="Q1450" s="89"/>
      <c r="R1450" s="362"/>
    </row>
    <row r="1451" spans="1:18" s="118" customFormat="1" ht="12.75">
      <c r="A1451" s="124">
        <v>4440</v>
      </c>
      <c r="B1451" s="277" t="s">
        <v>514</v>
      </c>
      <c r="C1451" s="88">
        <v>53700</v>
      </c>
      <c r="D1451" s="74">
        <f t="shared" si="187"/>
        <v>59729</v>
      </c>
      <c r="E1451" s="89">
        <f t="shared" si="189"/>
        <v>40275</v>
      </c>
      <c r="F1451" s="468">
        <f t="shared" si="188"/>
        <v>67.4295568316898</v>
      </c>
      <c r="G1451" s="89"/>
      <c r="H1451" s="126"/>
      <c r="I1451" s="368"/>
      <c r="J1451" s="126"/>
      <c r="K1451" s="89"/>
      <c r="L1451" s="391"/>
      <c r="M1451" s="88">
        <f>53700+6029</f>
        <v>59729</v>
      </c>
      <c r="N1451" s="89">
        <v>40275</v>
      </c>
      <c r="O1451" s="442">
        <f t="shared" si="184"/>
        <v>67.4295568316898</v>
      </c>
      <c r="P1451" s="89"/>
      <c r="Q1451" s="89"/>
      <c r="R1451" s="362"/>
    </row>
    <row r="1452" spans="1:18" s="118" customFormat="1" ht="36">
      <c r="A1452" s="172">
        <v>4700</v>
      </c>
      <c r="B1452" s="337" t="s">
        <v>285</v>
      </c>
      <c r="C1452" s="88">
        <v>1000</v>
      </c>
      <c r="D1452" s="74">
        <f t="shared" si="187"/>
        <v>1000</v>
      </c>
      <c r="E1452" s="89">
        <f t="shared" si="189"/>
        <v>220</v>
      </c>
      <c r="F1452" s="468">
        <f t="shared" si="188"/>
        <v>22</v>
      </c>
      <c r="G1452" s="89"/>
      <c r="H1452" s="126"/>
      <c r="I1452" s="368"/>
      <c r="J1452" s="126"/>
      <c r="K1452" s="89"/>
      <c r="L1452" s="391"/>
      <c r="M1452" s="88">
        <v>1000</v>
      </c>
      <c r="N1452" s="89">
        <v>220</v>
      </c>
      <c r="O1452" s="442">
        <f t="shared" si="184"/>
        <v>22</v>
      </c>
      <c r="P1452" s="89"/>
      <c r="Q1452" s="89"/>
      <c r="R1452" s="362"/>
    </row>
    <row r="1453" spans="1:18" s="118" customFormat="1" ht="60">
      <c r="A1453" s="172">
        <v>4740</v>
      </c>
      <c r="B1453" s="337" t="s">
        <v>290</v>
      </c>
      <c r="C1453" s="88">
        <v>1200</v>
      </c>
      <c r="D1453" s="74">
        <f>G1453+J1453+P1453+M1453</f>
        <v>1200</v>
      </c>
      <c r="E1453" s="89">
        <f>SUM(H1453+K1453+N1453+Q1453)</f>
        <v>628</v>
      </c>
      <c r="F1453" s="468">
        <f>E1453/D1453*100</f>
        <v>52.33333333333333</v>
      </c>
      <c r="G1453" s="89"/>
      <c r="H1453" s="126"/>
      <c r="I1453" s="368"/>
      <c r="J1453" s="126"/>
      <c r="K1453" s="89"/>
      <c r="L1453" s="391"/>
      <c r="M1453" s="88">
        <v>1200</v>
      </c>
      <c r="N1453" s="89">
        <v>628</v>
      </c>
      <c r="O1453" s="442">
        <f t="shared" si="184"/>
        <v>52.33333333333333</v>
      </c>
      <c r="P1453" s="89"/>
      <c r="Q1453" s="89"/>
      <c r="R1453" s="362"/>
    </row>
    <row r="1454" spans="1:18" s="118" customFormat="1" ht="24" hidden="1">
      <c r="A1454" s="172">
        <v>6050</v>
      </c>
      <c r="B1454" s="337" t="s">
        <v>574</v>
      </c>
      <c r="C1454" s="88"/>
      <c r="D1454" s="74">
        <f>G1454+J1454+P1454+M1454</f>
        <v>0</v>
      </c>
      <c r="E1454" s="89">
        <f>SUM(H1454+K1454+N1454+Q1454)</f>
        <v>0</v>
      </c>
      <c r="F1454" s="468" t="e">
        <f>E1454/D1454*100</f>
        <v>#DIV/0!</v>
      </c>
      <c r="G1454" s="89"/>
      <c r="H1454" s="126"/>
      <c r="I1454" s="368"/>
      <c r="J1454" s="126"/>
      <c r="K1454" s="89"/>
      <c r="L1454" s="391"/>
      <c r="M1454" s="88"/>
      <c r="N1454" s="89"/>
      <c r="O1454" s="442" t="e">
        <f aca="true" t="shared" si="190" ref="O1454:O1514">N1454/M1454*100</f>
        <v>#DIV/0!</v>
      </c>
      <c r="P1454" s="89"/>
      <c r="Q1454" s="89"/>
      <c r="R1454" s="362"/>
    </row>
    <row r="1455" spans="1:18" s="118" customFormat="1" ht="36">
      <c r="A1455" s="172">
        <v>4750</v>
      </c>
      <c r="B1455" s="337" t="s">
        <v>291</v>
      </c>
      <c r="C1455" s="88">
        <v>4000</v>
      </c>
      <c r="D1455" s="74">
        <f t="shared" si="187"/>
        <v>2000</v>
      </c>
      <c r="E1455" s="89">
        <f>SUM(H1455+K1455+N1455+Q1455)</f>
        <v>1344</v>
      </c>
      <c r="F1455" s="468">
        <f>E1455/D1455*100</f>
        <v>67.2</v>
      </c>
      <c r="G1455" s="89"/>
      <c r="H1455" s="126"/>
      <c r="I1455" s="368"/>
      <c r="J1455" s="126"/>
      <c r="K1455" s="89"/>
      <c r="L1455" s="391"/>
      <c r="M1455" s="88">
        <f>4000-500-1500</f>
        <v>2000</v>
      </c>
      <c r="N1455" s="89">
        <v>1344</v>
      </c>
      <c r="O1455" s="442">
        <f t="shared" si="190"/>
        <v>67.2</v>
      </c>
      <c r="P1455" s="89"/>
      <c r="Q1455" s="89"/>
      <c r="R1455" s="362"/>
    </row>
    <row r="1456" spans="1:18" s="143" customFormat="1" ht="24" hidden="1">
      <c r="A1456" s="135"/>
      <c r="B1456" s="136" t="s">
        <v>356</v>
      </c>
      <c r="C1456" s="137"/>
      <c r="D1456" s="139">
        <f t="shared" si="187"/>
        <v>0</v>
      </c>
      <c r="E1456" s="139">
        <f aca="true" t="shared" si="191" ref="E1456:E1467">SUM(H1456+K1456+N1456+Q1456)</f>
        <v>0</v>
      </c>
      <c r="F1456" s="477" t="e">
        <f aca="true" t="shared" si="192" ref="F1456:F1514">E1456/D1456*100</f>
        <v>#DIV/0!</v>
      </c>
      <c r="G1456" s="139"/>
      <c r="H1456" s="140"/>
      <c r="I1456" s="399"/>
      <c r="J1456" s="140"/>
      <c r="K1456" s="139"/>
      <c r="L1456" s="403"/>
      <c r="M1456" s="140">
        <f>SUM(M1457:M1461)</f>
        <v>0</v>
      </c>
      <c r="N1456" s="140">
        <f>SUM(N1457:N1461)</f>
        <v>0</v>
      </c>
      <c r="O1456" s="442" t="e">
        <f t="shared" si="190"/>
        <v>#DIV/0!</v>
      </c>
      <c r="P1456" s="139"/>
      <c r="Q1456" s="139"/>
      <c r="R1456" s="364"/>
    </row>
    <row r="1457" spans="1:18" s="118" customFormat="1" ht="24" hidden="1">
      <c r="A1457" s="124">
        <v>4010</v>
      </c>
      <c r="B1457" s="128" t="s">
        <v>492</v>
      </c>
      <c r="C1457" s="88"/>
      <c r="D1457" s="74">
        <f t="shared" si="187"/>
        <v>0</v>
      </c>
      <c r="E1457" s="89">
        <f t="shared" si="191"/>
        <v>0</v>
      </c>
      <c r="F1457" s="468" t="e">
        <f t="shared" si="192"/>
        <v>#DIV/0!</v>
      </c>
      <c r="G1457" s="89"/>
      <c r="H1457" s="126"/>
      <c r="I1457" s="368"/>
      <c r="J1457" s="126"/>
      <c r="K1457" s="89"/>
      <c r="L1457" s="391"/>
      <c r="M1457" s="126"/>
      <c r="N1457" s="126"/>
      <c r="O1457" s="442" t="e">
        <f t="shared" si="190"/>
        <v>#DIV/0!</v>
      </c>
      <c r="P1457" s="89"/>
      <c r="Q1457" s="89"/>
      <c r="R1457" s="362"/>
    </row>
    <row r="1458" spans="1:18" s="118" customFormat="1" ht="24" hidden="1">
      <c r="A1458" s="124">
        <v>4110</v>
      </c>
      <c r="B1458" s="128" t="s">
        <v>498</v>
      </c>
      <c r="C1458" s="88"/>
      <c r="D1458" s="74">
        <f t="shared" si="187"/>
        <v>0</v>
      </c>
      <c r="E1458" s="89">
        <f t="shared" si="191"/>
        <v>0</v>
      </c>
      <c r="F1458" s="468" t="e">
        <f t="shared" si="192"/>
        <v>#DIV/0!</v>
      </c>
      <c r="G1458" s="89"/>
      <c r="H1458" s="126"/>
      <c r="I1458" s="368"/>
      <c r="J1458" s="126"/>
      <c r="K1458" s="89"/>
      <c r="L1458" s="391"/>
      <c r="M1458" s="126"/>
      <c r="N1458" s="126"/>
      <c r="O1458" s="442" t="e">
        <f t="shared" si="190"/>
        <v>#DIV/0!</v>
      </c>
      <c r="P1458" s="89"/>
      <c r="Q1458" s="89"/>
      <c r="R1458" s="362"/>
    </row>
    <row r="1459" spans="1:18" s="118" customFormat="1" ht="12.75" hidden="1">
      <c r="A1459" s="124">
        <v>4120</v>
      </c>
      <c r="B1459" s="128" t="s">
        <v>571</v>
      </c>
      <c r="C1459" s="88"/>
      <c r="D1459" s="74">
        <f t="shared" si="187"/>
        <v>0</v>
      </c>
      <c r="E1459" s="89">
        <f t="shared" si="191"/>
        <v>0</v>
      </c>
      <c r="F1459" s="468" t="e">
        <f t="shared" si="192"/>
        <v>#DIV/0!</v>
      </c>
      <c r="G1459" s="89"/>
      <c r="H1459" s="126"/>
      <c r="I1459" s="368"/>
      <c r="J1459" s="126"/>
      <c r="K1459" s="89"/>
      <c r="L1459" s="391"/>
      <c r="M1459" s="126"/>
      <c r="N1459" s="126"/>
      <c r="O1459" s="442" t="e">
        <f t="shared" si="190"/>
        <v>#DIV/0!</v>
      </c>
      <c r="P1459" s="89"/>
      <c r="Q1459" s="89"/>
      <c r="R1459" s="362"/>
    </row>
    <row r="1460" spans="1:18" s="118" customFormat="1" ht="24" hidden="1">
      <c r="A1460" s="124">
        <v>4210</v>
      </c>
      <c r="B1460" s="128" t="s">
        <v>502</v>
      </c>
      <c r="C1460" s="88"/>
      <c r="D1460" s="74">
        <f t="shared" si="187"/>
        <v>0</v>
      </c>
      <c r="E1460" s="89">
        <f t="shared" si="191"/>
        <v>0</v>
      </c>
      <c r="F1460" s="468" t="e">
        <f t="shared" si="192"/>
        <v>#DIV/0!</v>
      </c>
      <c r="G1460" s="89"/>
      <c r="H1460" s="126"/>
      <c r="I1460" s="368"/>
      <c r="J1460" s="126"/>
      <c r="K1460" s="89"/>
      <c r="L1460" s="391"/>
      <c r="M1460" s="126"/>
      <c r="N1460" s="126"/>
      <c r="O1460" s="442" t="e">
        <f t="shared" si="190"/>
        <v>#DIV/0!</v>
      </c>
      <c r="P1460" s="89"/>
      <c r="Q1460" s="89"/>
      <c r="R1460" s="362"/>
    </row>
    <row r="1461" spans="1:18" s="118" customFormat="1" ht="24" hidden="1">
      <c r="A1461" s="124">
        <v>4300</v>
      </c>
      <c r="B1461" s="128" t="s">
        <v>510</v>
      </c>
      <c r="C1461" s="88"/>
      <c r="D1461" s="74">
        <f t="shared" si="187"/>
        <v>0</v>
      </c>
      <c r="E1461" s="89">
        <f t="shared" si="191"/>
        <v>0</v>
      </c>
      <c r="F1461" s="468" t="e">
        <f t="shared" si="192"/>
        <v>#DIV/0!</v>
      </c>
      <c r="G1461" s="89"/>
      <c r="H1461" s="126"/>
      <c r="I1461" s="368"/>
      <c r="J1461" s="126"/>
      <c r="K1461" s="89"/>
      <c r="L1461" s="391"/>
      <c r="M1461" s="126"/>
      <c r="N1461" s="126"/>
      <c r="O1461" s="442" t="e">
        <f t="shared" si="190"/>
        <v>#DIV/0!</v>
      </c>
      <c r="P1461" s="89"/>
      <c r="Q1461" s="89"/>
      <c r="R1461" s="362"/>
    </row>
    <row r="1462" spans="1:18" s="143" customFormat="1" ht="48" hidden="1">
      <c r="A1462" s="135"/>
      <c r="B1462" s="136" t="s">
        <v>357</v>
      </c>
      <c r="C1462" s="137"/>
      <c r="D1462" s="139">
        <f t="shared" si="187"/>
        <v>0</v>
      </c>
      <c r="E1462" s="139">
        <f t="shared" si="191"/>
        <v>0</v>
      </c>
      <c r="F1462" s="477" t="e">
        <f t="shared" si="192"/>
        <v>#DIV/0!</v>
      </c>
      <c r="G1462" s="139"/>
      <c r="H1462" s="140"/>
      <c r="I1462" s="399"/>
      <c r="J1462" s="140"/>
      <c r="K1462" s="139"/>
      <c r="L1462" s="403"/>
      <c r="M1462" s="140">
        <f>SUM(M1463:M1467)</f>
        <v>0</v>
      </c>
      <c r="N1462" s="140">
        <f>SUM(N1463:N1467)</f>
        <v>0</v>
      </c>
      <c r="O1462" s="459" t="e">
        <f t="shared" si="190"/>
        <v>#DIV/0!</v>
      </c>
      <c r="P1462" s="139"/>
      <c r="Q1462" s="139"/>
      <c r="R1462" s="364"/>
    </row>
    <row r="1463" spans="1:18" s="118" customFormat="1" ht="24" hidden="1">
      <c r="A1463" s="124">
        <v>4010</v>
      </c>
      <c r="B1463" s="128" t="s">
        <v>492</v>
      </c>
      <c r="C1463" s="88"/>
      <c r="D1463" s="74">
        <f t="shared" si="187"/>
        <v>0</v>
      </c>
      <c r="E1463" s="89">
        <f t="shared" si="191"/>
        <v>0</v>
      </c>
      <c r="F1463" s="468" t="e">
        <f t="shared" si="192"/>
        <v>#DIV/0!</v>
      </c>
      <c r="G1463" s="89"/>
      <c r="H1463" s="126"/>
      <c r="I1463" s="368"/>
      <c r="J1463" s="126"/>
      <c r="K1463" s="89"/>
      <c r="L1463" s="391"/>
      <c r="M1463" s="126">
        <f>2900-2900</f>
        <v>0</v>
      </c>
      <c r="N1463" s="126"/>
      <c r="O1463" s="442" t="e">
        <f t="shared" si="190"/>
        <v>#DIV/0!</v>
      </c>
      <c r="P1463" s="89"/>
      <c r="Q1463" s="89"/>
      <c r="R1463" s="362"/>
    </row>
    <row r="1464" spans="1:18" s="118" customFormat="1" ht="24" hidden="1">
      <c r="A1464" s="124">
        <v>4110</v>
      </c>
      <c r="B1464" s="128" t="s">
        <v>498</v>
      </c>
      <c r="C1464" s="88"/>
      <c r="D1464" s="74">
        <f t="shared" si="187"/>
        <v>0</v>
      </c>
      <c r="E1464" s="89">
        <f t="shared" si="191"/>
        <v>0</v>
      </c>
      <c r="F1464" s="468" t="e">
        <f t="shared" si="192"/>
        <v>#DIV/0!</v>
      </c>
      <c r="G1464" s="89"/>
      <c r="H1464" s="126"/>
      <c r="I1464" s="368"/>
      <c r="J1464" s="126"/>
      <c r="K1464" s="89"/>
      <c r="L1464" s="391"/>
      <c r="M1464" s="126">
        <f>520-520</f>
        <v>0</v>
      </c>
      <c r="N1464" s="126"/>
      <c r="O1464" s="442" t="e">
        <f t="shared" si="190"/>
        <v>#DIV/0!</v>
      </c>
      <c r="P1464" s="89"/>
      <c r="Q1464" s="89"/>
      <c r="R1464" s="362"/>
    </row>
    <row r="1465" spans="1:18" s="118" customFormat="1" ht="12.75" hidden="1">
      <c r="A1465" s="124">
        <v>4120</v>
      </c>
      <c r="B1465" s="128" t="s">
        <v>571</v>
      </c>
      <c r="C1465" s="88"/>
      <c r="D1465" s="74">
        <f>G1465+J1465+P1465+M1465</f>
        <v>0</v>
      </c>
      <c r="E1465" s="89">
        <f>SUM(H1465+K1465+N1465+Q1465)</f>
        <v>0</v>
      </c>
      <c r="F1465" s="468" t="e">
        <f>E1465/D1465*100</f>
        <v>#DIV/0!</v>
      </c>
      <c r="G1465" s="89"/>
      <c r="H1465" s="126"/>
      <c r="I1465" s="368"/>
      <c r="J1465" s="126"/>
      <c r="K1465" s="89"/>
      <c r="L1465" s="391"/>
      <c r="M1465" s="126">
        <f>80-80</f>
        <v>0</v>
      </c>
      <c r="N1465" s="126"/>
      <c r="O1465" s="442" t="e">
        <f t="shared" si="190"/>
        <v>#DIV/0!</v>
      </c>
      <c r="P1465" s="89"/>
      <c r="Q1465" s="89"/>
      <c r="R1465" s="362"/>
    </row>
    <row r="1466" spans="1:18" s="118" customFormat="1" ht="36" hidden="1">
      <c r="A1466" s="124">
        <v>4240</v>
      </c>
      <c r="B1466" s="128" t="s">
        <v>563</v>
      </c>
      <c r="C1466" s="88"/>
      <c r="D1466" s="74">
        <f>G1466+J1466+P1466+M1466</f>
        <v>0</v>
      </c>
      <c r="E1466" s="89">
        <f>SUM(H1466+K1466+N1466+Q1466)</f>
        <v>0</v>
      </c>
      <c r="F1466" s="468" t="e">
        <f>E1466/D1466*100</f>
        <v>#DIV/0!</v>
      </c>
      <c r="G1466" s="89"/>
      <c r="H1466" s="126"/>
      <c r="I1466" s="368"/>
      <c r="J1466" s="126"/>
      <c r="K1466" s="89"/>
      <c r="L1466" s="391"/>
      <c r="M1466" s="126"/>
      <c r="N1466" s="126"/>
      <c r="O1466" s="442" t="e">
        <f t="shared" si="190"/>
        <v>#DIV/0!</v>
      </c>
      <c r="P1466" s="89"/>
      <c r="Q1466" s="89"/>
      <c r="R1466" s="362"/>
    </row>
    <row r="1467" spans="1:18" s="118" customFormat="1" ht="36" hidden="1">
      <c r="A1467" s="172">
        <v>4700</v>
      </c>
      <c r="B1467" s="337" t="s">
        <v>285</v>
      </c>
      <c r="C1467" s="88"/>
      <c r="D1467" s="74">
        <f t="shared" si="187"/>
        <v>0</v>
      </c>
      <c r="E1467" s="89">
        <f t="shared" si="191"/>
        <v>0</v>
      </c>
      <c r="F1467" s="468" t="e">
        <f t="shared" si="192"/>
        <v>#DIV/0!</v>
      </c>
      <c r="G1467" s="89"/>
      <c r="H1467" s="126"/>
      <c r="I1467" s="368"/>
      <c r="J1467" s="126"/>
      <c r="K1467" s="89"/>
      <c r="L1467" s="391"/>
      <c r="M1467" s="126"/>
      <c r="N1467" s="126"/>
      <c r="O1467" s="442" t="e">
        <f t="shared" si="190"/>
        <v>#DIV/0!</v>
      </c>
      <c r="P1467" s="89"/>
      <c r="Q1467" s="89"/>
      <c r="R1467" s="362"/>
    </row>
    <row r="1468" spans="1:18" s="143" customFormat="1" ht="24">
      <c r="A1468" s="150">
        <v>85407</v>
      </c>
      <c r="B1468" s="299" t="s">
        <v>130</v>
      </c>
      <c r="C1468" s="94">
        <f>SUM(C1469:C1491)</f>
        <v>1401400</v>
      </c>
      <c r="D1468" s="95">
        <f t="shared" si="187"/>
        <v>1414270</v>
      </c>
      <c r="E1468" s="95">
        <f>H1468+K1468+Q1468+N1468</f>
        <v>805727</v>
      </c>
      <c r="F1468" s="467">
        <f t="shared" si="192"/>
        <v>56.97122897325122</v>
      </c>
      <c r="G1468" s="95"/>
      <c r="H1468" s="95"/>
      <c r="I1468" s="381"/>
      <c r="J1468" s="171"/>
      <c r="K1468" s="95"/>
      <c r="L1468" s="417"/>
      <c r="M1468" s="171">
        <f>SUM(M1469:M1491)</f>
        <v>1414270</v>
      </c>
      <c r="N1468" s="171">
        <f>SUM(N1469:N1491)</f>
        <v>805727</v>
      </c>
      <c r="O1468" s="448">
        <f t="shared" si="190"/>
        <v>56.97122897325122</v>
      </c>
      <c r="P1468" s="95"/>
      <c r="Q1468" s="95"/>
      <c r="R1468" s="370"/>
    </row>
    <row r="1469" spans="1:18" s="118" customFormat="1" ht="36">
      <c r="A1469" s="108">
        <v>3020</v>
      </c>
      <c r="B1469" s="287" t="s">
        <v>257</v>
      </c>
      <c r="C1469" s="90">
        <v>5700</v>
      </c>
      <c r="D1469" s="103">
        <f t="shared" si="187"/>
        <v>5700</v>
      </c>
      <c r="E1469" s="104">
        <f aca="true" t="shared" si="193" ref="E1469:E1491">SUM(H1469+K1469+N1469+Q1469)</f>
        <v>435</v>
      </c>
      <c r="F1469" s="470">
        <f t="shared" si="192"/>
        <v>7.631578947368421</v>
      </c>
      <c r="G1469" s="104"/>
      <c r="H1469" s="200"/>
      <c r="I1469" s="388"/>
      <c r="J1469" s="200"/>
      <c r="K1469" s="104"/>
      <c r="L1469" s="414"/>
      <c r="M1469" s="90">
        <v>5700</v>
      </c>
      <c r="N1469" s="104">
        <v>435</v>
      </c>
      <c r="O1469" s="464">
        <f t="shared" si="190"/>
        <v>7.631578947368421</v>
      </c>
      <c r="P1469" s="104"/>
      <c r="Q1469" s="104"/>
      <c r="R1469" s="365"/>
    </row>
    <row r="1470" spans="1:18" s="118" customFormat="1" ht="24">
      <c r="A1470" s="124">
        <v>4010</v>
      </c>
      <c r="B1470" s="128" t="s">
        <v>492</v>
      </c>
      <c r="C1470" s="88">
        <v>940000</v>
      </c>
      <c r="D1470" s="74">
        <f t="shared" si="187"/>
        <v>940000</v>
      </c>
      <c r="E1470" s="89">
        <f t="shared" si="193"/>
        <v>508711</v>
      </c>
      <c r="F1470" s="468">
        <f t="shared" si="192"/>
        <v>54.1181914893617</v>
      </c>
      <c r="G1470" s="89"/>
      <c r="H1470" s="126"/>
      <c r="I1470" s="368"/>
      <c r="J1470" s="126"/>
      <c r="K1470" s="89"/>
      <c r="L1470" s="391"/>
      <c r="M1470" s="88">
        <v>940000</v>
      </c>
      <c r="N1470" s="89">
        <v>508711</v>
      </c>
      <c r="O1470" s="442">
        <f t="shared" si="190"/>
        <v>54.1181914893617</v>
      </c>
      <c r="P1470" s="89"/>
      <c r="Q1470" s="89"/>
      <c r="R1470" s="362"/>
    </row>
    <row r="1471" spans="1:18" s="118" customFormat="1" ht="24">
      <c r="A1471" s="124">
        <v>4040</v>
      </c>
      <c r="B1471" s="128" t="s">
        <v>496</v>
      </c>
      <c r="C1471" s="88">
        <v>61500</v>
      </c>
      <c r="D1471" s="74">
        <f t="shared" si="187"/>
        <v>64270</v>
      </c>
      <c r="E1471" s="89">
        <f t="shared" si="193"/>
        <v>64260</v>
      </c>
      <c r="F1471" s="468">
        <f t="shared" si="192"/>
        <v>99.9844406410456</v>
      </c>
      <c r="G1471" s="235"/>
      <c r="H1471" s="126"/>
      <c r="I1471" s="368"/>
      <c r="J1471" s="126"/>
      <c r="K1471" s="89"/>
      <c r="L1471" s="391"/>
      <c r="M1471" s="88">
        <f>61500+1715+1055</f>
        <v>64270</v>
      </c>
      <c r="N1471" s="89">
        <v>64260</v>
      </c>
      <c r="O1471" s="442">
        <f t="shared" si="190"/>
        <v>99.9844406410456</v>
      </c>
      <c r="P1471" s="89"/>
      <c r="Q1471" s="89"/>
      <c r="R1471" s="362"/>
    </row>
    <row r="1472" spans="1:18" s="118" customFormat="1" ht="24">
      <c r="A1472" s="124">
        <v>4110</v>
      </c>
      <c r="B1472" s="128" t="s">
        <v>498</v>
      </c>
      <c r="C1472" s="88">
        <v>155000</v>
      </c>
      <c r="D1472" s="74">
        <f t="shared" si="187"/>
        <v>155000</v>
      </c>
      <c r="E1472" s="89">
        <f t="shared" si="193"/>
        <v>86235</v>
      </c>
      <c r="F1472" s="468">
        <f t="shared" si="192"/>
        <v>55.63548387096774</v>
      </c>
      <c r="G1472" s="89"/>
      <c r="H1472" s="126"/>
      <c r="I1472" s="368"/>
      <c r="J1472" s="126"/>
      <c r="K1472" s="89"/>
      <c r="L1472" s="391"/>
      <c r="M1472" s="88">
        <v>155000</v>
      </c>
      <c r="N1472" s="89">
        <v>86235</v>
      </c>
      <c r="O1472" s="442">
        <f t="shared" si="190"/>
        <v>55.63548387096774</v>
      </c>
      <c r="P1472" s="88"/>
      <c r="Q1472" s="89"/>
      <c r="R1472" s="362"/>
    </row>
    <row r="1473" spans="1:18" s="118" customFormat="1" ht="12.75">
      <c r="A1473" s="124">
        <v>4120</v>
      </c>
      <c r="B1473" s="128" t="s">
        <v>571</v>
      </c>
      <c r="C1473" s="88">
        <v>24000</v>
      </c>
      <c r="D1473" s="74">
        <f t="shared" si="187"/>
        <v>24000</v>
      </c>
      <c r="E1473" s="89">
        <f t="shared" si="193"/>
        <v>13193</v>
      </c>
      <c r="F1473" s="468">
        <f t="shared" si="192"/>
        <v>54.97083333333334</v>
      </c>
      <c r="G1473" s="89"/>
      <c r="H1473" s="126"/>
      <c r="I1473" s="368"/>
      <c r="J1473" s="126"/>
      <c r="K1473" s="89"/>
      <c r="L1473" s="391"/>
      <c r="M1473" s="88">
        <v>24000</v>
      </c>
      <c r="N1473" s="89">
        <v>13193</v>
      </c>
      <c r="O1473" s="442">
        <f t="shared" si="190"/>
        <v>54.97083333333334</v>
      </c>
      <c r="P1473" s="89"/>
      <c r="Q1473" s="89"/>
      <c r="R1473" s="362"/>
    </row>
    <row r="1474" spans="1:18" s="118" customFormat="1" ht="12.75">
      <c r="A1474" s="124">
        <v>4140</v>
      </c>
      <c r="B1474" s="277" t="s">
        <v>544</v>
      </c>
      <c r="C1474" s="88">
        <v>15600</v>
      </c>
      <c r="D1474" s="74">
        <f t="shared" si="187"/>
        <v>15600</v>
      </c>
      <c r="E1474" s="89">
        <f t="shared" si="193"/>
        <v>7725</v>
      </c>
      <c r="F1474" s="468">
        <f t="shared" si="192"/>
        <v>49.519230769230774</v>
      </c>
      <c r="G1474" s="89"/>
      <c r="H1474" s="126"/>
      <c r="I1474" s="368"/>
      <c r="J1474" s="126"/>
      <c r="K1474" s="89"/>
      <c r="L1474" s="391"/>
      <c r="M1474" s="88">
        <v>15600</v>
      </c>
      <c r="N1474" s="89">
        <v>7725</v>
      </c>
      <c r="O1474" s="442">
        <f t="shared" si="190"/>
        <v>49.519230769230774</v>
      </c>
      <c r="P1474" s="89"/>
      <c r="Q1474" s="89"/>
      <c r="R1474" s="362"/>
    </row>
    <row r="1475" spans="1:18" s="118" customFormat="1" ht="24" hidden="1">
      <c r="A1475" s="124">
        <v>4170</v>
      </c>
      <c r="B1475" s="128" t="s">
        <v>536</v>
      </c>
      <c r="C1475" s="88"/>
      <c r="D1475" s="74">
        <f t="shared" si="187"/>
        <v>0</v>
      </c>
      <c r="E1475" s="89">
        <f t="shared" si="193"/>
        <v>0</v>
      </c>
      <c r="F1475" s="468" t="e">
        <f t="shared" si="192"/>
        <v>#DIV/0!</v>
      </c>
      <c r="G1475" s="89"/>
      <c r="H1475" s="126"/>
      <c r="I1475" s="368"/>
      <c r="J1475" s="126"/>
      <c r="K1475" s="89"/>
      <c r="L1475" s="391"/>
      <c r="M1475" s="88"/>
      <c r="N1475" s="89"/>
      <c r="O1475" s="442" t="e">
        <f t="shared" si="190"/>
        <v>#DIV/0!</v>
      </c>
      <c r="P1475" s="89"/>
      <c r="Q1475" s="89"/>
      <c r="R1475" s="362"/>
    </row>
    <row r="1476" spans="1:18" s="118" customFormat="1" ht="24">
      <c r="A1476" s="158">
        <v>4210</v>
      </c>
      <c r="B1476" s="159" t="s">
        <v>502</v>
      </c>
      <c r="C1476" s="160">
        <v>23000</v>
      </c>
      <c r="D1476" s="161">
        <f t="shared" si="187"/>
        <v>24800</v>
      </c>
      <c r="E1476" s="155">
        <f t="shared" si="193"/>
        <v>8845</v>
      </c>
      <c r="F1476" s="469">
        <f t="shared" si="192"/>
        <v>35.66532258064516</v>
      </c>
      <c r="G1476" s="155"/>
      <c r="H1476" s="162"/>
      <c r="I1476" s="387"/>
      <c r="J1476" s="162"/>
      <c r="K1476" s="155"/>
      <c r="L1476" s="415"/>
      <c r="M1476" s="160">
        <f>23000+1800</f>
        <v>24800</v>
      </c>
      <c r="N1476" s="155">
        <v>8845</v>
      </c>
      <c r="O1476" s="462">
        <f t="shared" si="190"/>
        <v>35.66532258064516</v>
      </c>
      <c r="P1476" s="155"/>
      <c r="Q1476" s="155"/>
      <c r="R1476" s="366"/>
    </row>
    <row r="1477" spans="1:18" s="118" customFormat="1" ht="36">
      <c r="A1477" s="124">
        <v>4240</v>
      </c>
      <c r="B1477" s="128" t="s">
        <v>563</v>
      </c>
      <c r="C1477" s="88">
        <v>9000</v>
      </c>
      <c r="D1477" s="74">
        <f t="shared" si="187"/>
        <v>9000</v>
      </c>
      <c r="E1477" s="89">
        <f t="shared" si="193"/>
        <v>7223</v>
      </c>
      <c r="F1477" s="468">
        <f t="shared" si="192"/>
        <v>80.25555555555556</v>
      </c>
      <c r="G1477" s="89"/>
      <c r="H1477" s="126"/>
      <c r="I1477" s="368"/>
      <c r="J1477" s="126"/>
      <c r="K1477" s="89"/>
      <c r="L1477" s="391"/>
      <c r="M1477" s="88">
        <v>9000</v>
      </c>
      <c r="N1477" s="89">
        <v>7223</v>
      </c>
      <c r="O1477" s="442">
        <f t="shared" si="190"/>
        <v>80.25555555555556</v>
      </c>
      <c r="P1477" s="89"/>
      <c r="Q1477" s="89"/>
      <c r="R1477" s="362"/>
    </row>
    <row r="1478" spans="1:18" s="118" customFormat="1" ht="12.75">
      <c r="A1478" s="124">
        <v>4260</v>
      </c>
      <c r="B1478" s="128" t="s">
        <v>506</v>
      </c>
      <c r="C1478" s="88">
        <v>54000</v>
      </c>
      <c r="D1478" s="74">
        <f t="shared" si="187"/>
        <v>54000</v>
      </c>
      <c r="E1478" s="89">
        <f t="shared" si="193"/>
        <v>37473</v>
      </c>
      <c r="F1478" s="468">
        <f t="shared" si="192"/>
        <v>69.39444444444445</v>
      </c>
      <c r="G1478" s="89"/>
      <c r="H1478" s="126"/>
      <c r="I1478" s="368"/>
      <c r="J1478" s="126"/>
      <c r="K1478" s="89"/>
      <c r="L1478" s="391"/>
      <c r="M1478" s="88">
        <v>54000</v>
      </c>
      <c r="N1478" s="89">
        <v>37473</v>
      </c>
      <c r="O1478" s="442">
        <f t="shared" si="190"/>
        <v>69.39444444444445</v>
      </c>
      <c r="P1478" s="89"/>
      <c r="Q1478" s="89"/>
      <c r="R1478" s="362"/>
    </row>
    <row r="1479" spans="1:18" s="118" customFormat="1" ht="24">
      <c r="A1479" s="124">
        <v>4270</v>
      </c>
      <c r="B1479" s="128" t="s">
        <v>508</v>
      </c>
      <c r="C1479" s="88">
        <v>4000</v>
      </c>
      <c r="D1479" s="74">
        <f>G1479+J1479+P1479+M1479</f>
        <v>4000</v>
      </c>
      <c r="E1479" s="89">
        <f>SUM(H1479+K1479+N1479+Q1479)</f>
        <v>1458</v>
      </c>
      <c r="F1479" s="468">
        <f>E1479/D1479*100</f>
        <v>36.449999999999996</v>
      </c>
      <c r="G1479" s="89"/>
      <c r="H1479" s="126"/>
      <c r="I1479" s="368"/>
      <c r="J1479" s="126"/>
      <c r="K1479" s="89"/>
      <c r="L1479" s="391"/>
      <c r="M1479" s="88">
        <v>4000</v>
      </c>
      <c r="N1479" s="89">
        <v>1458</v>
      </c>
      <c r="O1479" s="442">
        <f t="shared" si="190"/>
        <v>36.449999999999996</v>
      </c>
      <c r="P1479" s="89"/>
      <c r="Q1479" s="89"/>
      <c r="R1479" s="362"/>
    </row>
    <row r="1480" spans="1:18" s="118" customFormat="1" ht="24">
      <c r="A1480" s="124">
        <v>4280</v>
      </c>
      <c r="B1480" s="128" t="s">
        <v>545</v>
      </c>
      <c r="C1480" s="88">
        <v>1200</v>
      </c>
      <c r="D1480" s="74">
        <f t="shared" si="187"/>
        <v>1200</v>
      </c>
      <c r="E1480" s="89">
        <f t="shared" si="193"/>
        <v>178</v>
      </c>
      <c r="F1480" s="468">
        <f t="shared" si="192"/>
        <v>14.833333333333334</v>
      </c>
      <c r="G1480" s="89"/>
      <c r="H1480" s="126"/>
      <c r="I1480" s="368"/>
      <c r="J1480" s="126"/>
      <c r="K1480" s="89"/>
      <c r="L1480" s="391"/>
      <c r="M1480" s="88">
        <v>1200</v>
      </c>
      <c r="N1480" s="89">
        <v>178</v>
      </c>
      <c r="O1480" s="442">
        <f t="shared" si="190"/>
        <v>14.833333333333334</v>
      </c>
      <c r="P1480" s="89"/>
      <c r="Q1480" s="89"/>
      <c r="R1480" s="362"/>
    </row>
    <row r="1481" spans="1:18" s="118" customFormat="1" ht="24">
      <c r="A1481" s="124">
        <v>4300</v>
      </c>
      <c r="B1481" s="128" t="s">
        <v>510</v>
      </c>
      <c r="C1481" s="88">
        <v>15000</v>
      </c>
      <c r="D1481" s="74">
        <f t="shared" si="187"/>
        <v>15000</v>
      </c>
      <c r="E1481" s="89">
        <f t="shared" si="193"/>
        <v>7952</v>
      </c>
      <c r="F1481" s="468">
        <f t="shared" si="192"/>
        <v>53.013333333333335</v>
      </c>
      <c r="G1481" s="89"/>
      <c r="H1481" s="126"/>
      <c r="I1481" s="368"/>
      <c r="J1481" s="126"/>
      <c r="K1481" s="89"/>
      <c r="L1481" s="391"/>
      <c r="M1481" s="88">
        <v>15000</v>
      </c>
      <c r="N1481" s="89">
        <v>7952</v>
      </c>
      <c r="O1481" s="442">
        <f t="shared" si="190"/>
        <v>53.013333333333335</v>
      </c>
      <c r="P1481" s="89"/>
      <c r="Q1481" s="89"/>
      <c r="R1481" s="362"/>
    </row>
    <row r="1482" spans="1:18" s="118" customFormat="1" ht="24">
      <c r="A1482" s="124">
        <v>4350</v>
      </c>
      <c r="B1482" s="128" t="s">
        <v>48</v>
      </c>
      <c r="C1482" s="88">
        <v>2000</v>
      </c>
      <c r="D1482" s="74">
        <f t="shared" si="187"/>
        <v>3000</v>
      </c>
      <c r="E1482" s="89">
        <f t="shared" si="193"/>
        <v>1222</v>
      </c>
      <c r="F1482" s="468">
        <f t="shared" si="192"/>
        <v>40.733333333333334</v>
      </c>
      <c r="G1482" s="89"/>
      <c r="H1482" s="126"/>
      <c r="I1482" s="368"/>
      <c r="J1482" s="126"/>
      <c r="K1482" s="89"/>
      <c r="L1482" s="391"/>
      <c r="M1482" s="88">
        <f>2000+1000</f>
        <v>3000</v>
      </c>
      <c r="N1482" s="89">
        <v>1222</v>
      </c>
      <c r="O1482" s="442">
        <f t="shared" si="190"/>
        <v>40.733333333333334</v>
      </c>
      <c r="P1482" s="89"/>
      <c r="Q1482" s="89"/>
      <c r="R1482" s="362"/>
    </row>
    <row r="1483" spans="1:18" s="118" customFormat="1" ht="48">
      <c r="A1483" s="172">
        <v>4370</v>
      </c>
      <c r="B1483" s="337" t="s">
        <v>298</v>
      </c>
      <c r="C1483" s="88">
        <v>8400</v>
      </c>
      <c r="D1483" s="74">
        <f>G1483+J1483+P1483+M1483</f>
        <v>10400</v>
      </c>
      <c r="E1483" s="89">
        <f>SUM(H1483+K1483+N1483+Q1483)</f>
        <v>4375</v>
      </c>
      <c r="F1483" s="468">
        <f>E1483/D1483*100</f>
        <v>42.06730769230769</v>
      </c>
      <c r="G1483" s="89"/>
      <c r="H1483" s="126"/>
      <c r="I1483" s="368"/>
      <c r="J1483" s="126"/>
      <c r="K1483" s="89"/>
      <c r="L1483" s="391"/>
      <c r="M1483" s="88">
        <f>8400+2000</f>
        <v>10400</v>
      </c>
      <c r="N1483" s="89">
        <v>4375</v>
      </c>
      <c r="O1483" s="442">
        <f t="shared" si="190"/>
        <v>42.06730769230769</v>
      </c>
      <c r="P1483" s="89"/>
      <c r="Q1483" s="89"/>
      <c r="R1483" s="362"/>
    </row>
    <row r="1484" spans="1:18" s="118" customFormat="1" ht="36">
      <c r="A1484" s="124">
        <v>4390</v>
      </c>
      <c r="B1484" s="206" t="s">
        <v>268</v>
      </c>
      <c r="C1484" s="88">
        <v>3000</v>
      </c>
      <c r="D1484" s="74">
        <f>G1484+J1484+P1484+M1484</f>
        <v>3000</v>
      </c>
      <c r="E1484" s="89">
        <f>SUM(H1484+K1484+N1484+Q1484)</f>
        <v>594</v>
      </c>
      <c r="F1484" s="468">
        <f>E1484/D1484*100</f>
        <v>19.8</v>
      </c>
      <c r="G1484" s="89"/>
      <c r="H1484" s="126"/>
      <c r="I1484" s="368"/>
      <c r="J1484" s="126"/>
      <c r="K1484" s="89"/>
      <c r="L1484" s="391"/>
      <c r="M1484" s="88">
        <v>3000</v>
      </c>
      <c r="N1484" s="89">
        <v>594</v>
      </c>
      <c r="O1484" s="442">
        <f t="shared" si="190"/>
        <v>19.8</v>
      </c>
      <c r="P1484" s="89"/>
      <c r="Q1484" s="89"/>
      <c r="R1484" s="362"/>
    </row>
    <row r="1485" spans="1:18" s="118" customFormat="1" ht="24">
      <c r="A1485" s="124">
        <v>4410</v>
      </c>
      <c r="B1485" s="128" t="s">
        <v>484</v>
      </c>
      <c r="C1485" s="88">
        <v>4200</v>
      </c>
      <c r="D1485" s="74">
        <f t="shared" si="187"/>
        <v>3900</v>
      </c>
      <c r="E1485" s="89">
        <f t="shared" si="193"/>
        <v>1824</v>
      </c>
      <c r="F1485" s="468">
        <f t="shared" si="192"/>
        <v>46.76923076923077</v>
      </c>
      <c r="G1485" s="89"/>
      <c r="H1485" s="126"/>
      <c r="I1485" s="368"/>
      <c r="J1485" s="126"/>
      <c r="K1485" s="89"/>
      <c r="L1485" s="391"/>
      <c r="M1485" s="88">
        <f>4200-300</f>
        <v>3900</v>
      </c>
      <c r="N1485" s="89">
        <v>1824</v>
      </c>
      <c r="O1485" s="442">
        <f t="shared" si="190"/>
        <v>46.76923076923077</v>
      </c>
      <c r="P1485" s="89"/>
      <c r="Q1485" s="89"/>
      <c r="R1485" s="362"/>
    </row>
    <row r="1486" spans="1:18" s="118" customFormat="1" ht="24">
      <c r="A1486" s="124">
        <v>4420</v>
      </c>
      <c r="B1486" s="128" t="s">
        <v>556</v>
      </c>
      <c r="C1486" s="88"/>
      <c r="D1486" s="74">
        <f>G1486+J1486+P1486+M1486</f>
        <v>300</v>
      </c>
      <c r="E1486" s="89">
        <f>SUM(H1486+K1486+N1486+Q1486)</f>
        <v>294</v>
      </c>
      <c r="F1486" s="468">
        <f>E1486/D1486*100</f>
        <v>98</v>
      </c>
      <c r="G1486" s="89"/>
      <c r="H1486" s="126"/>
      <c r="I1486" s="368"/>
      <c r="J1486" s="126"/>
      <c r="K1486" s="89"/>
      <c r="L1486" s="391"/>
      <c r="M1486" s="88">
        <v>300</v>
      </c>
      <c r="N1486" s="89">
        <v>294</v>
      </c>
      <c r="O1486" s="442">
        <f t="shared" si="190"/>
        <v>98</v>
      </c>
      <c r="P1486" s="89"/>
      <c r="Q1486" s="89"/>
      <c r="R1486" s="362"/>
    </row>
    <row r="1487" spans="1:18" s="118" customFormat="1" ht="12.75">
      <c r="A1487" s="124">
        <v>4440</v>
      </c>
      <c r="B1487" s="128" t="s">
        <v>514</v>
      </c>
      <c r="C1487" s="88">
        <v>62800</v>
      </c>
      <c r="D1487" s="74">
        <f>G1487+J1487+P1487+M1487</f>
        <v>68100</v>
      </c>
      <c r="E1487" s="89">
        <f>SUM(H1487+K1487+N1487+Q1487)</f>
        <v>51075</v>
      </c>
      <c r="F1487" s="468">
        <f>E1487/D1487*100</f>
        <v>75</v>
      </c>
      <c r="G1487" s="89"/>
      <c r="H1487" s="126"/>
      <c r="I1487" s="368"/>
      <c r="J1487" s="126"/>
      <c r="K1487" s="89"/>
      <c r="L1487" s="391"/>
      <c r="M1487" s="88">
        <f>62800+5300</f>
        <v>68100</v>
      </c>
      <c r="N1487" s="89">
        <v>51075</v>
      </c>
      <c r="O1487" s="442">
        <f t="shared" si="190"/>
        <v>75</v>
      </c>
      <c r="P1487" s="89"/>
      <c r="Q1487" s="89"/>
      <c r="R1487" s="362"/>
    </row>
    <row r="1488" spans="1:18" s="118" customFormat="1" ht="36">
      <c r="A1488" s="172">
        <v>4700</v>
      </c>
      <c r="B1488" s="337" t="s">
        <v>285</v>
      </c>
      <c r="C1488" s="88">
        <v>2500</v>
      </c>
      <c r="D1488" s="74">
        <f t="shared" si="187"/>
        <v>2500</v>
      </c>
      <c r="E1488" s="89">
        <f t="shared" si="193"/>
        <v>720</v>
      </c>
      <c r="F1488" s="468">
        <f t="shared" si="192"/>
        <v>28.799999999999997</v>
      </c>
      <c r="G1488" s="89"/>
      <c r="H1488" s="126"/>
      <c r="I1488" s="368"/>
      <c r="J1488" s="126"/>
      <c r="K1488" s="89"/>
      <c r="L1488" s="391"/>
      <c r="M1488" s="88">
        <v>2500</v>
      </c>
      <c r="N1488" s="89">
        <v>720</v>
      </c>
      <c r="O1488" s="442">
        <f t="shared" si="190"/>
        <v>28.799999999999997</v>
      </c>
      <c r="P1488" s="89"/>
      <c r="Q1488" s="89"/>
      <c r="R1488" s="362"/>
    </row>
    <row r="1489" spans="1:18" s="118" customFormat="1" ht="60">
      <c r="A1489" s="172">
        <v>4740</v>
      </c>
      <c r="B1489" s="337" t="s">
        <v>290</v>
      </c>
      <c r="C1489" s="126">
        <v>500</v>
      </c>
      <c r="D1489" s="74">
        <f t="shared" si="187"/>
        <v>500</v>
      </c>
      <c r="E1489" s="89">
        <f t="shared" si="193"/>
        <v>473</v>
      </c>
      <c r="F1489" s="468">
        <f t="shared" si="192"/>
        <v>94.6</v>
      </c>
      <c r="G1489" s="89"/>
      <c r="H1489" s="126"/>
      <c r="I1489" s="368"/>
      <c r="J1489" s="126"/>
      <c r="K1489" s="89"/>
      <c r="L1489" s="391"/>
      <c r="M1489" s="126">
        <v>500</v>
      </c>
      <c r="N1489" s="89">
        <v>473</v>
      </c>
      <c r="O1489" s="442">
        <f t="shared" si="190"/>
        <v>94.6</v>
      </c>
      <c r="P1489" s="89"/>
      <c r="Q1489" s="89"/>
      <c r="R1489" s="362"/>
    </row>
    <row r="1490" spans="1:18" s="118" customFormat="1" ht="36">
      <c r="A1490" s="172">
        <v>4750</v>
      </c>
      <c r="B1490" s="337" t="s">
        <v>291</v>
      </c>
      <c r="C1490" s="126">
        <v>3000</v>
      </c>
      <c r="D1490" s="74">
        <f t="shared" si="187"/>
        <v>3000</v>
      </c>
      <c r="E1490" s="89">
        <f t="shared" si="193"/>
        <v>1462</v>
      </c>
      <c r="F1490" s="468">
        <f t="shared" si="192"/>
        <v>48.733333333333334</v>
      </c>
      <c r="G1490" s="89"/>
      <c r="H1490" s="126"/>
      <c r="I1490" s="368"/>
      <c r="J1490" s="126"/>
      <c r="K1490" s="89"/>
      <c r="L1490" s="391"/>
      <c r="M1490" s="126">
        <v>3000</v>
      </c>
      <c r="N1490" s="89">
        <v>1462</v>
      </c>
      <c r="O1490" s="442">
        <f t="shared" si="190"/>
        <v>48.733333333333334</v>
      </c>
      <c r="P1490" s="89"/>
      <c r="Q1490" s="89"/>
      <c r="R1490" s="362"/>
    </row>
    <row r="1491" spans="1:18" s="118" customFormat="1" ht="36">
      <c r="A1491" s="172">
        <v>6060</v>
      </c>
      <c r="B1491" s="337" t="s">
        <v>49</v>
      </c>
      <c r="C1491" s="126">
        <v>7000</v>
      </c>
      <c r="D1491" s="74">
        <f t="shared" si="187"/>
        <v>7000</v>
      </c>
      <c r="E1491" s="89">
        <f t="shared" si="193"/>
        <v>0</v>
      </c>
      <c r="F1491" s="468">
        <f t="shared" si="192"/>
        <v>0</v>
      </c>
      <c r="G1491" s="89"/>
      <c r="H1491" s="126"/>
      <c r="I1491" s="368"/>
      <c r="J1491" s="126"/>
      <c r="K1491" s="89"/>
      <c r="L1491" s="391"/>
      <c r="M1491" s="126">
        <v>7000</v>
      </c>
      <c r="N1491" s="89"/>
      <c r="O1491" s="442">
        <f t="shared" si="190"/>
        <v>0</v>
      </c>
      <c r="P1491" s="89"/>
      <c r="Q1491" s="89"/>
      <c r="R1491" s="362"/>
    </row>
    <row r="1492" spans="1:18" s="118" customFormat="1" ht="24">
      <c r="A1492" s="119">
        <v>85410</v>
      </c>
      <c r="B1492" s="276" t="s">
        <v>131</v>
      </c>
      <c r="C1492" s="121">
        <f>SUM(C1493:C1514)</f>
        <v>2446800</v>
      </c>
      <c r="D1492" s="95">
        <f t="shared" si="187"/>
        <v>2458165</v>
      </c>
      <c r="E1492" s="84">
        <f>H1492+K1492+Q1492+N1492</f>
        <v>1275810</v>
      </c>
      <c r="F1492" s="467">
        <f t="shared" si="192"/>
        <v>51.900909825011745</v>
      </c>
      <c r="G1492" s="149"/>
      <c r="H1492" s="148"/>
      <c r="I1492" s="381"/>
      <c r="J1492" s="148"/>
      <c r="K1492" s="149"/>
      <c r="L1492" s="406"/>
      <c r="M1492" s="84">
        <f>SUM(M1493:M1515)</f>
        <v>2458165</v>
      </c>
      <c r="N1492" s="84">
        <f>SUM(N1493:N1515)</f>
        <v>1275810</v>
      </c>
      <c r="O1492" s="448">
        <f t="shared" si="190"/>
        <v>51.900909825011745</v>
      </c>
      <c r="P1492" s="84"/>
      <c r="Q1492" s="84"/>
      <c r="R1492" s="372"/>
    </row>
    <row r="1493" spans="1:18" s="118" customFormat="1" ht="36">
      <c r="A1493" s="144">
        <v>3020</v>
      </c>
      <c r="B1493" s="302" t="s">
        <v>257</v>
      </c>
      <c r="C1493" s="146">
        <v>8000</v>
      </c>
      <c r="D1493" s="147">
        <f t="shared" si="187"/>
        <v>8000</v>
      </c>
      <c r="E1493" s="149">
        <f aca="true" t="shared" si="194" ref="E1493:E1536">SUM(H1493+K1493+N1493+Q1493)</f>
        <v>1621</v>
      </c>
      <c r="F1493" s="467">
        <f t="shared" si="192"/>
        <v>20.2625</v>
      </c>
      <c r="G1493" s="149"/>
      <c r="H1493" s="148"/>
      <c r="I1493" s="381"/>
      <c r="J1493" s="148"/>
      <c r="K1493" s="149"/>
      <c r="L1493" s="406"/>
      <c r="M1493" s="146">
        <v>8000</v>
      </c>
      <c r="N1493" s="149">
        <f>1620+1</f>
        <v>1621</v>
      </c>
      <c r="O1493" s="448">
        <f t="shared" si="190"/>
        <v>20.2625</v>
      </c>
      <c r="P1493" s="149"/>
      <c r="Q1493" s="149"/>
      <c r="R1493" s="372"/>
    </row>
    <row r="1494" spans="1:18" s="118" customFormat="1" ht="24">
      <c r="A1494" s="124">
        <v>4010</v>
      </c>
      <c r="B1494" s="277" t="s">
        <v>492</v>
      </c>
      <c r="C1494" s="88">
        <v>1320000</v>
      </c>
      <c r="D1494" s="74">
        <f aca="true" t="shared" si="195" ref="D1494:D1557">G1494+J1494+P1494+M1494</f>
        <v>1320000</v>
      </c>
      <c r="E1494" s="89">
        <f t="shared" si="194"/>
        <v>661422</v>
      </c>
      <c r="F1494" s="468">
        <f t="shared" si="192"/>
        <v>50.107727272727274</v>
      </c>
      <c r="G1494" s="89"/>
      <c r="H1494" s="126"/>
      <c r="I1494" s="368"/>
      <c r="J1494" s="126"/>
      <c r="K1494" s="89"/>
      <c r="L1494" s="391"/>
      <c r="M1494" s="88">
        <v>1320000</v>
      </c>
      <c r="N1494" s="89">
        <v>661422</v>
      </c>
      <c r="O1494" s="442">
        <f t="shared" si="190"/>
        <v>50.107727272727274</v>
      </c>
      <c r="P1494" s="89"/>
      <c r="Q1494" s="89"/>
      <c r="R1494" s="362"/>
    </row>
    <row r="1495" spans="1:18" s="118" customFormat="1" ht="24">
      <c r="A1495" s="124">
        <v>4040</v>
      </c>
      <c r="B1495" s="277" t="s">
        <v>496</v>
      </c>
      <c r="C1495" s="88">
        <v>109500</v>
      </c>
      <c r="D1495" s="74">
        <f t="shared" si="195"/>
        <v>104655</v>
      </c>
      <c r="E1495" s="89">
        <f t="shared" si="194"/>
        <v>104654</v>
      </c>
      <c r="F1495" s="468">
        <f t="shared" si="192"/>
        <v>99.99904447948019</v>
      </c>
      <c r="G1495" s="89"/>
      <c r="H1495" s="126"/>
      <c r="I1495" s="368"/>
      <c r="J1495" s="126"/>
      <c r="K1495" s="89"/>
      <c r="L1495" s="391"/>
      <c r="M1495" s="88">
        <f>109500-4845</f>
        <v>104655</v>
      </c>
      <c r="N1495" s="89">
        <v>104654</v>
      </c>
      <c r="O1495" s="442">
        <f t="shared" si="190"/>
        <v>99.99904447948019</v>
      </c>
      <c r="P1495" s="89"/>
      <c r="Q1495" s="89"/>
      <c r="R1495" s="362"/>
    </row>
    <row r="1496" spans="1:18" s="118" customFormat="1" ht="24">
      <c r="A1496" s="124">
        <v>4110</v>
      </c>
      <c r="B1496" s="277" t="s">
        <v>498</v>
      </c>
      <c r="C1496" s="88">
        <v>216000</v>
      </c>
      <c r="D1496" s="74">
        <f t="shared" si="195"/>
        <v>216000</v>
      </c>
      <c r="E1496" s="89">
        <f t="shared" si="194"/>
        <v>111202</v>
      </c>
      <c r="F1496" s="468">
        <f t="shared" si="192"/>
        <v>51.48240740740741</v>
      </c>
      <c r="G1496" s="89"/>
      <c r="H1496" s="126"/>
      <c r="I1496" s="368"/>
      <c r="J1496" s="126"/>
      <c r="K1496" s="89"/>
      <c r="L1496" s="391"/>
      <c r="M1496" s="88">
        <v>216000</v>
      </c>
      <c r="N1496" s="89">
        <v>111202</v>
      </c>
      <c r="O1496" s="442">
        <f t="shared" si="190"/>
        <v>51.48240740740741</v>
      </c>
      <c r="P1496" s="89"/>
      <c r="Q1496" s="89"/>
      <c r="R1496" s="362"/>
    </row>
    <row r="1497" spans="1:18" s="118" customFormat="1" ht="12.75">
      <c r="A1497" s="124">
        <v>4120</v>
      </c>
      <c r="B1497" s="277" t="s">
        <v>571</v>
      </c>
      <c r="C1497" s="88">
        <v>34600</v>
      </c>
      <c r="D1497" s="74">
        <f t="shared" si="195"/>
        <v>34600</v>
      </c>
      <c r="E1497" s="89">
        <f t="shared" si="194"/>
        <v>16911</v>
      </c>
      <c r="F1497" s="468">
        <f t="shared" si="192"/>
        <v>48.8757225433526</v>
      </c>
      <c r="G1497" s="89"/>
      <c r="H1497" s="126"/>
      <c r="I1497" s="368"/>
      <c r="J1497" s="126"/>
      <c r="K1497" s="89"/>
      <c r="L1497" s="391"/>
      <c r="M1497" s="88">
        <v>34600</v>
      </c>
      <c r="N1497" s="89">
        <v>16911</v>
      </c>
      <c r="O1497" s="442">
        <f t="shared" si="190"/>
        <v>48.8757225433526</v>
      </c>
      <c r="P1497" s="89"/>
      <c r="Q1497" s="89"/>
      <c r="R1497" s="362"/>
    </row>
    <row r="1498" spans="1:18" s="118" customFormat="1" ht="12.75">
      <c r="A1498" s="124">
        <v>4140</v>
      </c>
      <c r="B1498" s="277" t="s">
        <v>544</v>
      </c>
      <c r="C1498" s="88">
        <v>12300</v>
      </c>
      <c r="D1498" s="74">
        <f t="shared" si="195"/>
        <v>12300</v>
      </c>
      <c r="E1498" s="89">
        <f t="shared" si="194"/>
        <v>5100</v>
      </c>
      <c r="F1498" s="468">
        <f t="shared" si="192"/>
        <v>41.46341463414634</v>
      </c>
      <c r="G1498" s="89"/>
      <c r="H1498" s="126"/>
      <c r="I1498" s="368"/>
      <c r="J1498" s="126"/>
      <c r="K1498" s="89"/>
      <c r="L1498" s="391"/>
      <c r="M1498" s="88">
        <v>12300</v>
      </c>
      <c r="N1498" s="89">
        <v>5100</v>
      </c>
      <c r="O1498" s="442">
        <f t="shared" si="190"/>
        <v>41.46341463414634</v>
      </c>
      <c r="P1498" s="89"/>
      <c r="Q1498" s="89"/>
      <c r="R1498" s="362"/>
    </row>
    <row r="1499" spans="1:18" s="118" customFormat="1" ht="24">
      <c r="A1499" s="124">
        <v>4170</v>
      </c>
      <c r="B1499" s="277" t="s">
        <v>536</v>
      </c>
      <c r="C1499" s="88">
        <v>25000</v>
      </c>
      <c r="D1499" s="74">
        <f t="shared" si="195"/>
        <v>25000</v>
      </c>
      <c r="E1499" s="89">
        <f t="shared" si="194"/>
        <v>5753</v>
      </c>
      <c r="F1499" s="468">
        <f t="shared" si="192"/>
        <v>23.012</v>
      </c>
      <c r="G1499" s="89"/>
      <c r="H1499" s="126"/>
      <c r="I1499" s="368"/>
      <c r="J1499" s="126"/>
      <c r="K1499" s="89"/>
      <c r="L1499" s="391"/>
      <c r="M1499" s="88">
        <v>25000</v>
      </c>
      <c r="N1499" s="89">
        <v>5753</v>
      </c>
      <c r="O1499" s="442">
        <f t="shared" si="190"/>
        <v>23.012</v>
      </c>
      <c r="P1499" s="89"/>
      <c r="Q1499" s="89"/>
      <c r="R1499" s="362"/>
    </row>
    <row r="1500" spans="1:18" s="118" customFormat="1" ht="24">
      <c r="A1500" s="124">
        <v>4210</v>
      </c>
      <c r="B1500" s="277" t="s">
        <v>502</v>
      </c>
      <c r="C1500" s="88">
        <v>65000</v>
      </c>
      <c r="D1500" s="74">
        <f t="shared" si="195"/>
        <v>69000</v>
      </c>
      <c r="E1500" s="89">
        <f t="shared" si="194"/>
        <v>23529</v>
      </c>
      <c r="F1500" s="468">
        <f t="shared" si="192"/>
        <v>34.1</v>
      </c>
      <c r="G1500" s="89"/>
      <c r="H1500" s="126"/>
      <c r="I1500" s="368"/>
      <c r="J1500" s="126"/>
      <c r="K1500" s="89"/>
      <c r="L1500" s="391"/>
      <c r="M1500" s="88">
        <f>65000+4000</f>
        <v>69000</v>
      </c>
      <c r="N1500" s="89">
        <v>23529</v>
      </c>
      <c r="O1500" s="442">
        <f t="shared" si="190"/>
        <v>34.1</v>
      </c>
      <c r="P1500" s="89"/>
      <c r="Q1500" s="89"/>
      <c r="R1500" s="362"/>
    </row>
    <row r="1501" spans="1:18" s="118" customFormat="1" ht="36">
      <c r="A1501" s="124">
        <v>4240</v>
      </c>
      <c r="B1501" s="277" t="s">
        <v>129</v>
      </c>
      <c r="C1501" s="88">
        <v>1000</v>
      </c>
      <c r="D1501" s="74">
        <f t="shared" si="195"/>
        <v>1000</v>
      </c>
      <c r="E1501" s="89">
        <f t="shared" si="194"/>
        <v>0</v>
      </c>
      <c r="F1501" s="468">
        <f>E1501/D1501*100</f>
        <v>0</v>
      </c>
      <c r="G1501" s="89"/>
      <c r="H1501" s="126"/>
      <c r="I1501" s="368"/>
      <c r="J1501" s="126"/>
      <c r="K1501" s="89"/>
      <c r="L1501" s="391"/>
      <c r="M1501" s="88">
        <v>1000</v>
      </c>
      <c r="N1501" s="89"/>
      <c r="O1501" s="442">
        <f t="shared" si="190"/>
        <v>0</v>
      </c>
      <c r="P1501" s="89"/>
      <c r="Q1501" s="89"/>
      <c r="R1501" s="362"/>
    </row>
    <row r="1502" spans="1:18" s="118" customFormat="1" ht="12.75">
      <c r="A1502" s="124">
        <v>4260</v>
      </c>
      <c r="B1502" s="277" t="s">
        <v>506</v>
      </c>
      <c r="C1502" s="88">
        <v>300000</v>
      </c>
      <c r="D1502" s="74">
        <f t="shared" si="195"/>
        <v>300000</v>
      </c>
      <c r="E1502" s="89">
        <f t="shared" si="194"/>
        <v>219366</v>
      </c>
      <c r="F1502" s="468">
        <f t="shared" si="192"/>
        <v>73.122</v>
      </c>
      <c r="G1502" s="89"/>
      <c r="H1502" s="126"/>
      <c r="I1502" s="368"/>
      <c r="J1502" s="126"/>
      <c r="K1502" s="89"/>
      <c r="L1502" s="391"/>
      <c r="M1502" s="88">
        <v>300000</v>
      </c>
      <c r="N1502" s="89">
        <v>219366</v>
      </c>
      <c r="O1502" s="442">
        <f t="shared" si="190"/>
        <v>73.122</v>
      </c>
      <c r="P1502" s="89"/>
      <c r="Q1502" s="89"/>
      <c r="R1502" s="362"/>
    </row>
    <row r="1503" spans="1:18" s="118" customFormat="1" ht="15.75" customHeight="1">
      <c r="A1503" s="124">
        <v>4270</v>
      </c>
      <c r="B1503" s="277" t="s">
        <v>508</v>
      </c>
      <c r="C1503" s="88">
        <v>18000</v>
      </c>
      <c r="D1503" s="74">
        <f t="shared" si="195"/>
        <v>18000</v>
      </c>
      <c r="E1503" s="89">
        <f t="shared" si="194"/>
        <v>6838</v>
      </c>
      <c r="F1503" s="468">
        <f t="shared" si="192"/>
        <v>37.98888888888889</v>
      </c>
      <c r="G1503" s="89"/>
      <c r="H1503" s="126"/>
      <c r="I1503" s="368"/>
      <c r="J1503" s="126"/>
      <c r="K1503" s="89"/>
      <c r="L1503" s="391"/>
      <c r="M1503" s="88">
        <v>18000</v>
      </c>
      <c r="N1503" s="89">
        <v>6838</v>
      </c>
      <c r="O1503" s="442">
        <f t="shared" si="190"/>
        <v>37.98888888888889</v>
      </c>
      <c r="P1503" s="89"/>
      <c r="Q1503" s="89"/>
      <c r="R1503" s="362"/>
    </row>
    <row r="1504" spans="1:18" s="118" customFormat="1" ht="15.75" customHeight="1">
      <c r="A1504" s="124">
        <v>4280</v>
      </c>
      <c r="B1504" s="277" t="s">
        <v>545</v>
      </c>
      <c r="C1504" s="88">
        <v>2600</v>
      </c>
      <c r="D1504" s="74">
        <f t="shared" si="195"/>
        <v>2600</v>
      </c>
      <c r="E1504" s="89">
        <f t="shared" si="194"/>
        <v>382</v>
      </c>
      <c r="F1504" s="468">
        <f t="shared" si="192"/>
        <v>14.692307692307693</v>
      </c>
      <c r="G1504" s="89"/>
      <c r="H1504" s="126"/>
      <c r="I1504" s="368"/>
      <c r="J1504" s="126"/>
      <c r="K1504" s="89"/>
      <c r="L1504" s="391"/>
      <c r="M1504" s="88">
        <v>2600</v>
      </c>
      <c r="N1504" s="89">
        <v>382</v>
      </c>
      <c r="O1504" s="442">
        <f t="shared" si="190"/>
        <v>14.692307692307693</v>
      </c>
      <c r="P1504" s="89"/>
      <c r="Q1504" s="89"/>
      <c r="R1504" s="362"/>
    </row>
    <row r="1505" spans="1:18" s="118" customFormat="1" ht="12.75" customHeight="1">
      <c r="A1505" s="124">
        <v>4300</v>
      </c>
      <c r="B1505" s="277" t="s">
        <v>510</v>
      </c>
      <c r="C1505" s="88">
        <v>99000</v>
      </c>
      <c r="D1505" s="74">
        <f t="shared" si="195"/>
        <v>99000</v>
      </c>
      <c r="E1505" s="89">
        <f t="shared" si="194"/>
        <v>45604</v>
      </c>
      <c r="F1505" s="468">
        <f t="shared" si="192"/>
        <v>46.064646464646465</v>
      </c>
      <c r="G1505" s="89"/>
      <c r="H1505" s="126"/>
      <c r="I1505" s="368"/>
      <c r="J1505" s="126"/>
      <c r="K1505" s="89"/>
      <c r="L1505" s="391"/>
      <c r="M1505" s="88">
        <v>99000</v>
      </c>
      <c r="N1505" s="89">
        <v>45604</v>
      </c>
      <c r="O1505" s="442">
        <f t="shared" si="190"/>
        <v>46.064646464646465</v>
      </c>
      <c r="P1505" s="89"/>
      <c r="Q1505" s="89"/>
      <c r="R1505" s="362"/>
    </row>
    <row r="1506" spans="1:18" s="118" customFormat="1" ht="24">
      <c r="A1506" s="124">
        <v>4350</v>
      </c>
      <c r="B1506" s="277" t="s">
        <v>48</v>
      </c>
      <c r="C1506" s="88">
        <v>5000</v>
      </c>
      <c r="D1506" s="74">
        <f t="shared" si="195"/>
        <v>5000</v>
      </c>
      <c r="E1506" s="89">
        <f t="shared" si="194"/>
        <v>1320</v>
      </c>
      <c r="F1506" s="468">
        <f t="shared" si="192"/>
        <v>26.400000000000002</v>
      </c>
      <c r="G1506" s="89"/>
      <c r="H1506" s="126"/>
      <c r="I1506" s="368"/>
      <c r="J1506" s="126"/>
      <c r="K1506" s="89"/>
      <c r="L1506" s="391"/>
      <c r="M1506" s="88">
        <v>5000</v>
      </c>
      <c r="N1506" s="89">
        <v>1320</v>
      </c>
      <c r="O1506" s="442">
        <f t="shared" si="190"/>
        <v>26.400000000000002</v>
      </c>
      <c r="P1506" s="89"/>
      <c r="Q1506" s="89"/>
      <c r="R1506" s="362"/>
    </row>
    <row r="1507" spans="1:18" s="118" customFormat="1" ht="48">
      <c r="A1507" s="172">
        <v>4370</v>
      </c>
      <c r="B1507" s="337" t="s">
        <v>298</v>
      </c>
      <c r="C1507" s="88">
        <v>10000</v>
      </c>
      <c r="D1507" s="74">
        <f t="shared" si="195"/>
        <v>10000</v>
      </c>
      <c r="E1507" s="89">
        <f>SUM(H1507+K1507+N1507+Q1507)</f>
        <v>5169</v>
      </c>
      <c r="F1507" s="468">
        <f>E1507/D1507*100</f>
        <v>51.690000000000005</v>
      </c>
      <c r="G1507" s="89"/>
      <c r="H1507" s="126"/>
      <c r="I1507" s="368"/>
      <c r="J1507" s="126"/>
      <c r="K1507" s="89"/>
      <c r="L1507" s="391"/>
      <c r="M1507" s="88">
        <v>10000</v>
      </c>
      <c r="N1507" s="89">
        <v>5169</v>
      </c>
      <c r="O1507" s="442">
        <f t="shared" si="190"/>
        <v>51.690000000000005</v>
      </c>
      <c r="P1507" s="89"/>
      <c r="Q1507" s="89"/>
      <c r="R1507" s="362"/>
    </row>
    <row r="1508" spans="1:18" s="118" customFormat="1" ht="36">
      <c r="A1508" s="124">
        <v>4390</v>
      </c>
      <c r="B1508" s="206" t="s">
        <v>268</v>
      </c>
      <c r="C1508" s="88">
        <v>3000</v>
      </c>
      <c r="D1508" s="74">
        <f t="shared" si="195"/>
        <v>5000</v>
      </c>
      <c r="E1508" s="89">
        <f>SUM(H1508+K1508+N1508+Q1508)</f>
        <v>99</v>
      </c>
      <c r="F1508" s="468">
        <f>E1508/D1508*100</f>
        <v>1.9800000000000002</v>
      </c>
      <c r="G1508" s="89"/>
      <c r="H1508" s="126"/>
      <c r="I1508" s="368"/>
      <c r="J1508" s="126"/>
      <c r="K1508" s="89"/>
      <c r="L1508" s="391"/>
      <c r="M1508" s="88">
        <f>3000+2000</f>
        <v>5000</v>
      </c>
      <c r="N1508" s="89">
        <v>99</v>
      </c>
      <c r="O1508" s="442">
        <f t="shared" si="190"/>
        <v>1.9800000000000002</v>
      </c>
      <c r="P1508" s="89"/>
      <c r="Q1508" s="89"/>
      <c r="R1508" s="362"/>
    </row>
    <row r="1509" spans="1:18" s="118" customFormat="1" ht="16.5" customHeight="1">
      <c r="A1509" s="124">
        <v>4410</v>
      </c>
      <c r="B1509" s="277" t="s">
        <v>484</v>
      </c>
      <c r="C1509" s="88">
        <v>3500</v>
      </c>
      <c r="D1509" s="74">
        <f t="shared" si="195"/>
        <v>3500</v>
      </c>
      <c r="E1509" s="89">
        <f t="shared" si="194"/>
        <v>1620</v>
      </c>
      <c r="F1509" s="468">
        <f t="shared" si="192"/>
        <v>46.285714285714285</v>
      </c>
      <c r="G1509" s="89"/>
      <c r="H1509" s="126"/>
      <c r="I1509" s="368"/>
      <c r="J1509" s="126"/>
      <c r="K1509" s="89"/>
      <c r="L1509" s="391"/>
      <c r="M1509" s="88">
        <v>3500</v>
      </c>
      <c r="N1509" s="89">
        <v>1620</v>
      </c>
      <c r="O1509" s="442">
        <f t="shared" si="190"/>
        <v>46.285714285714285</v>
      </c>
      <c r="P1509" s="89"/>
      <c r="Q1509" s="89"/>
      <c r="R1509" s="362"/>
    </row>
    <row r="1510" spans="1:18" s="118" customFormat="1" ht="12.75">
      <c r="A1510" s="124">
        <v>4440</v>
      </c>
      <c r="B1510" s="277" t="s">
        <v>514</v>
      </c>
      <c r="C1510" s="88">
        <v>72100</v>
      </c>
      <c r="D1510" s="74">
        <f t="shared" si="195"/>
        <v>76310</v>
      </c>
      <c r="E1510" s="89">
        <f>SUM(H1510+K1510+N1510+Q1510)</f>
        <v>60883</v>
      </c>
      <c r="F1510" s="468">
        <f>E1510/D1510*100</f>
        <v>79.7837767003014</v>
      </c>
      <c r="G1510" s="89"/>
      <c r="H1510" s="126"/>
      <c r="I1510" s="368"/>
      <c r="J1510" s="126"/>
      <c r="K1510" s="89"/>
      <c r="L1510" s="391"/>
      <c r="M1510" s="88">
        <f>72100+3130+1080</f>
        <v>76310</v>
      </c>
      <c r="N1510" s="89">
        <v>60883</v>
      </c>
      <c r="O1510" s="442">
        <f t="shared" si="190"/>
        <v>79.7837767003014</v>
      </c>
      <c r="P1510" s="89"/>
      <c r="Q1510" s="89"/>
      <c r="R1510" s="362"/>
    </row>
    <row r="1511" spans="1:18" s="118" customFormat="1" ht="36">
      <c r="A1511" s="172">
        <v>4700</v>
      </c>
      <c r="B1511" s="337" t="s">
        <v>285</v>
      </c>
      <c r="C1511" s="88">
        <v>4000</v>
      </c>
      <c r="D1511" s="74">
        <f t="shared" si="195"/>
        <v>4000</v>
      </c>
      <c r="E1511" s="89">
        <f>SUM(H1511+K1511+N1511+Q1511)</f>
        <v>1149</v>
      </c>
      <c r="F1511" s="468">
        <f>E1511/D1511*100</f>
        <v>28.725</v>
      </c>
      <c r="G1511" s="89"/>
      <c r="H1511" s="126"/>
      <c r="I1511" s="368"/>
      <c r="J1511" s="126"/>
      <c r="K1511" s="89"/>
      <c r="L1511" s="391"/>
      <c r="M1511" s="88">
        <v>4000</v>
      </c>
      <c r="N1511" s="89">
        <v>1149</v>
      </c>
      <c r="O1511" s="442">
        <f t="shared" si="190"/>
        <v>28.725</v>
      </c>
      <c r="P1511" s="89"/>
      <c r="Q1511" s="89"/>
      <c r="R1511" s="362"/>
    </row>
    <row r="1512" spans="1:18" s="118" customFormat="1" ht="60">
      <c r="A1512" s="172">
        <v>4740</v>
      </c>
      <c r="B1512" s="337" t="s">
        <v>290</v>
      </c>
      <c r="C1512" s="88">
        <v>2200</v>
      </c>
      <c r="D1512" s="74">
        <f t="shared" si="195"/>
        <v>2200</v>
      </c>
      <c r="E1512" s="89">
        <f>SUM(H1512+K1512+N1512+Q1512)</f>
        <v>148</v>
      </c>
      <c r="F1512" s="468">
        <f>E1512/D1512*100</f>
        <v>6.7272727272727275</v>
      </c>
      <c r="G1512" s="89"/>
      <c r="H1512" s="126"/>
      <c r="I1512" s="368"/>
      <c r="J1512" s="126"/>
      <c r="K1512" s="89"/>
      <c r="L1512" s="391"/>
      <c r="M1512" s="88">
        <v>2200</v>
      </c>
      <c r="N1512" s="89">
        <f>147+1</f>
        <v>148</v>
      </c>
      <c r="O1512" s="442">
        <f t="shared" si="190"/>
        <v>6.7272727272727275</v>
      </c>
      <c r="P1512" s="89"/>
      <c r="Q1512" s="89"/>
      <c r="R1512" s="362"/>
    </row>
    <row r="1513" spans="1:18" s="118" customFormat="1" ht="36">
      <c r="A1513" s="172">
        <v>4750</v>
      </c>
      <c r="B1513" s="337" t="s">
        <v>291</v>
      </c>
      <c r="C1513" s="88">
        <v>7500</v>
      </c>
      <c r="D1513" s="74">
        <f t="shared" si="195"/>
        <v>7500</v>
      </c>
      <c r="E1513" s="89">
        <f>SUM(H1513+K1513+N1513+Q1513)</f>
        <v>2064</v>
      </c>
      <c r="F1513" s="468">
        <f>E1513/D1513*100</f>
        <v>27.52</v>
      </c>
      <c r="G1513" s="89"/>
      <c r="H1513" s="126"/>
      <c r="I1513" s="368"/>
      <c r="J1513" s="126"/>
      <c r="K1513" s="89"/>
      <c r="L1513" s="391"/>
      <c r="M1513" s="88">
        <v>7500</v>
      </c>
      <c r="N1513" s="89">
        <v>2064</v>
      </c>
      <c r="O1513" s="442">
        <f t="shared" si="190"/>
        <v>27.52</v>
      </c>
      <c r="P1513" s="89"/>
      <c r="Q1513" s="89"/>
      <c r="R1513" s="362"/>
    </row>
    <row r="1514" spans="1:18" s="118" customFormat="1" ht="24">
      <c r="A1514" s="158">
        <v>6050</v>
      </c>
      <c r="B1514" s="278" t="s">
        <v>574</v>
      </c>
      <c r="C1514" s="160">
        <v>128500</v>
      </c>
      <c r="D1514" s="161">
        <f t="shared" si="195"/>
        <v>134500</v>
      </c>
      <c r="E1514" s="155">
        <f t="shared" si="194"/>
        <v>976</v>
      </c>
      <c r="F1514" s="469">
        <f t="shared" si="192"/>
        <v>0.7256505576208179</v>
      </c>
      <c r="G1514" s="155"/>
      <c r="H1514" s="162"/>
      <c r="I1514" s="387"/>
      <c r="J1514" s="162"/>
      <c r="K1514" s="155"/>
      <c r="L1514" s="415"/>
      <c r="M1514" s="160">
        <f>128500+6000</f>
        <v>134500</v>
      </c>
      <c r="N1514" s="155">
        <v>976</v>
      </c>
      <c r="O1514" s="462">
        <f t="shared" si="190"/>
        <v>0.7256505576208179</v>
      </c>
      <c r="P1514" s="155"/>
      <c r="Q1514" s="155"/>
      <c r="R1514" s="366"/>
    </row>
    <row r="1515" spans="1:18" s="118" customFormat="1" ht="24" hidden="1">
      <c r="A1515" s="158">
        <v>4480</v>
      </c>
      <c r="B1515" s="278" t="s">
        <v>516</v>
      </c>
      <c r="C1515" s="88"/>
      <c r="D1515" s="74">
        <f t="shared" si="195"/>
        <v>0</v>
      </c>
      <c r="E1515" s="89">
        <f t="shared" si="194"/>
        <v>0</v>
      </c>
      <c r="F1515" s="468"/>
      <c r="G1515" s="155"/>
      <c r="H1515" s="162"/>
      <c r="I1515" s="387"/>
      <c r="J1515" s="162"/>
      <c r="K1515" s="155"/>
      <c r="L1515" s="415"/>
      <c r="M1515" s="88">
        <f>1296-1296</f>
        <v>0</v>
      </c>
      <c r="N1515" s="89"/>
      <c r="O1515" s="224"/>
      <c r="P1515" s="155"/>
      <c r="Q1515" s="155"/>
      <c r="R1515" s="366"/>
    </row>
    <row r="1516" spans="1:18" s="143" customFormat="1" ht="26.25" customHeight="1" hidden="1">
      <c r="A1516" s="150">
        <v>85415</v>
      </c>
      <c r="B1516" s="299" t="s">
        <v>132</v>
      </c>
      <c r="C1516" s="94"/>
      <c r="D1516" s="95">
        <f t="shared" si="195"/>
        <v>0</v>
      </c>
      <c r="E1516" s="89">
        <f t="shared" si="194"/>
        <v>0</v>
      </c>
      <c r="F1516" s="476" t="e">
        <f aca="true" t="shared" si="196" ref="F1516:F1564">E1516/D1516*100</f>
        <v>#DIV/0!</v>
      </c>
      <c r="G1516" s="95">
        <f>SUM(G1517)</f>
        <v>0</v>
      </c>
      <c r="H1516" s="95">
        <f>SUM(H1517)</f>
        <v>0</v>
      </c>
      <c r="I1516" s="316" t="e">
        <f aca="true" t="shared" si="197" ref="I1516:I1579">H1516/G1516*100</f>
        <v>#DIV/0!</v>
      </c>
      <c r="J1516" s="171"/>
      <c r="K1516" s="95"/>
      <c r="L1516" s="417"/>
      <c r="M1516" s="95">
        <f>SUM(M1517)</f>
        <v>0</v>
      </c>
      <c r="N1516" s="95">
        <f>SUM(N1517)</f>
        <v>0</v>
      </c>
      <c r="O1516" s="271" t="e">
        <f aca="true" t="shared" si="198" ref="O1516:O1536">N1516/M1516*100</f>
        <v>#DIV/0!</v>
      </c>
      <c r="P1516" s="95"/>
      <c r="Q1516" s="95"/>
      <c r="R1516" s="370"/>
    </row>
    <row r="1517" spans="1:18" s="118" customFormat="1" ht="36" hidden="1">
      <c r="A1517" s="124">
        <v>3240</v>
      </c>
      <c r="B1517" s="277" t="s">
        <v>133</v>
      </c>
      <c r="C1517" s="88"/>
      <c r="D1517" s="74">
        <f t="shared" si="195"/>
        <v>0</v>
      </c>
      <c r="E1517" s="89">
        <f t="shared" si="194"/>
        <v>0</v>
      </c>
      <c r="F1517" s="477" t="e">
        <f t="shared" si="196"/>
        <v>#DIV/0!</v>
      </c>
      <c r="G1517" s="89">
        <v>0</v>
      </c>
      <c r="H1517" s="175">
        <v>0</v>
      </c>
      <c r="I1517" s="224" t="e">
        <f t="shared" si="197"/>
        <v>#DIV/0!</v>
      </c>
      <c r="J1517" s="126"/>
      <c r="K1517" s="89"/>
      <c r="L1517" s="391"/>
      <c r="M1517" s="89">
        <v>0</v>
      </c>
      <c r="N1517" s="89">
        <v>0</v>
      </c>
      <c r="O1517" s="348" t="e">
        <f t="shared" si="198"/>
        <v>#DIV/0!</v>
      </c>
      <c r="P1517" s="89"/>
      <c r="Q1517" s="89"/>
      <c r="R1517" s="362"/>
    </row>
    <row r="1518" spans="1:18" s="118" customFormat="1" ht="24">
      <c r="A1518" s="150">
        <v>85415</v>
      </c>
      <c r="B1518" s="299" t="s">
        <v>132</v>
      </c>
      <c r="C1518" s="94">
        <f>SUM(C1521:C1528)</f>
        <v>44100</v>
      </c>
      <c r="D1518" s="95">
        <f t="shared" si="195"/>
        <v>646759</v>
      </c>
      <c r="E1518" s="95">
        <f t="shared" si="194"/>
        <v>541393</v>
      </c>
      <c r="F1518" s="476">
        <f t="shared" si="196"/>
        <v>83.70861480087638</v>
      </c>
      <c r="G1518" s="95">
        <f>SUM(G1521:G1524)</f>
        <v>588909</v>
      </c>
      <c r="H1518" s="95">
        <f>SUM(H1521:H1524)</f>
        <v>483782</v>
      </c>
      <c r="I1518" s="316">
        <f t="shared" si="197"/>
        <v>82.14885491646417</v>
      </c>
      <c r="J1518" s="171"/>
      <c r="K1518" s="95"/>
      <c r="L1518" s="417"/>
      <c r="M1518" s="95">
        <f>SUM(M1519:M1524)+M1528</f>
        <v>57850</v>
      </c>
      <c r="N1518" s="95">
        <f>SUM(N1519:N1524)+N1528</f>
        <v>57611</v>
      </c>
      <c r="O1518" s="448">
        <f t="shared" si="198"/>
        <v>99.58686257562663</v>
      </c>
      <c r="P1518" s="95"/>
      <c r="Q1518" s="95"/>
      <c r="R1518" s="370"/>
    </row>
    <row r="1519" spans="1:18" s="12" customFormat="1" ht="72" hidden="1">
      <c r="A1519" s="172">
        <v>2910</v>
      </c>
      <c r="B1519" s="292" t="s">
        <v>107</v>
      </c>
      <c r="C1519" s="174"/>
      <c r="D1519" s="74">
        <f t="shared" si="195"/>
        <v>0</v>
      </c>
      <c r="E1519" s="89">
        <f>SUM(H1519+K1519+N1519+Q1519)</f>
        <v>0</v>
      </c>
      <c r="F1519" s="468"/>
      <c r="G1519" s="74"/>
      <c r="H1519" s="175"/>
      <c r="I1519" s="224"/>
      <c r="J1519" s="175"/>
      <c r="K1519" s="74"/>
      <c r="L1519" s="391"/>
      <c r="M1519" s="74"/>
      <c r="N1519" s="74"/>
      <c r="O1519" s="442" t="e">
        <f t="shared" si="198"/>
        <v>#DIV/0!</v>
      </c>
      <c r="P1519" s="74"/>
      <c r="Q1519" s="74"/>
      <c r="R1519" s="362"/>
    </row>
    <row r="1520" spans="1:18" s="12" customFormat="1" ht="38.25" customHeight="1">
      <c r="A1520" s="172">
        <v>3040</v>
      </c>
      <c r="B1520" s="292" t="s">
        <v>78</v>
      </c>
      <c r="C1520" s="174"/>
      <c r="D1520" s="74">
        <f t="shared" si="195"/>
        <v>600</v>
      </c>
      <c r="E1520" s="89">
        <f>SUM(H1520+K1520+N1520+Q1520)</f>
        <v>600</v>
      </c>
      <c r="F1520" s="468">
        <f t="shared" si="196"/>
        <v>100</v>
      </c>
      <c r="G1520" s="74"/>
      <c r="H1520" s="175"/>
      <c r="I1520" s="224"/>
      <c r="J1520" s="175"/>
      <c r="K1520" s="74"/>
      <c r="L1520" s="391"/>
      <c r="M1520" s="74">
        <v>600</v>
      </c>
      <c r="N1520" s="74">
        <v>600</v>
      </c>
      <c r="O1520" s="442">
        <f t="shared" si="198"/>
        <v>100</v>
      </c>
      <c r="P1520" s="74"/>
      <c r="Q1520" s="74"/>
      <c r="R1520" s="362"/>
    </row>
    <row r="1521" spans="1:18" s="118" customFormat="1" ht="12.75">
      <c r="A1521" s="124">
        <v>3240</v>
      </c>
      <c r="B1521" s="277" t="s">
        <v>213</v>
      </c>
      <c r="C1521" s="88">
        <v>44100</v>
      </c>
      <c r="D1521" s="74">
        <f t="shared" si="195"/>
        <v>617331</v>
      </c>
      <c r="E1521" s="89">
        <f t="shared" si="194"/>
        <v>540793</v>
      </c>
      <c r="F1521" s="468">
        <f t="shared" si="196"/>
        <v>87.60178899164306</v>
      </c>
      <c r="G1521" s="89">
        <f>20000+547731-18350+10700</f>
        <v>560081</v>
      </c>
      <c r="H1521" s="175">
        <v>483782</v>
      </c>
      <c r="I1521" s="442">
        <f t="shared" si="197"/>
        <v>86.37714901951682</v>
      </c>
      <c r="J1521" s="126"/>
      <c r="K1521" s="89"/>
      <c r="L1521" s="391"/>
      <c r="M1521" s="89">
        <f>24100+29600-24100+27650</f>
        <v>57250</v>
      </c>
      <c r="N1521" s="89">
        <v>57011</v>
      </c>
      <c r="O1521" s="442">
        <f t="shared" si="198"/>
        <v>99.5825327510917</v>
      </c>
      <c r="P1521" s="89"/>
      <c r="Q1521" s="89"/>
      <c r="R1521" s="362"/>
    </row>
    <row r="1522" spans="1:18" s="118" customFormat="1" ht="24">
      <c r="A1522" s="124">
        <v>3260</v>
      </c>
      <c r="B1522" s="277" t="s">
        <v>425</v>
      </c>
      <c r="C1522" s="88"/>
      <c r="D1522" s="74">
        <f t="shared" si="195"/>
        <v>28828</v>
      </c>
      <c r="E1522" s="89">
        <f t="shared" si="194"/>
        <v>0</v>
      </c>
      <c r="F1522" s="468">
        <f t="shared" si="196"/>
        <v>0</v>
      </c>
      <c r="G1522" s="89">
        <v>28828</v>
      </c>
      <c r="H1522" s="175"/>
      <c r="I1522" s="442">
        <f t="shared" si="197"/>
        <v>0</v>
      </c>
      <c r="J1522" s="126"/>
      <c r="K1522" s="89"/>
      <c r="L1522" s="391"/>
      <c r="M1522" s="89"/>
      <c r="N1522" s="89"/>
      <c r="O1522" s="224"/>
      <c r="P1522" s="89"/>
      <c r="Q1522" s="89"/>
      <c r="R1522" s="362"/>
    </row>
    <row r="1523" spans="1:18" s="118" customFormat="1" ht="36" hidden="1">
      <c r="A1523" s="124">
        <v>4240</v>
      </c>
      <c r="B1523" s="277" t="s">
        <v>129</v>
      </c>
      <c r="C1523" s="88"/>
      <c r="D1523" s="74">
        <f t="shared" si="195"/>
        <v>0</v>
      </c>
      <c r="E1523" s="89">
        <f t="shared" si="194"/>
        <v>0</v>
      </c>
      <c r="F1523" s="468" t="e">
        <f t="shared" si="196"/>
        <v>#DIV/0!</v>
      </c>
      <c r="G1523" s="89"/>
      <c r="H1523" s="175"/>
      <c r="I1523" s="442" t="e">
        <f t="shared" si="197"/>
        <v>#DIV/0!</v>
      </c>
      <c r="J1523" s="126"/>
      <c r="K1523" s="89"/>
      <c r="L1523" s="391"/>
      <c r="M1523" s="89"/>
      <c r="N1523" s="89"/>
      <c r="O1523" s="224"/>
      <c r="P1523" s="89"/>
      <c r="Q1523" s="89"/>
      <c r="R1523" s="362"/>
    </row>
    <row r="1524" spans="1:18" s="143" customFormat="1" ht="24" hidden="1">
      <c r="A1524" s="135"/>
      <c r="B1524" s="449" t="s">
        <v>467</v>
      </c>
      <c r="C1524" s="137"/>
      <c r="D1524" s="139">
        <f t="shared" si="195"/>
        <v>0</v>
      </c>
      <c r="E1524" s="139">
        <f t="shared" si="194"/>
        <v>0</v>
      </c>
      <c r="F1524" s="477" t="e">
        <f t="shared" si="196"/>
        <v>#DIV/0!</v>
      </c>
      <c r="G1524" s="139">
        <f>SUM(G1525:G1527)</f>
        <v>0</v>
      </c>
      <c r="H1524" s="140">
        <f>SUM(H1525:H1527)</f>
        <v>0</v>
      </c>
      <c r="I1524" s="442" t="e">
        <f t="shared" si="197"/>
        <v>#DIV/0!</v>
      </c>
      <c r="J1524" s="140"/>
      <c r="K1524" s="139"/>
      <c r="L1524" s="403"/>
      <c r="M1524" s="139">
        <f>SUM(M1525:M1527)</f>
        <v>0</v>
      </c>
      <c r="N1524" s="139">
        <f>SUM(N1525:N1527)</f>
        <v>0</v>
      </c>
      <c r="O1524" s="442" t="e">
        <f t="shared" si="198"/>
        <v>#DIV/0!</v>
      </c>
      <c r="P1524" s="139"/>
      <c r="Q1524" s="139"/>
      <c r="R1524" s="364"/>
    </row>
    <row r="1525" spans="1:18" s="118" customFormat="1" ht="24" hidden="1">
      <c r="A1525" s="124">
        <v>4010</v>
      </c>
      <c r="B1525" s="291" t="s">
        <v>492</v>
      </c>
      <c r="C1525" s="88"/>
      <c r="D1525" s="74">
        <f t="shared" si="195"/>
        <v>0</v>
      </c>
      <c r="E1525" s="89">
        <f t="shared" si="194"/>
        <v>0</v>
      </c>
      <c r="F1525" s="468" t="e">
        <f t="shared" si="196"/>
        <v>#DIV/0!</v>
      </c>
      <c r="G1525" s="89"/>
      <c r="H1525" s="175"/>
      <c r="I1525" s="442" t="e">
        <f t="shared" si="197"/>
        <v>#DIV/0!</v>
      </c>
      <c r="J1525" s="126"/>
      <c r="K1525" s="89"/>
      <c r="L1525" s="391"/>
      <c r="M1525" s="89"/>
      <c r="N1525" s="89"/>
      <c r="O1525" s="442" t="e">
        <f t="shared" si="198"/>
        <v>#DIV/0!</v>
      </c>
      <c r="P1525" s="89"/>
      <c r="Q1525" s="89"/>
      <c r="R1525" s="362"/>
    </row>
    <row r="1526" spans="1:18" s="118" customFormat="1" ht="24" hidden="1">
      <c r="A1526" s="124">
        <v>4110</v>
      </c>
      <c r="B1526" s="277" t="s">
        <v>498</v>
      </c>
      <c r="C1526" s="88"/>
      <c r="D1526" s="74">
        <f t="shared" si="195"/>
        <v>0</v>
      </c>
      <c r="E1526" s="89">
        <f t="shared" si="194"/>
        <v>0</v>
      </c>
      <c r="F1526" s="468" t="e">
        <f t="shared" si="196"/>
        <v>#DIV/0!</v>
      </c>
      <c r="G1526" s="89"/>
      <c r="H1526" s="175"/>
      <c r="I1526" s="442" t="e">
        <f t="shared" si="197"/>
        <v>#DIV/0!</v>
      </c>
      <c r="J1526" s="126"/>
      <c r="K1526" s="89"/>
      <c r="L1526" s="391"/>
      <c r="M1526" s="89"/>
      <c r="N1526" s="89"/>
      <c r="O1526" s="442" t="e">
        <f t="shared" si="198"/>
        <v>#DIV/0!</v>
      </c>
      <c r="P1526" s="89"/>
      <c r="Q1526" s="89"/>
      <c r="R1526" s="362"/>
    </row>
    <row r="1527" spans="1:18" s="118" customFormat="1" ht="12.75" hidden="1">
      <c r="A1527" s="124">
        <v>4120</v>
      </c>
      <c r="B1527" s="277" t="s">
        <v>571</v>
      </c>
      <c r="C1527" s="88"/>
      <c r="D1527" s="74">
        <f t="shared" si="195"/>
        <v>0</v>
      </c>
      <c r="E1527" s="89">
        <f t="shared" si="194"/>
        <v>0</v>
      </c>
      <c r="F1527" s="468" t="e">
        <f t="shared" si="196"/>
        <v>#DIV/0!</v>
      </c>
      <c r="G1527" s="89"/>
      <c r="H1527" s="175"/>
      <c r="I1527" s="442" t="e">
        <f t="shared" si="197"/>
        <v>#DIV/0!</v>
      </c>
      <c r="J1527" s="126"/>
      <c r="K1527" s="89"/>
      <c r="L1527" s="391"/>
      <c r="M1527" s="89"/>
      <c r="N1527" s="89"/>
      <c r="O1527" s="442" t="e">
        <f t="shared" si="198"/>
        <v>#DIV/0!</v>
      </c>
      <c r="P1527" s="89"/>
      <c r="Q1527" s="89"/>
      <c r="R1527" s="362"/>
    </row>
    <row r="1528" spans="1:18" s="143" customFormat="1" ht="60" hidden="1">
      <c r="A1528" s="135"/>
      <c r="B1528" s="339" t="s">
        <v>310</v>
      </c>
      <c r="C1528" s="137">
        <f>SUM(C1531:C1536)</f>
        <v>0</v>
      </c>
      <c r="D1528" s="139">
        <f t="shared" si="195"/>
        <v>0</v>
      </c>
      <c r="E1528" s="139">
        <f t="shared" si="194"/>
        <v>0</v>
      </c>
      <c r="F1528" s="468" t="e">
        <f t="shared" si="196"/>
        <v>#DIV/0!</v>
      </c>
      <c r="G1528" s="139"/>
      <c r="H1528" s="140"/>
      <c r="I1528" s="442"/>
      <c r="J1528" s="140"/>
      <c r="K1528" s="139"/>
      <c r="L1528" s="403"/>
      <c r="M1528" s="139">
        <f>SUM(M1529:M1536)</f>
        <v>0</v>
      </c>
      <c r="N1528" s="139">
        <f>SUM(N1529:N1536)</f>
        <v>0</v>
      </c>
      <c r="O1528" s="459" t="e">
        <f t="shared" si="198"/>
        <v>#DIV/0!</v>
      </c>
      <c r="P1528" s="139"/>
      <c r="Q1528" s="139"/>
      <c r="R1528" s="364"/>
    </row>
    <row r="1529" spans="1:18" s="12" customFormat="1" ht="24" hidden="1">
      <c r="A1529" s="172">
        <v>3218</v>
      </c>
      <c r="B1529" s="292" t="s">
        <v>77</v>
      </c>
      <c r="C1529" s="174"/>
      <c r="D1529" s="74">
        <f t="shared" si="195"/>
        <v>0</v>
      </c>
      <c r="E1529" s="89">
        <f>SUM(H1529+K1529+N1529+Q1529)</f>
        <v>0</v>
      </c>
      <c r="F1529" s="468" t="e">
        <f>E1529/D1529*100</f>
        <v>#DIV/0!</v>
      </c>
      <c r="G1529" s="74"/>
      <c r="H1529" s="175"/>
      <c r="I1529" s="224"/>
      <c r="J1529" s="175"/>
      <c r="K1529" s="74"/>
      <c r="L1529" s="391"/>
      <c r="M1529" s="175">
        <f>1067-1067</f>
        <v>0</v>
      </c>
      <c r="N1529" s="74"/>
      <c r="O1529" s="442"/>
      <c r="P1529" s="74"/>
      <c r="Q1529" s="74"/>
      <c r="R1529" s="362"/>
    </row>
    <row r="1530" spans="1:18" s="12" customFormat="1" ht="24" hidden="1">
      <c r="A1530" s="172">
        <v>3219</v>
      </c>
      <c r="B1530" s="292" t="s">
        <v>77</v>
      </c>
      <c r="C1530" s="174"/>
      <c r="D1530" s="74">
        <f t="shared" si="195"/>
        <v>0</v>
      </c>
      <c r="E1530" s="89">
        <f>SUM(H1530+K1530+N1530+Q1530)</f>
        <v>0</v>
      </c>
      <c r="F1530" s="468" t="e">
        <f>E1530/D1530*100</f>
        <v>#DIV/0!</v>
      </c>
      <c r="G1530" s="74"/>
      <c r="H1530" s="175"/>
      <c r="I1530" s="224"/>
      <c r="J1530" s="175"/>
      <c r="K1530" s="74"/>
      <c r="L1530" s="391"/>
      <c r="M1530" s="175"/>
      <c r="N1530" s="74"/>
      <c r="O1530" s="442"/>
      <c r="P1530" s="74"/>
      <c r="Q1530" s="74"/>
      <c r="R1530" s="362"/>
    </row>
    <row r="1531" spans="1:18" s="118" customFormat="1" ht="12.75" hidden="1">
      <c r="A1531" s="124">
        <v>3248</v>
      </c>
      <c r="B1531" s="277" t="s">
        <v>213</v>
      </c>
      <c r="C1531" s="88"/>
      <c r="D1531" s="74">
        <f t="shared" si="195"/>
        <v>0</v>
      </c>
      <c r="E1531" s="89">
        <f t="shared" si="194"/>
        <v>0</v>
      </c>
      <c r="F1531" s="468" t="e">
        <f t="shared" si="196"/>
        <v>#DIV/0!</v>
      </c>
      <c r="G1531" s="89"/>
      <c r="H1531" s="175"/>
      <c r="I1531" s="224"/>
      <c r="J1531" s="126"/>
      <c r="K1531" s="89"/>
      <c r="L1531" s="391"/>
      <c r="M1531" s="88"/>
      <c r="N1531" s="89"/>
      <c r="O1531" s="442" t="e">
        <f t="shared" si="198"/>
        <v>#DIV/0!</v>
      </c>
      <c r="P1531" s="89"/>
      <c r="Q1531" s="89"/>
      <c r="R1531" s="362"/>
    </row>
    <row r="1532" spans="1:18" s="118" customFormat="1" ht="12.75" hidden="1">
      <c r="A1532" s="124">
        <v>3249</v>
      </c>
      <c r="B1532" s="277" t="s">
        <v>213</v>
      </c>
      <c r="C1532" s="88"/>
      <c r="D1532" s="74">
        <f t="shared" si="195"/>
        <v>0</v>
      </c>
      <c r="E1532" s="89">
        <f t="shared" si="194"/>
        <v>0</v>
      </c>
      <c r="F1532" s="468" t="e">
        <f t="shared" si="196"/>
        <v>#DIV/0!</v>
      </c>
      <c r="G1532" s="89"/>
      <c r="H1532" s="175"/>
      <c r="I1532" s="224"/>
      <c r="J1532" s="126"/>
      <c r="K1532" s="89"/>
      <c r="L1532" s="391"/>
      <c r="M1532" s="88"/>
      <c r="N1532" s="89"/>
      <c r="O1532" s="442" t="e">
        <f t="shared" si="198"/>
        <v>#DIV/0!</v>
      </c>
      <c r="P1532" s="89"/>
      <c r="Q1532" s="89"/>
      <c r="R1532" s="362"/>
    </row>
    <row r="1533" spans="1:18" s="118" customFormat="1" ht="24" hidden="1">
      <c r="A1533" s="124">
        <v>4218</v>
      </c>
      <c r="B1533" s="277" t="s">
        <v>502</v>
      </c>
      <c r="C1533" s="88"/>
      <c r="D1533" s="74">
        <f t="shared" si="195"/>
        <v>0</v>
      </c>
      <c r="E1533" s="89">
        <f t="shared" si="194"/>
        <v>0</v>
      </c>
      <c r="F1533" s="468" t="e">
        <f t="shared" si="196"/>
        <v>#DIV/0!</v>
      </c>
      <c r="G1533" s="89"/>
      <c r="H1533" s="175"/>
      <c r="I1533" s="224"/>
      <c r="J1533" s="126"/>
      <c r="K1533" s="89"/>
      <c r="L1533" s="391"/>
      <c r="M1533" s="88"/>
      <c r="N1533" s="89"/>
      <c r="O1533" s="442" t="e">
        <f t="shared" si="198"/>
        <v>#DIV/0!</v>
      </c>
      <c r="P1533" s="89"/>
      <c r="Q1533" s="89"/>
      <c r="R1533" s="362"/>
    </row>
    <row r="1534" spans="1:18" s="118" customFormat="1" ht="24" hidden="1">
      <c r="A1534" s="124">
        <v>4219</v>
      </c>
      <c r="B1534" s="277" t="s">
        <v>502</v>
      </c>
      <c r="C1534" s="88"/>
      <c r="D1534" s="74">
        <f t="shared" si="195"/>
        <v>0</v>
      </c>
      <c r="E1534" s="89">
        <f>SUM(H1534+K1534+N1534+Q1534)</f>
        <v>0</v>
      </c>
      <c r="F1534" s="468" t="e">
        <f t="shared" si="196"/>
        <v>#DIV/0!</v>
      </c>
      <c r="G1534" s="89"/>
      <c r="H1534" s="175"/>
      <c r="I1534" s="224"/>
      <c r="J1534" s="126"/>
      <c r="K1534" s="89"/>
      <c r="L1534" s="391"/>
      <c r="M1534" s="88"/>
      <c r="N1534" s="89"/>
      <c r="O1534" s="442" t="e">
        <f t="shared" si="198"/>
        <v>#DIV/0!</v>
      </c>
      <c r="P1534" s="89"/>
      <c r="Q1534" s="89"/>
      <c r="R1534" s="362"/>
    </row>
    <row r="1535" spans="1:18" s="118" customFormat="1" ht="24" hidden="1">
      <c r="A1535" s="124">
        <v>4308</v>
      </c>
      <c r="B1535" s="277" t="s">
        <v>510</v>
      </c>
      <c r="C1535" s="88"/>
      <c r="D1535" s="74">
        <f t="shared" si="195"/>
        <v>0</v>
      </c>
      <c r="E1535" s="89">
        <f>SUM(H1535+K1535+N1535+Q1535)</f>
        <v>0</v>
      </c>
      <c r="F1535" s="468" t="e">
        <f t="shared" si="196"/>
        <v>#DIV/0!</v>
      </c>
      <c r="G1535" s="89"/>
      <c r="H1535" s="175"/>
      <c r="I1535" s="224"/>
      <c r="J1535" s="126"/>
      <c r="K1535" s="89"/>
      <c r="L1535" s="391"/>
      <c r="M1535" s="88"/>
      <c r="N1535" s="89"/>
      <c r="O1535" s="224" t="e">
        <f t="shared" si="198"/>
        <v>#DIV/0!</v>
      </c>
      <c r="P1535" s="89"/>
      <c r="Q1535" s="89"/>
      <c r="R1535" s="362"/>
    </row>
    <row r="1536" spans="1:18" s="118" customFormat="1" ht="24" hidden="1">
      <c r="A1536" s="124">
        <v>4309</v>
      </c>
      <c r="B1536" s="277" t="s">
        <v>510</v>
      </c>
      <c r="C1536" s="88"/>
      <c r="D1536" s="74">
        <f t="shared" si="195"/>
        <v>0</v>
      </c>
      <c r="E1536" s="89">
        <f t="shared" si="194"/>
        <v>0</v>
      </c>
      <c r="F1536" s="468" t="e">
        <f t="shared" si="196"/>
        <v>#DIV/0!</v>
      </c>
      <c r="G1536" s="155"/>
      <c r="H1536" s="177"/>
      <c r="I1536" s="224"/>
      <c r="J1536" s="162"/>
      <c r="K1536" s="89"/>
      <c r="L1536" s="391"/>
      <c r="M1536" s="88"/>
      <c r="N1536" s="155"/>
      <c r="O1536" s="224" t="e">
        <f t="shared" si="198"/>
        <v>#DIV/0!</v>
      </c>
      <c r="P1536" s="155"/>
      <c r="Q1536" s="155"/>
      <c r="R1536" s="366"/>
    </row>
    <row r="1537" spans="1:18" s="143" customFormat="1" ht="24">
      <c r="A1537" s="150">
        <v>85417</v>
      </c>
      <c r="B1537" s="299" t="s">
        <v>134</v>
      </c>
      <c r="C1537" s="94">
        <f>SUM(C1538:C1557)</f>
        <v>264000</v>
      </c>
      <c r="D1537" s="95">
        <f t="shared" si="195"/>
        <v>268100</v>
      </c>
      <c r="E1537" s="95">
        <f>H1537+K1537+Q1537+N1537</f>
        <v>151464</v>
      </c>
      <c r="F1537" s="476">
        <f t="shared" si="196"/>
        <v>56.495337560611716</v>
      </c>
      <c r="G1537" s="95">
        <f>SUM(G1538:G1557)</f>
        <v>268100</v>
      </c>
      <c r="H1537" s="95">
        <f>SUM(H1538:H1557)</f>
        <v>151464</v>
      </c>
      <c r="I1537" s="480">
        <f t="shared" si="197"/>
        <v>56.495337560611716</v>
      </c>
      <c r="J1537" s="171"/>
      <c r="K1537" s="95"/>
      <c r="L1537" s="417"/>
      <c r="M1537" s="95"/>
      <c r="N1537" s="95"/>
      <c r="O1537" s="271"/>
      <c r="P1537" s="95"/>
      <c r="Q1537" s="95"/>
      <c r="R1537" s="370"/>
    </row>
    <row r="1538" spans="1:18" s="118" customFormat="1" ht="24">
      <c r="A1538" s="108">
        <v>4010</v>
      </c>
      <c r="B1538" s="287" t="s">
        <v>492</v>
      </c>
      <c r="C1538" s="90">
        <v>116200</v>
      </c>
      <c r="D1538" s="103">
        <f t="shared" si="195"/>
        <v>120300</v>
      </c>
      <c r="E1538" s="104">
        <f aca="true" t="shared" si="199" ref="E1538:E1564">SUM(H1538+K1538+N1538+Q1538)</f>
        <v>60128</v>
      </c>
      <c r="F1538" s="470">
        <f t="shared" si="196"/>
        <v>49.98171238570241</v>
      </c>
      <c r="G1538" s="90">
        <f>116200+4100</f>
        <v>120300</v>
      </c>
      <c r="H1538" s="104">
        <v>60128</v>
      </c>
      <c r="I1538" s="490">
        <f t="shared" si="197"/>
        <v>49.98171238570241</v>
      </c>
      <c r="J1538" s="200"/>
      <c r="K1538" s="104"/>
      <c r="L1538" s="414"/>
      <c r="M1538" s="90"/>
      <c r="N1538" s="104"/>
      <c r="O1538" s="304"/>
      <c r="P1538" s="104"/>
      <c r="Q1538" s="104"/>
      <c r="R1538" s="388"/>
    </row>
    <row r="1539" spans="1:18" s="118" customFormat="1" ht="36" hidden="1">
      <c r="A1539" s="124">
        <v>3020</v>
      </c>
      <c r="B1539" s="277" t="s">
        <v>540</v>
      </c>
      <c r="C1539" s="88"/>
      <c r="D1539" s="74">
        <f t="shared" si="195"/>
        <v>0</v>
      </c>
      <c r="E1539" s="89">
        <f t="shared" si="199"/>
        <v>0</v>
      </c>
      <c r="F1539" s="468" t="e">
        <f t="shared" si="196"/>
        <v>#DIV/0!</v>
      </c>
      <c r="G1539" s="88"/>
      <c r="H1539" s="89"/>
      <c r="I1539" s="466" t="e">
        <f t="shared" si="197"/>
        <v>#DIV/0!</v>
      </c>
      <c r="J1539" s="126"/>
      <c r="K1539" s="89"/>
      <c r="L1539" s="391"/>
      <c r="M1539" s="88"/>
      <c r="N1539" s="89"/>
      <c r="O1539" s="224"/>
      <c r="P1539" s="89"/>
      <c r="Q1539" s="89"/>
      <c r="R1539" s="368"/>
    </row>
    <row r="1540" spans="1:18" s="118" customFormat="1" ht="24">
      <c r="A1540" s="124">
        <v>4040</v>
      </c>
      <c r="B1540" s="277" t="s">
        <v>496</v>
      </c>
      <c r="C1540" s="88">
        <v>9700</v>
      </c>
      <c r="D1540" s="74">
        <f t="shared" si="195"/>
        <v>9350</v>
      </c>
      <c r="E1540" s="89">
        <f t="shared" si="199"/>
        <v>9309</v>
      </c>
      <c r="F1540" s="468">
        <f t="shared" si="196"/>
        <v>99.56149732620321</v>
      </c>
      <c r="G1540" s="88">
        <f>9700-350</f>
        <v>9350</v>
      </c>
      <c r="H1540" s="89">
        <v>9309</v>
      </c>
      <c r="I1540" s="466">
        <f t="shared" si="197"/>
        <v>99.56149732620321</v>
      </c>
      <c r="J1540" s="126"/>
      <c r="K1540" s="89"/>
      <c r="L1540" s="391"/>
      <c r="M1540" s="88"/>
      <c r="N1540" s="89"/>
      <c r="O1540" s="224"/>
      <c r="P1540" s="89"/>
      <c r="Q1540" s="89"/>
      <c r="R1540" s="368"/>
    </row>
    <row r="1541" spans="1:18" s="118" customFormat="1" ht="24">
      <c r="A1541" s="124">
        <v>4110</v>
      </c>
      <c r="B1541" s="277" t="s">
        <v>498</v>
      </c>
      <c r="C1541" s="88">
        <v>21000</v>
      </c>
      <c r="D1541" s="74">
        <f t="shared" si="195"/>
        <v>21000</v>
      </c>
      <c r="E1541" s="89">
        <f t="shared" si="199"/>
        <v>10799</v>
      </c>
      <c r="F1541" s="468">
        <f t="shared" si="196"/>
        <v>51.423809523809524</v>
      </c>
      <c r="G1541" s="88">
        <v>21000</v>
      </c>
      <c r="H1541" s="89">
        <v>10799</v>
      </c>
      <c r="I1541" s="466">
        <f t="shared" si="197"/>
        <v>51.423809523809524</v>
      </c>
      <c r="J1541" s="126"/>
      <c r="K1541" s="89"/>
      <c r="L1541" s="391"/>
      <c r="M1541" s="88"/>
      <c r="N1541" s="89"/>
      <c r="O1541" s="224"/>
      <c r="P1541" s="89"/>
      <c r="Q1541" s="89"/>
      <c r="R1541" s="368"/>
    </row>
    <row r="1542" spans="1:18" s="118" customFormat="1" ht="13.5" customHeight="1">
      <c r="A1542" s="124">
        <v>4120</v>
      </c>
      <c r="B1542" s="277" t="s">
        <v>571</v>
      </c>
      <c r="C1542" s="88">
        <v>3200</v>
      </c>
      <c r="D1542" s="74">
        <f t="shared" si="195"/>
        <v>3200</v>
      </c>
      <c r="E1542" s="89">
        <f t="shared" si="199"/>
        <v>1482</v>
      </c>
      <c r="F1542" s="468">
        <f t="shared" si="196"/>
        <v>46.3125</v>
      </c>
      <c r="G1542" s="88">
        <v>3200</v>
      </c>
      <c r="H1542" s="89">
        <v>1482</v>
      </c>
      <c r="I1542" s="466">
        <f t="shared" si="197"/>
        <v>46.3125</v>
      </c>
      <c r="J1542" s="126"/>
      <c r="K1542" s="89"/>
      <c r="L1542" s="391"/>
      <c r="M1542" s="88"/>
      <c r="N1542" s="89"/>
      <c r="O1542" s="224"/>
      <c r="P1542" s="89"/>
      <c r="Q1542" s="89"/>
      <c r="R1542" s="368"/>
    </row>
    <row r="1543" spans="1:18" s="118" customFormat="1" ht="24">
      <c r="A1543" s="124">
        <v>4170</v>
      </c>
      <c r="B1543" s="277" t="s">
        <v>536</v>
      </c>
      <c r="C1543" s="88">
        <v>5500</v>
      </c>
      <c r="D1543" s="74">
        <f t="shared" si="195"/>
        <v>10500</v>
      </c>
      <c r="E1543" s="89">
        <f t="shared" si="199"/>
        <v>2785</v>
      </c>
      <c r="F1543" s="468">
        <f t="shared" si="196"/>
        <v>26.523809523809522</v>
      </c>
      <c r="G1543" s="88">
        <f>5500+5000</f>
        <v>10500</v>
      </c>
      <c r="H1543" s="89">
        <v>2785</v>
      </c>
      <c r="I1543" s="466">
        <f t="shared" si="197"/>
        <v>26.523809523809522</v>
      </c>
      <c r="J1543" s="126"/>
      <c r="K1543" s="89"/>
      <c r="L1543" s="391"/>
      <c r="M1543" s="88"/>
      <c r="N1543" s="89"/>
      <c r="O1543" s="224"/>
      <c r="P1543" s="89"/>
      <c r="Q1543" s="89"/>
      <c r="R1543" s="368"/>
    </row>
    <row r="1544" spans="1:18" s="118" customFormat="1" ht="24">
      <c r="A1544" s="124">
        <v>4210</v>
      </c>
      <c r="B1544" s="277" t="s">
        <v>502</v>
      </c>
      <c r="C1544" s="88">
        <v>16000</v>
      </c>
      <c r="D1544" s="74">
        <f t="shared" si="195"/>
        <v>11000</v>
      </c>
      <c r="E1544" s="89">
        <f t="shared" si="199"/>
        <v>5178</v>
      </c>
      <c r="F1544" s="468">
        <f t="shared" si="196"/>
        <v>47.07272727272727</v>
      </c>
      <c r="G1544" s="88">
        <f>16000-5000</f>
        <v>11000</v>
      </c>
      <c r="H1544" s="89">
        <v>5178</v>
      </c>
      <c r="I1544" s="466">
        <f t="shared" si="197"/>
        <v>47.07272727272727</v>
      </c>
      <c r="J1544" s="126"/>
      <c r="K1544" s="89"/>
      <c r="L1544" s="391"/>
      <c r="M1544" s="88"/>
      <c r="N1544" s="89"/>
      <c r="O1544" s="224"/>
      <c r="P1544" s="89"/>
      <c r="Q1544" s="89"/>
      <c r="R1544" s="368"/>
    </row>
    <row r="1545" spans="1:18" s="118" customFormat="1" ht="12.75">
      <c r="A1545" s="124">
        <v>4260</v>
      </c>
      <c r="B1545" s="277" t="s">
        <v>506</v>
      </c>
      <c r="C1545" s="88">
        <v>22200</v>
      </c>
      <c r="D1545" s="74">
        <f t="shared" si="195"/>
        <v>22200</v>
      </c>
      <c r="E1545" s="89">
        <f t="shared" si="199"/>
        <v>8814</v>
      </c>
      <c r="F1545" s="468">
        <f t="shared" si="196"/>
        <v>39.7027027027027</v>
      </c>
      <c r="G1545" s="88">
        <v>22200</v>
      </c>
      <c r="H1545" s="89">
        <f>8815-1</f>
        <v>8814</v>
      </c>
      <c r="I1545" s="466">
        <f t="shared" si="197"/>
        <v>39.7027027027027</v>
      </c>
      <c r="J1545" s="126"/>
      <c r="K1545" s="89"/>
      <c r="L1545" s="391"/>
      <c r="M1545" s="88"/>
      <c r="N1545" s="89"/>
      <c r="O1545" s="224"/>
      <c r="P1545" s="89"/>
      <c r="Q1545" s="89"/>
      <c r="R1545" s="368"/>
    </row>
    <row r="1546" spans="1:18" s="118" customFormat="1" ht="24">
      <c r="A1546" s="124">
        <v>4270</v>
      </c>
      <c r="B1546" s="277" t="s">
        <v>508</v>
      </c>
      <c r="C1546" s="88">
        <v>3200</v>
      </c>
      <c r="D1546" s="74">
        <f>G1546+J1546+P1546+M1546</f>
        <v>3200</v>
      </c>
      <c r="E1546" s="89">
        <f>SUM(H1546+K1546+N1546+Q1546)</f>
        <v>203</v>
      </c>
      <c r="F1546" s="468">
        <f>E1546/D1546*100</f>
        <v>6.343749999999999</v>
      </c>
      <c r="G1546" s="88">
        <v>3200</v>
      </c>
      <c r="H1546" s="89">
        <v>203</v>
      </c>
      <c r="I1546" s="466">
        <f t="shared" si="197"/>
        <v>6.343749999999999</v>
      </c>
      <c r="J1546" s="126"/>
      <c r="K1546" s="89"/>
      <c r="L1546" s="391"/>
      <c r="M1546" s="88"/>
      <c r="N1546" s="89"/>
      <c r="O1546" s="224"/>
      <c r="P1546" s="89"/>
      <c r="Q1546" s="89"/>
      <c r="R1546" s="368"/>
    </row>
    <row r="1547" spans="1:18" s="118" customFormat="1" ht="24" hidden="1">
      <c r="A1547" s="124">
        <v>4280</v>
      </c>
      <c r="B1547" s="277" t="s">
        <v>545</v>
      </c>
      <c r="C1547" s="88"/>
      <c r="D1547" s="74">
        <f>G1547+J1547+P1547+M1547</f>
        <v>0</v>
      </c>
      <c r="E1547" s="89">
        <f>SUM(H1547+K1547+N1547+Q1547)</f>
        <v>0</v>
      </c>
      <c r="F1547" s="468" t="e">
        <f>E1547/D1547*100</f>
        <v>#DIV/0!</v>
      </c>
      <c r="G1547" s="88"/>
      <c r="H1547" s="89"/>
      <c r="I1547" s="466" t="e">
        <f t="shared" si="197"/>
        <v>#DIV/0!</v>
      </c>
      <c r="J1547" s="126"/>
      <c r="K1547" s="89"/>
      <c r="L1547" s="391"/>
      <c r="M1547" s="88"/>
      <c r="N1547" s="89"/>
      <c r="O1547" s="224"/>
      <c r="P1547" s="89"/>
      <c r="Q1547" s="89"/>
      <c r="R1547" s="368"/>
    </row>
    <row r="1548" spans="1:18" s="118" customFormat="1" ht="24">
      <c r="A1548" s="124">
        <v>4300</v>
      </c>
      <c r="B1548" s="277" t="s">
        <v>510</v>
      </c>
      <c r="C1548" s="88">
        <v>7900</v>
      </c>
      <c r="D1548" s="74">
        <f t="shared" si="195"/>
        <v>7900</v>
      </c>
      <c r="E1548" s="89">
        <f t="shared" si="199"/>
        <v>2412</v>
      </c>
      <c r="F1548" s="468">
        <f t="shared" si="196"/>
        <v>30.531645569620252</v>
      </c>
      <c r="G1548" s="88">
        <v>7900</v>
      </c>
      <c r="H1548" s="89">
        <v>2412</v>
      </c>
      <c r="I1548" s="466">
        <f t="shared" si="197"/>
        <v>30.531645569620252</v>
      </c>
      <c r="J1548" s="126"/>
      <c r="K1548" s="89"/>
      <c r="L1548" s="391"/>
      <c r="M1548" s="88"/>
      <c r="N1548" s="89"/>
      <c r="O1548" s="224"/>
      <c r="P1548" s="89"/>
      <c r="Q1548" s="89"/>
      <c r="R1548" s="368"/>
    </row>
    <row r="1549" spans="1:18" s="118" customFormat="1" ht="24">
      <c r="A1549" s="124">
        <v>4350</v>
      </c>
      <c r="B1549" s="277" t="s">
        <v>48</v>
      </c>
      <c r="C1549" s="88">
        <v>2100</v>
      </c>
      <c r="D1549" s="74">
        <f t="shared" si="195"/>
        <v>2100</v>
      </c>
      <c r="E1549" s="89">
        <f t="shared" si="199"/>
        <v>1198</v>
      </c>
      <c r="F1549" s="468">
        <f t="shared" si="196"/>
        <v>57.047619047619044</v>
      </c>
      <c r="G1549" s="88">
        <v>2100</v>
      </c>
      <c r="H1549" s="89">
        <v>1198</v>
      </c>
      <c r="I1549" s="466">
        <f t="shared" si="197"/>
        <v>57.047619047619044</v>
      </c>
      <c r="J1549" s="126"/>
      <c r="K1549" s="89"/>
      <c r="L1549" s="391"/>
      <c r="M1549" s="88"/>
      <c r="N1549" s="89"/>
      <c r="O1549" s="224"/>
      <c r="P1549" s="89"/>
      <c r="Q1549" s="89"/>
      <c r="R1549" s="368"/>
    </row>
    <row r="1550" spans="1:18" s="118" customFormat="1" ht="48">
      <c r="A1550" s="172">
        <v>4360</v>
      </c>
      <c r="B1550" s="337" t="s">
        <v>297</v>
      </c>
      <c r="C1550" s="88">
        <v>800</v>
      </c>
      <c r="D1550" s="74">
        <f>G1550+J1550+P1550+M1550</f>
        <v>800</v>
      </c>
      <c r="E1550" s="89">
        <f>SUM(H1550+K1550+N1550+Q1550)</f>
        <v>258</v>
      </c>
      <c r="F1550" s="468">
        <f>E1550/D1550*100</f>
        <v>32.25</v>
      </c>
      <c r="G1550" s="88">
        <v>800</v>
      </c>
      <c r="H1550" s="89">
        <v>258</v>
      </c>
      <c r="I1550" s="466">
        <f t="shared" si="197"/>
        <v>32.25</v>
      </c>
      <c r="J1550" s="126"/>
      <c r="K1550" s="89"/>
      <c r="L1550" s="391"/>
      <c r="M1550" s="88"/>
      <c r="N1550" s="89"/>
      <c r="O1550" s="224"/>
      <c r="P1550" s="89"/>
      <c r="Q1550" s="89"/>
      <c r="R1550" s="368"/>
    </row>
    <row r="1551" spans="1:18" s="118" customFormat="1" ht="48">
      <c r="A1551" s="172">
        <v>4370</v>
      </c>
      <c r="B1551" s="337" t="s">
        <v>298</v>
      </c>
      <c r="C1551" s="88">
        <v>2000</v>
      </c>
      <c r="D1551" s="74">
        <f>G1551+J1551+P1551+M1551</f>
        <v>2000</v>
      </c>
      <c r="E1551" s="89">
        <f>SUM(H1551+K1551+N1551+Q1551)</f>
        <v>711</v>
      </c>
      <c r="F1551" s="468">
        <f>E1551/D1551*100</f>
        <v>35.55</v>
      </c>
      <c r="G1551" s="88">
        <v>2000</v>
      </c>
      <c r="H1551" s="89">
        <v>711</v>
      </c>
      <c r="I1551" s="466">
        <f t="shared" si="197"/>
        <v>35.55</v>
      </c>
      <c r="J1551" s="126"/>
      <c r="K1551" s="89"/>
      <c r="L1551" s="391"/>
      <c r="M1551" s="88"/>
      <c r="N1551" s="89"/>
      <c r="O1551" s="224"/>
      <c r="P1551" s="89"/>
      <c r="Q1551" s="89"/>
      <c r="R1551" s="368"/>
    </row>
    <row r="1552" spans="1:18" s="118" customFormat="1" ht="24">
      <c r="A1552" s="124">
        <v>4410</v>
      </c>
      <c r="B1552" s="277" t="s">
        <v>484</v>
      </c>
      <c r="C1552" s="88">
        <v>2800</v>
      </c>
      <c r="D1552" s="74">
        <f>G1552+J1552+P1552+M1552</f>
        <v>2800</v>
      </c>
      <c r="E1552" s="89">
        <f>SUM(H1552+K1552+N1552+Q1552)</f>
        <v>1504</v>
      </c>
      <c r="F1552" s="468">
        <f>E1552/D1552*100</f>
        <v>53.714285714285715</v>
      </c>
      <c r="G1552" s="88">
        <v>2800</v>
      </c>
      <c r="H1552" s="89">
        <v>1504</v>
      </c>
      <c r="I1552" s="466">
        <f t="shared" si="197"/>
        <v>53.714285714285715</v>
      </c>
      <c r="J1552" s="126"/>
      <c r="K1552" s="89"/>
      <c r="L1552" s="391"/>
      <c r="M1552" s="88"/>
      <c r="N1552" s="89"/>
      <c r="O1552" s="224"/>
      <c r="P1552" s="89"/>
      <c r="Q1552" s="89"/>
      <c r="R1552" s="368"/>
    </row>
    <row r="1553" spans="1:18" s="118" customFormat="1" ht="12.75">
      <c r="A1553" s="124">
        <v>4430</v>
      </c>
      <c r="B1553" s="277" t="s">
        <v>512</v>
      </c>
      <c r="C1553" s="88">
        <v>900</v>
      </c>
      <c r="D1553" s="74">
        <f>G1553+J1553+P1553+M1553</f>
        <v>900</v>
      </c>
      <c r="E1553" s="89">
        <f>SUM(H1553+K1553+N1553+Q1553)</f>
        <v>850</v>
      </c>
      <c r="F1553" s="468">
        <f>E1553/D1553*100</f>
        <v>94.44444444444444</v>
      </c>
      <c r="G1553" s="88">
        <v>900</v>
      </c>
      <c r="H1553" s="89">
        <v>850</v>
      </c>
      <c r="I1553" s="466">
        <f t="shared" si="197"/>
        <v>94.44444444444444</v>
      </c>
      <c r="J1553" s="126"/>
      <c r="K1553" s="89"/>
      <c r="L1553" s="391"/>
      <c r="M1553" s="88"/>
      <c r="N1553" s="89"/>
      <c r="O1553" s="224"/>
      <c r="P1553" s="89"/>
      <c r="Q1553" s="89"/>
      <c r="R1553" s="368"/>
    </row>
    <row r="1554" spans="1:18" s="118" customFormat="1" ht="12.75">
      <c r="A1554" s="158">
        <v>4440</v>
      </c>
      <c r="B1554" s="350" t="s">
        <v>514</v>
      </c>
      <c r="C1554" s="160">
        <v>5000</v>
      </c>
      <c r="D1554" s="161">
        <f>G1554+J1554+P1554+M1554</f>
        <v>5350</v>
      </c>
      <c r="E1554" s="155">
        <f>SUM(H1554+K1554+N1554+Q1554)</f>
        <v>2668</v>
      </c>
      <c r="F1554" s="469">
        <f>E1554/D1554*100</f>
        <v>49.86915887850467</v>
      </c>
      <c r="G1554" s="160">
        <f>5000+350</f>
        <v>5350</v>
      </c>
      <c r="H1554" s="155">
        <v>2668</v>
      </c>
      <c r="I1554" s="479">
        <f t="shared" si="197"/>
        <v>49.86915887850467</v>
      </c>
      <c r="J1554" s="162"/>
      <c r="K1554" s="155"/>
      <c r="L1554" s="415"/>
      <c r="M1554" s="160"/>
      <c r="N1554" s="155"/>
      <c r="O1554" s="274"/>
      <c r="P1554" s="155"/>
      <c r="Q1554" s="155"/>
      <c r="R1554" s="387"/>
    </row>
    <row r="1555" spans="1:18" s="118" customFormat="1" ht="60">
      <c r="A1555" s="172">
        <v>4740</v>
      </c>
      <c r="B1555" s="337" t="s">
        <v>290</v>
      </c>
      <c r="C1555" s="88">
        <v>2000</v>
      </c>
      <c r="D1555" s="74">
        <f t="shared" si="195"/>
        <v>2000</v>
      </c>
      <c r="E1555" s="89">
        <f t="shared" si="199"/>
        <v>145</v>
      </c>
      <c r="F1555" s="468">
        <f t="shared" si="196"/>
        <v>7.249999999999999</v>
      </c>
      <c r="G1555" s="88">
        <v>2000</v>
      </c>
      <c r="H1555" s="89">
        <v>145</v>
      </c>
      <c r="I1555" s="466">
        <f t="shared" si="197"/>
        <v>7.249999999999999</v>
      </c>
      <c r="J1555" s="126"/>
      <c r="K1555" s="89"/>
      <c r="L1555" s="391"/>
      <c r="M1555" s="88"/>
      <c r="N1555" s="89"/>
      <c r="O1555" s="224"/>
      <c r="P1555" s="89"/>
      <c r="Q1555" s="89"/>
      <c r="R1555" s="368"/>
    </row>
    <row r="1556" spans="1:18" s="118" customFormat="1" ht="36">
      <c r="A1556" s="172">
        <v>4750</v>
      </c>
      <c r="B1556" s="337" t="s">
        <v>291</v>
      </c>
      <c r="C1556" s="88">
        <v>500</v>
      </c>
      <c r="D1556" s="74">
        <f>G1556+J1556+P1556+M1556</f>
        <v>500</v>
      </c>
      <c r="E1556" s="89">
        <f>SUM(H1556+K1556+N1556+Q1556)</f>
        <v>20</v>
      </c>
      <c r="F1556" s="468">
        <f>E1556/D1556*100</f>
        <v>4</v>
      </c>
      <c r="G1556" s="88">
        <v>500</v>
      </c>
      <c r="H1556" s="89">
        <v>20</v>
      </c>
      <c r="I1556" s="466">
        <f t="shared" si="197"/>
        <v>4</v>
      </c>
      <c r="J1556" s="126"/>
      <c r="K1556" s="89"/>
      <c r="L1556" s="391"/>
      <c r="M1556" s="88"/>
      <c r="N1556" s="89"/>
      <c r="O1556" s="224"/>
      <c r="P1556" s="89"/>
      <c r="Q1556" s="89"/>
      <c r="R1556" s="368"/>
    </row>
    <row r="1557" spans="1:18" s="118" customFormat="1" ht="24">
      <c r="A1557" s="124">
        <v>6050</v>
      </c>
      <c r="B1557" s="291" t="s">
        <v>574</v>
      </c>
      <c r="C1557" s="88">
        <v>43000</v>
      </c>
      <c r="D1557" s="74">
        <f t="shared" si="195"/>
        <v>43000</v>
      </c>
      <c r="E1557" s="89">
        <f t="shared" si="199"/>
        <v>43000</v>
      </c>
      <c r="F1557" s="468">
        <f t="shared" si="196"/>
        <v>100</v>
      </c>
      <c r="G1557" s="88">
        <v>43000</v>
      </c>
      <c r="H1557" s="89">
        <v>43000</v>
      </c>
      <c r="I1557" s="466">
        <f t="shared" si="197"/>
        <v>100</v>
      </c>
      <c r="J1557" s="126"/>
      <c r="K1557" s="89"/>
      <c r="L1557" s="391"/>
      <c r="M1557" s="88"/>
      <c r="N1557" s="89"/>
      <c r="O1557" s="224"/>
      <c r="P1557" s="89"/>
      <c r="Q1557" s="89"/>
      <c r="R1557" s="368"/>
    </row>
    <row r="1558" spans="1:18" s="118" customFormat="1" ht="24">
      <c r="A1558" s="150">
        <v>85419</v>
      </c>
      <c r="B1558" s="187" t="s">
        <v>388</v>
      </c>
      <c r="C1558" s="94">
        <f>SUM(C1559)</f>
        <v>275000</v>
      </c>
      <c r="D1558" s="95">
        <f aca="true" t="shared" si="200" ref="D1558:D1565">G1558+J1558+P1558+M1558</f>
        <v>575000</v>
      </c>
      <c r="E1558" s="95">
        <f>SUM(H1558+K1558+N1558+Q1558)</f>
        <v>362641</v>
      </c>
      <c r="F1558" s="476">
        <f>E1558/D1558*100</f>
        <v>63.068000000000005</v>
      </c>
      <c r="G1558" s="171"/>
      <c r="H1558" s="95"/>
      <c r="I1558" s="502"/>
      <c r="J1558" s="219"/>
      <c r="K1558" s="95"/>
      <c r="L1558" s="417"/>
      <c r="M1558" s="94">
        <f>SUM(M1559)</f>
        <v>575000</v>
      </c>
      <c r="N1558" s="95">
        <f>SUM(N1559)</f>
        <v>362641</v>
      </c>
      <c r="O1558" s="494">
        <f aca="true" t="shared" si="201" ref="O1558:O1565">N1558/M1558*100</f>
        <v>63.068000000000005</v>
      </c>
      <c r="P1558" s="95"/>
      <c r="Q1558" s="95"/>
      <c r="R1558" s="402"/>
    </row>
    <row r="1559" spans="1:18" s="118" customFormat="1" ht="36">
      <c r="A1559" s="158">
        <v>2540</v>
      </c>
      <c r="B1559" s="159" t="s">
        <v>389</v>
      </c>
      <c r="C1559" s="160">
        <v>275000</v>
      </c>
      <c r="D1559" s="147">
        <f t="shared" si="200"/>
        <v>575000</v>
      </c>
      <c r="E1559" s="149">
        <f>SUM(H1559+K1559+N1559+Q1559)</f>
        <v>362641</v>
      </c>
      <c r="F1559" s="468">
        <f>E1559/D1559*100</f>
        <v>63.068000000000005</v>
      </c>
      <c r="G1559" s="162"/>
      <c r="H1559" s="155"/>
      <c r="I1559" s="479"/>
      <c r="J1559" s="244"/>
      <c r="K1559" s="155"/>
      <c r="L1559" s="415"/>
      <c r="M1559" s="88">
        <f>275000+300000</f>
        <v>575000</v>
      </c>
      <c r="N1559" s="89">
        <v>362641</v>
      </c>
      <c r="O1559" s="480">
        <f t="shared" si="201"/>
        <v>63.068000000000005</v>
      </c>
      <c r="P1559" s="155"/>
      <c r="Q1559" s="155"/>
      <c r="R1559" s="387"/>
    </row>
    <row r="1560" spans="1:18" s="143" customFormat="1" ht="36">
      <c r="A1560" s="201">
        <v>85446</v>
      </c>
      <c r="B1560" s="202" t="s">
        <v>71</v>
      </c>
      <c r="C1560" s="203">
        <f>SUM(C1561:C1564)</f>
        <v>25600</v>
      </c>
      <c r="D1560" s="122">
        <f t="shared" si="200"/>
        <v>25600</v>
      </c>
      <c r="E1560" s="122">
        <f>SUM(H1560+K1560+N1560+Q1560)</f>
        <v>4468</v>
      </c>
      <c r="F1560" s="448">
        <f t="shared" si="196"/>
        <v>17.453125</v>
      </c>
      <c r="G1560" s="204"/>
      <c r="H1560" s="122"/>
      <c r="I1560" s="387"/>
      <c r="J1560" s="310"/>
      <c r="K1560" s="122"/>
      <c r="L1560" s="424"/>
      <c r="M1560" s="94">
        <f>SUM(M1561:M1564)</f>
        <v>25600</v>
      </c>
      <c r="N1560" s="95">
        <f>SUM(N1561:N1564)</f>
        <v>4468</v>
      </c>
      <c r="O1560" s="480">
        <f t="shared" si="201"/>
        <v>17.453125</v>
      </c>
      <c r="P1560" s="122"/>
      <c r="Q1560" s="122"/>
      <c r="R1560" s="389"/>
    </row>
    <row r="1561" spans="1:18" s="12" customFormat="1" ht="24">
      <c r="A1561" s="172">
        <v>4210</v>
      </c>
      <c r="B1561" s="277" t="s">
        <v>502</v>
      </c>
      <c r="C1561" s="174"/>
      <c r="D1561" s="74">
        <f t="shared" si="200"/>
        <v>750</v>
      </c>
      <c r="E1561" s="89">
        <f t="shared" si="199"/>
        <v>49</v>
      </c>
      <c r="F1561" s="468">
        <f t="shared" si="196"/>
        <v>6.533333333333332</v>
      </c>
      <c r="G1561" s="175"/>
      <c r="H1561" s="74"/>
      <c r="I1561" s="368"/>
      <c r="J1561" s="223"/>
      <c r="K1561" s="74"/>
      <c r="L1561" s="391"/>
      <c r="M1561" s="102">
        <v>750</v>
      </c>
      <c r="N1561" s="74">
        <v>49</v>
      </c>
      <c r="O1561" s="481">
        <f t="shared" si="201"/>
        <v>6.533333333333332</v>
      </c>
      <c r="P1561" s="74"/>
      <c r="Q1561" s="74"/>
      <c r="R1561" s="368"/>
    </row>
    <row r="1562" spans="1:18" s="12" customFormat="1" ht="24">
      <c r="A1562" s="124">
        <v>4300</v>
      </c>
      <c r="B1562" s="128" t="s">
        <v>510</v>
      </c>
      <c r="C1562" s="174">
        <v>25600</v>
      </c>
      <c r="D1562" s="74">
        <f t="shared" si="200"/>
        <v>5000</v>
      </c>
      <c r="E1562" s="89">
        <f t="shared" si="199"/>
        <v>12</v>
      </c>
      <c r="F1562" s="468">
        <f t="shared" si="196"/>
        <v>0.24</v>
      </c>
      <c r="G1562" s="175"/>
      <c r="H1562" s="74"/>
      <c r="I1562" s="368"/>
      <c r="J1562" s="223"/>
      <c r="K1562" s="74"/>
      <c r="L1562" s="391"/>
      <c r="M1562" s="174">
        <f>25600-25600+5000</f>
        <v>5000</v>
      </c>
      <c r="N1562" s="74">
        <v>12</v>
      </c>
      <c r="O1562" s="482">
        <f t="shared" si="201"/>
        <v>0.24</v>
      </c>
      <c r="P1562" s="74"/>
      <c r="Q1562" s="74"/>
      <c r="R1562" s="368"/>
    </row>
    <row r="1563" spans="1:18" s="118" customFormat="1" ht="24">
      <c r="A1563" s="124">
        <v>4410</v>
      </c>
      <c r="B1563" s="277" t="s">
        <v>484</v>
      </c>
      <c r="C1563" s="88"/>
      <c r="D1563" s="74">
        <f t="shared" si="200"/>
        <v>4900</v>
      </c>
      <c r="E1563" s="89">
        <f t="shared" si="199"/>
        <v>1630</v>
      </c>
      <c r="F1563" s="468">
        <f t="shared" si="196"/>
        <v>33.265306122448976</v>
      </c>
      <c r="G1563" s="126"/>
      <c r="H1563" s="89"/>
      <c r="I1563" s="368"/>
      <c r="J1563" s="220"/>
      <c r="K1563" s="89"/>
      <c r="L1563" s="391"/>
      <c r="M1563" s="88">
        <v>4900</v>
      </c>
      <c r="N1563" s="89">
        <v>1630</v>
      </c>
      <c r="O1563" s="482">
        <f t="shared" si="201"/>
        <v>33.265306122448976</v>
      </c>
      <c r="P1563" s="89"/>
      <c r="Q1563" s="89"/>
      <c r="R1563" s="368"/>
    </row>
    <row r="1564" spans="1:18" s="118" customFormat="1" ht="36">
      <c r="A1564" s="172">
        <v>4700</v>
      </c>
      <c r="B1564" s="337" t="s">
        <v>285</v>
      </c>
      <c r="C1564" s="160"/>
      <c r="D1564" s="161">
        <f t="shared" si="200"/>
        <v>14950</v>
      </c>
      <c r="E1564" s="89">
        <f t="shared" si="199"/>
        <v>2777</v>
      </c>
      <c r="F1564" s="468">
        <f t="shared" si="196"/>
        <v>18.575250836120404</v>
      </c>
      <c r="G1564" s="162"/>
      <c r="H1564" s="155"/>
      <c r="I1564" s="387"/>
      <c r="J1564" s="244"/>
      <c r="K1564" s="155"/>
      <c r="L1564" s="415"/>
      <c r="M1564" s="160">
        <v>14950</v>
      </c>
      <c r="N1564" s="155">
        <v>2777</v>
      </c>
      <c r="O1564" s="483">
        <f t="shared" si="201"/>
        <v>18.575250836120404</v>
      </c>
      <c r="P1564" s="155"/>
      <c r="Q1564" s="155"/>
      <c r="R1564" s="387"/>
    </row>
    <row r="1565" spans="1:18" s="118" customFormat="1" ht="12.75">
      <c r="A1565" s="119">
        <v>85495</v>
      </c>
      <c r="B1565" s="185" t="s">
        <v>529</v>
      </c>
      <c r="C1565" s="121">
        <f>SUM(C1566+C1579+C1587)</f>
        <v>247900</v>
      </c>
      <c r="D1565" s="95">
        <f t="shared" si="200"/>
        <v>626087</v>
      </c>
      <c r="E1565" s="95">
        <f>H1565+K1565+Q1565+N1565</f>
        <v>433261</v>
      </c>
      <c r="F1565" s="467">
        <f>E1565/D1565*100</f>
        <v>69.2014049165691</v>
      </c>
      <c r="G1565" s="84">
        <f>SUM(G1566+G1579+G1587)</f>
        <v>43900</v>
      </c>
      <c r="H1565" s="84">
        <f>SUM(H1566+H1579+H1587)</f>
        <v>21623</v>
      </c>
      <c r="I1565" s="448">
        <f t="shared" si="197"/>
        <v>49.255125284738035</v>
      </c>
      <c r="J1565" s="311"/>
      <c r="K1565" s="84"/>
      <c r="L1565" s="417"/>
      <c r="M1565" s="84">
        <f>SUM(M1566+M1579+M1587)</f>
        <v>582187</v>
      </c>
      <c r="N1565" s="84">
        <f>SUM(N1566+N1579+N1587)</f>
        <v>411638</v>
      </c>
      <c r="O1565" s="480">
        <f t="shared" si="201"/>
        <v>70.705460616606</v>
      </c>
      <c r="P1565" s="84"/>
      <c r="Q1565" s="84"/>
      <c r="R1565" s="381"/>
    </row>
    <row r="1566" spans="1:18" s="118" customFormat="1" ht="12.75" hidden="1">
      <c r="A1566" s="119"/>
      <c r="B1566" s="187"/>
      <c r="C1566" s="121"/>
      <c r="D1566" s="95"/>
      <c r="E1566" s="95"/>
      <c r="F1566" s="467"/>
      <c r="G1566" s="121"/>
      <c r="H1566" s="84"/>
      <c r="I1566" s="448"/>
      <c r="J1566" s="284"/>
      <c r="K1566" s="84"/>
      <c r="L1566" s="417"/>
      <c r="M1566" s="84"/>
      <c r="N1566" s="84"/>
      <c r="O1566" s="381"/>
      <c r="P1566" s="84"/>
      <c r="Q1566" s="84"/>
      <c r="R1566" s="381"/>
    </row>
    <row r="1567" spans="1:18" s="118" customFormat="1" ht="12.75" hidden="1">
      <c r="A1567" s="124"/>
      <c r="B1567" s="128"/>
      <c r="C1567" s="174"/>
      <c r="D1567" s="74"/>
      <c r="E1567" s="89"/>
      <c r="F1567" s="468"/>
      <c r="G1567" s="174"/>
      <c r="H1567" s="74"/>
      <c r="I1567" s="442"/>
      <c r="J1567" s="285"/>
      <c r="K1567" s="182"/>
      <c r="L1567" s="403"/>
      <c r="M1567" s="182"/>
      <c r="N1567" s="182"/>
      <c r="O1567" s="368"/>
      <c r="P1567" s="182"/>
      <c r="Q1567" s="182"/>
      <c r="R1567" s="368"/>
    </row>
    <row r="1568" spans="1:18" s="118" customFormat="1" ht="12.75" hidden="1">
      <c r="A1568" s="124"/>
      <c r="B1568" s="128"/>
      <c r="C1568" s="174"/>
      <c r="D1568" s="74"/>
      <c r="E1568" s="89"/>
      <c r="F1568" s="468"/>
      <c r="G1568" s="174"/>
      <c r="H1568" s="74"/>
      <c r="I1568" s="442"/>
      <c r="J1568" s="126"/>
      <c r="K1568" s="89"/>
      <c r="L1568" s="391"/>
      <c r="M1568" s="89"/>
      <c r="N1568" s="89"/>
      <c r="O1568" s="224"/>
      <c r="P1568" s="89"/>
      <c r="Q1568" s="89"/>
      <c r="R1568" s="368"/>
    </row>
    <row r="1569" spans="1:18" s="118" customFormat="1" ht="12.75" hidden="1">
      <c r="A1569" s="124"/>
      <c r="B1569" s="128"/>
      <c r="C1569" s="174"/>
      <c r="D1569" s="74"/>
      <c r="E1569" s="89"/>
      <c r="F1569" s="468"/>
      <c r="G1569" s="174"/>
      <c r="H1569" s="74"/>
      <c r="I1569" s="442"/>
      <c r="J1569" s="285"/>
      <c r="K1569" s="182"/>
      <c r="L1569" s="403"/>
      <c r="M1569" s="182"/>
      <c r="N1569" s="182"/>
      <c r="O1569" s="368"/>
      <c r="P1569" s="182"/>
      <c r="Q1569" s="182"/>
      <c r="R1569" s="368"/>
    </row>
    <row r="1570" spans="1:18" s="118" customFormat="1" ht="14.25" customHeight="1" hidden="1">
      <c r="A1570" s="124"/>
      <c r="B1570" s="128"/>
      <c r="C1570" s="174"/>
      <c r="D1570" s="74"/>
      <c r="E1570" s="89"/>
      <c r="F1570" s="468"/>
      <c r="G1570" s="174"/>
      <c r="H1570" s="74"/>
      <c r="I1570" s="442"/>
      <c r="J1570" s="285"/>
      <c r="K1570" s="182"/>
      <c r="L1570" s="403"/>
      <c r="M1570" s="182"/>
      <c r="N1570" s="182"/>
      <c r="O1570" s="368"/>
      <c r="P1570" s="182"/>
      <c r="Q1570" s="182"/>
      <c r="R1570" s="368"/>
    </row>
    <row r="1571" spans="1:18" s="118" customFormat="1" ht="12.75" hidden="1">
      <c r="A1571" s="124"/>
      <c r="B1571" s="128"/>
      <c r="C1571" s="174"/>
      <c r="D1571" s="74"/>
      <c r="E1571" s="89"/>
      <c r="F1571" s="468"/>
      <c r="G1571" s="174"/>
      <c r="H1571" s="74"/>
      <c r="I1571" s="442"/>
      <c r="J1571" s="285"/>
      <c r="K1571" s="182"/>
      <c r="L1571" s="403"/>
      <c r="M1571" s="182"/>
      <c r="N1571" s="182"/>
      <c r="O1571" s="368"/>
      <c r="P1571" s="182"/>
      <c r="Q1571" s="182"/>
      <c r="R1571" s="368"/>
    </row>
    <row r="1572" spans="1:18" s="118" customFormat="1" ht="15" customHeight="1" hidden="1">
      <c r="A1572" s="124"/>
      <c r="B1572" s="128"/>
      <c r="C1572" s="174"/>
      <c r="D1572" s="74"/>
      <c r="E1572" s="89"/>
      <c r="F1572" s="468"/>
      <c r="G1572" s="174"/>
      <c r="H1572" s="74"/>
      <c r="I1572" s="442"/>
      <c r="J1572" s="285"/>
      <c r="K1572" s="182"/>
      <c r="L1572" s="403"/>
      <c r="M1572" s="182"/>
      <c r="N1572" s="182"/>
      <c r="O1572" s="368"/>
      <c r="P1572" s="182"/>
      <c r="Q1572" s="182"/>
      <c r="R1572" s="368"/>
    </row>
    <row r="1573" spans="1:18" s="118" customFormat="1" ht="14.25" customHeight="1" hidden="1">
      <c r="A1573" s="124"/>
      <c r="B1573" s="128"/>
      <c r="C1573" s="174"/>
      <c r="D1573" s="74"/>
      <c r="E1573" s="89"/>
      <c r="F1573" s="468"/>
      <c r="G1573" s="174"/>
      <c r="H1573" s="74"/>
      <c r="I1573" s="442"/>
      <c r="J1573" s="285"/>
      <c r="K1573" s="182"/>
      <c r="L1573" s="403"/>
      <c r="M1573" s="182"/>
      <c r="N1573" s="182"/>
      <c r="O1573" s="368"/>
      <c r="P1573" s="182"/>
      <c r="Q1573" s="182"/>
      <c r="R1573" s="368"/>
    </row>
    <row r="1574" spans="1:18" s="118" customFormat="1" ht="14.25" customHeight="1" hidden="1">
      <c r="A1574" s="124"/>
      <c r="B1574" s="128"/>
      <c r="C1574" s="174"/>
      <c r="D1574" s="74"/>
      <c r="E1574" s="89"/>
      <c r="F1574" s="468"/>
      <c r="G1574" s="174"/>
      <c r="H1574" s="74"/>
      <c r="I1574" s="442"/>
      <c r="J1574" s="285"/>
      <c r="K1574" s="182"/>
      <c r="L1574" s="403"/>
      <c r="M1574" s="74"/>
      <c r="N1574" s="182"/>
      <c r="O1574" s="368"/>
      <c r="P1574" s="182"/>
      <c r="Q1574" s="182"/>
      <c r="R1574" s="368"/>
    </row>
    <row r="1575" spans="1:18" s="118" customFormat="1" ht="14.25" customHeight="1" hidden="1">
      <c r="A1575" s="124"/>
      <c r="B1575" s="128"/>
      <c r="C1575" s="174"/>
      <c r="D1575" s="74"/>
      <c r="E1575" s="89"/>
      <c r="F1575" s="468"/>
      <c r="G1575" s="174"/>
      <c r="H1575" s="74"/>
      <c r="I1575" s="442"/>
      <c r="J1575" s="285"/>
      <c r="K1575" s="182"/>
      <c r="L1575" s="403"/>
      <c r="M1575" s="182"/>
      <c r="N1575" s="182"/>
      <c r="O1575" s="368"/>
      <c r="P1575" s="182"/>
      <c r="Q1575" s="182"/>
      <c r="R1575" s="368"/>
    </row>
    <row r="1576" spans="1:18" s="118" customFormat="1" ht="14.25" customHeight="1" hidden="1">
      <c r="A1576" s="124"/>
      <c r="B1576" s="128"/>
      <c r="C1576" s="174"/>
      <c r="D1576" s="74"/>
      <c r="E1576" s="89"/>
      <c r="F1576" s="468"/>
      <c r="G1576" s="174"/>
      <c r="H1576" s="74"/>
      <c r="I1576" s="442"/>
      <c r="J1576" s="285"/>
      <c r="K1576" s="182"/>
      <c r="L1576" s="403"/>
      <c r="M1576" s="182"/>
      <c r="N1576" s="182"/>
      <c r="O1576" s="368"/>
      <c r="P1576" s="182"/>
      <c r="Q1576" s="182"/>
      <c r="R1576" s="368"/>
    </row>
    <row r="1577" spans="1:18" s="118" customFormat="1" ht="14.25" customHeight="1" hidden="1">
      <c r="A1577" s="124"/>
      <c r="B1577" s="128"/>
      <c r="C1577" s="174"/>
      <c r="D1577" s="74"/>
      <c r="E1577" s="89"/>
      <c r="F1577" s="468"/>
      <c r="G1577" s="174"/>
      <c r="H1577" s="74"/>
      <c r="I1577" s="442"/>
      <c r="J1577" s="285"/>
      <c r="K1577" s="182"/>
      <c r="L1577" s="403"/>
      <c r="M1577" s="74"/>
      <c r="N1577" s="74"/>
      <c r="O1577" s="368"/>
      <c r="P1577" s="182"/>
      <c r="Q1577" s="182"/>
      <c r="R1577" s="368"/>
    </row>
    <row r="1578" spans="1:18" s="118" customFormat="1" ht="36.75" customHeight="1" hidden="1">
      <c r="A1578" s="158"/>
      <c r="B1578" s="278"/>
      <c r="C1578" s="176"/>
      <c r="D1578" s="161"/>
      <c r="E1578" s="155"/>
      <c r="F1578" s="469"/>
      <c r="G1578" s="176"/>
      <c r="H1578" s="161"/>
      <c r="I1578" s="462"/>
      <c r="J1578" s="286"/>
      <c r="K1578" s="192"/>
      <c r="L1578" s="424"/>
      <c r="M1578" s="161"/>
      <c r="N1578" s="161"/>
      <c r="O1578" s="387"/>
      <c r="P1578" s="192"/>
      <c r="Q1578" s="192"/>
      <c r="R1578" s="387"/>
    </row>
    <row r="1579" spans="1:18" s="118" customFormat="1" ht="18.75" customHeight="1" hidden="1">
      <c r="A1579" s="179"/>
      <c r="B1579" s="180" t="s">
        <v>135</v>
      </c>
      <c r="C1579" s="181">
        <f>SUM(C1580:C1586)</f>
        <v>0</v>
      </c>
      <c r="D1579" s="139">
        <f aca="true" t="shared" si="202" ref="D1579:D1611">G1579+J1579+P1579+M1579</f>
        <v>0</v>
      </c>
      <c r="E1579" s="139">
        <f aca="true" t="shared" si="203" ref="E1579:E1587">SUM(H1579+K1579+N1579+Q1579)</f>
        <v>0</v>
      </c>
      <c r="F1579" s="468" t="e">
        <f aca="true" t="shared" si="204" ref="F1579:F1643">E1579/D1579*100</f>
        <v>#DIV/0!</v>
      </c>
      <c r="G1579" s="181">
        <f>SUM(G1580:G1586)</f>
        <v>0</v>
      </c>
      <c r="H1579" s="182">
        <f>SUM(H1580:H1586)</f>
        <v>0</v>
      </c>
      <c r="I1579" s="442" t="e">
        <f t="shared" si="197"/>
        <v>#DIV/0!</v>
      </c>
      <c r="J1579" s="285"/>
      <c r="K1579" s="182"/>
      <c r="L1579" s="403"/>
      <c r="M1579" s="182"/>
      <c r="N1579" s="182"/>
      <c r="O1579" s="368"/>
      <c r="P1579" s="182"/>
      <c r="Q1579" s="182"/>
      <c r="R1579" s="368"/>
    </row>
    <row r="1580" spans="1:18" s="118" customFormat="1" ht="40.5" customHeight="1" hidden="1">
      <c r="A1580" s="124">
        <v>3020</v>
      </c>
      <c r="B1580" s="128" t="s">
        <v>540</v>
      </c>
      <c r="C1580" s="174"/>
      <c r="D1580" s="74">
        <f t="shared" si="202"/>
        <v>0</v>
      </c>
      <c r="E1580" s="89">
        <f t="shared" si="203"/>
        <v>0</v>
      </c>
      <c r="F1580" s="468" t="e">
        <f t="shared" si="204"/>
        <v>#DIV/0!</v>
      </c>
      <c r="G1580" s="174"/>
      <c r="H1580" s="74"/>
      <c r="I1580" s="442" t="e">
        <f aca="true" t="shared" si="205" ref="I1580:I1588">H1580/G1580*100</f>
        <v>#DIV/0!</v>
      </c>
      <c r="J1580" s="285"/>
      <c r="K1580" s="182"/>
      <c r="L1580" s="403"/>
      <c r="M1580" s="182"/>
      <c r="N1580" s="182"/>
      <c r="O1580" s="368"/>
      <c r="P1580" s="182"/>
      <c r="Q1580" s="182"/>
      <c r="R1580" s="368"/>
    </row>
    <row r="1581" spans="1:18" s="118" customFormat="1" ht="27" customHeight="1" hidden="1">
      <c r="A1581" s="124">
        <v>4010</v>
      </c>
      <c r="B1581" s="128" t="s">
        <v>492</v>
      </c>
      <c r="C1581" s="174"/>
      <c r="D1581" s="74">
        <f t="shared" si="202"/>
        <v>0</v>
      </c>
      <c r="E1581" s="89">
        <f t="shared" si="203"/>
        <v>0</v>
      </c>
      <c r="F1581" s="468" t="e">
        <f t="shared" si="204"/>
        <v>#DIV/0!</v>
      </c>
      <c r="G1581" s="174"/>
      <c r="H1581" s="74"/>
      <c r="I1581" s="442" t="e">
        <f t="shared" si="205"/>
        <v>#DIV/0!</v>
      </c>
      <c r="J1581" s="285"/>
      <c r="K1581" s="182"/>
      <c r="L1581" s="403"/>
      <c r="M1581" s="182"/>
      <c r="N1581" s="182"/>
      <c r="O1581" s="368"/>
      <c r="P1581" s="182"/>
      <c r="Q1581" s="182"/>
      <c r="R1581" s="368"/>
    </row>
    <row r="1582" spans="1:18" s="118" customFormat="1" ht="29.25" customHeight="1" hidden="1">
      <c r="A1582" s="124">
        <v>4040</v>
      </c>
      <c r="B1582" s="128" t="s">
        <v>541</v>
      </c>
      <c r="C1582" s="174"/>
      <c r="D1582" s="74">
        <f t="shared" si="202"/>
        <v>0</v>
      </c>
      <c r="E1582" s="89">
        <f t="shared" si="203"/>
        <v>0</v>
      </c>
      <c r="F1582" s="468" t="e">
        <f t="shared" si="204"/>
        <v>#DIV/0!</v>
      </c>
      <c r="G1582" s="174"/>
      <c r="H1582" s="74"/>
      <c r="I1582" s="442" t="e">
        <f t="shared" si="205"/>
        <v>#DIV/0!</v>
      </c>
      <c r="J1582" s="285"/>
      <c r="K1582" s="182"/>
      <c r="L1582" s="403"/>
      <c r="M1582" s="182"/>
      <c r="N1582" s="182"/>
      <c r="O1582" s="368"/>
      <c r="P1582" s="182"/>
      <c r="Q1582" s="182"/>
      <c r="R1582" s="368"/>
    </row>
    <row r="1583" spans="1:18" s="118" customFormat="1" ht="24" hidden="1">
      <c r="A1583" s="124">
        <v>4110</v>
      </c>
      <c r="B1583" s="128" t="s">
        <v>498</v>
      </c>
      <c r="C1583" s="174"/>
      <c r="D1583" s="74">
        <f t="shared" si="202"/>
        <v>0</v>
      </c>
      <c r="E1583" s="89">
        <f t="shared" si="203"/>
        <v>0</v>
      </c>
      <c r="F1583" s="468" t="e">
        <f t="shared" si="204"/>
        <v>#DIV/0!</v>
      </c>
      <c r="G1583" s="174"/>
      <c r="H1583" s="74"/>
      <c r="I1583" s="442" t="e">
        <f t="shared" si="205"/>
        <v>#DIV/0!</v>
      </c>
      <c r="J1583" s="285"/>
      <c r="K1583" s="182"/>
      <c r="L1583" s="403"/>
      <c r="M1583" s="182"/>
      <c r="N1583" s="182"/>
      <c r="O1583" s="368"/>
      <c r="P1583" s="182"/>
      <c r="Q1583" s="182"/>
      <c r="R1583" s="368"/>
    </row>
    <row r="1584" spans="1:18" s="118" customFormat="1" ht="15.75" customHeight="1" hidden="1">
      <c r="A1584" s="124">
        <v>4120</v>
      </c>
      <c r="B1584" s="128" t="s">
        <v>571</v>
      </c>
      <c r="C1584" s="174"/>
      <c r="D1584" s="74">
        <f t="shared" si="202"/>
        <v>0</v>
      </c>
      <c r="E1584" s="89">
        <f t="shared" si="203"/>
        <v>0</v>
      </c>
      <c r="F1584" s="468" t="e">
        <f t="shared" si="204"/>
        <v>#DIV/0!</v>
      </c>
      <c r="G1584" s="174"/>
      <c r="H1584" s="74"/>
      <c r="I1584" s="442" t="e">
        <f t="shared" si="205"/>
        <v>#DIV/0!</v>
      </c>
      <c r="J1584" s="285"/>
      <c r="K1584" s="182"/>
      <c r="L1584" s="403"/>
      <c r="M1584" s="182"/>
      <c r="N1584" s="182"/>
      <c r="O1584" s="368"/>
      <c r="P1584" s="182"/>
      <c r="Q1584" s="182"/>
      <c r="R1584" s="368"/>
    </row>
    <row r="1585" spans="1:18" s="118" customFormat="1" ht="15" customHeight="1" hidden="1">
      <c r="A1585" s="124">
        <v>4140</v>
      </c>
      <c r="B1585" s="128" t="s">
        <v>544</v>
      </c>
      <c r="C1585" s="174"/>
      <c r="D1585" s="74">
        <f t="shared" si="202"/>
        <v>0</v>
      </c>
      <c r="E1585" s="89">
        <f t="shared" si="203"/>
        <v>0</v>
      </c>
      <c r="F1585" s="468" t="e">
        <f t="shared" si="204"/>
        <v>#DIV/0!</v>
      </c>
      <c r="G1585" s="174"/>
      <c r="H1585" s="74"/>
      <c r="I1585" s="442" t="e">
        <f t="shared" si="205"/>
        <v>#DIV/0!</v>
      </c>
      <c r="J1585" s="285"/>
      <c r="K1585" s="182"/>
      <c r="L1585" s="403"/>
      <c r="M1585" s="182"/>
      <c r="N1585" s="182"/>
      <c r="O1585" s="368"/>
      <c r="P1585" s="182"/>
      <c r="Q1585" s="182"/>
      <c r="R1585" s="368"/>
    </row>
    <row r="1586" spans="1:18" s="118" customFormat="1" ht="18" customHeight="1" hidden="1">
      <c r="A1586" s="158">
        <v>4440</v>
      </c>
      <c r="B1586" s="159" t="s">
        <v>514</v>
      </c>
      <c r="C1586" s="176"/>
      <c r="D1586" s="161">
        <f t="shared" si="202"/>
        <v>0</v>
      </c>
      <c r="E1586" s="155">
        <f t="shared" si="203"/>
        <v>0</v>
      </c>
      <c r="F1586" s="469" t="e">
        <f t="shared" si="204"/>
        <v>#DIV/0!</v>
      </c>
      <c r="G1586" s="176"/>
      <c r="H1586" s="161"/>
      <c r="I1586" s="462" t="e">
        <f t="shared" si="205"/>
        <v>#DIV/0!</v>
      </c>
      <c r="J1586" s="286"/>
      <c r="K1586" s="192"/>
      <c r="L1586" s="424"/>
      <c r="M1586" s="192"/>
      <c r="N1586" s="192"/>
      <c r="O1586" s="387"/>
      <c r="P1586" s="192"/>
      <c r="Q1586" s="192"/>
      <c r="R1586" s="387"/>
    </row>
    <row r="1587" spans="1:18" s="118" customFormat="1" ht="30.75" customHeight="1" hidden="1">
      <c r="A1587" s="188"/>
      <c r="B1587" s="189" t="s">
        <v>136</v>
      </c>
      <c r="C1587" s="190">
        <f>SUM(C1588:C1600)</f>
        <v>247900</v>
      </c>
      <c r="D1587" s="122">
        <f t="shared" si="202"/>
        <v>626087</v>
      </c>
      <c r="E1587" s="122">
        <f t="shared" si="203"/>
        <v>433261</v>
      </c>
      <c r="F1587" s="469">
        <f t="shared" si="204"/>
        <v>69.2014049165691</v>
      </c>
      <c r="G1587" s="190">
        <f>SUM(G1588:G1600)</f>
        <v>43900</v>
      </c>
      <c r="H1587" s="192">
        <f>SUM(H1588:H1600)</f>
        <v>21623</v>
      </c>
      <c r="I1587" s="462">
        <f t="shared" si="205"/>
        <v>49.255125284738035</v>
      </c>
      <c r="J1587" s="286"/>
      <c r="K1587" s="192"/>
      <c r="L1587" s="424"/>
      <c r="M1587" s="192">
        <f>SUM(M1588:M1600)</f>
        <v>582187</v>
      </c>
      <c r="N1587" s="192">
        <f>SUM(N1588:N1600)</f>
        <v>411638</v>
      </c>
      <c r="O1587" s="274">
        <f>N1587/M1587*100</f>
        <v>70.705460616606</v>
      </c>
      <c r="P1587" s="192"/>
      <c r="Q1587" s="192"/>
      <c r="R1587" s="387"/>
    </row>
    <row r="1588" spans="1:18" s="118" customFormat="1" ht="84">
      <c r="A1588" s="108">
        <v>2820</v>
      </c>
      <c r="B1588" s="199" t="s">
        <v>137</v>
      </c>
      <c r="C1588" s="90">
        <v>30000</v>
      </c>
      <c r="D1588" s="103">
        <f t="shared" si="202"/>
        <v>30000</v>
      </c>
      <c r="E1588" s="103">
        <f>H1588+K1588+Q1588+N1588</f>
        <v>17500</v>
      </c>
      <c r="F1588" s="470">
        <f t="shared" si="204"/>
        <v>58.333333333333336</v>
      </c>
      <c r="G1588" s="90">
        <v>30000</v>
      </c>
      <c r="H1588" s="104">
        <v>17500</v>
      </c>
      <c r="I1588" s="464">
        <f t="shared" si="205"/>
        <v>58.333333333333336</v>
      </c>
      <c r="J1588" s="200"/>
      <c r="K1588" s="104"/>
      <c r="L1588" s="414"/>
      <c r="M1588" s="104"/>
      <c r="N1588" s="104"/>
      <c r="O1588" s="388"/>
      <c r="P1588" s="104"/>
      <c r="Q1588" s="104"/>
      <c r="R1588" s="388"/>
    </row>
    <row r="1589" spans="1:18" s="118" customFormat="1" ht="48">
      <c r="A1589" s="124">
        <v>3040</v>
      </c>
      <c r="B1589" s="128" t="s">
        <v>78</v>
      </c>
      <c r="C1589" s="88">
        <v>3100</v>
      </c>
      <c r="D1589" s="74">
        <f t="shared" si="202"/>
        <v>2500</v>
      </c>
      <c r="E1589" s="74">
        <f>H1589+K1589+Q1589+N1589</f>
        <v>0</v>
      </c>
      <c r="F1589" s="468">
        <f>E1589/D1589*100</f>
        <v>0</v>
      </c>
      <c r="G1589" s="88"/>
      <c r="H1589" s="89"/>
      <c r="I1589" s="442"/>
      <c r="J1589" s="220"/>
      <c r="K1589" s="89"/>
      <c r="L1589" s="391"/>
      <c r="M1589" s="89">
        <f>3100-600</f>
        <v>2500</v>
      </c>
      <c r="N1589" s="89"/>
      <c r="O1589" s="442">
        <f>N1589/M1589*100</f>
        <v>0</v>
      </c>
      <c r="P1589" s="89"/>
      <c r="Q1589" s="89"/>
      <c r="R1589" s="368"/>
    </row>
    <row r="1590" spans="1:18" s="118" customFormat="1" ht="48" hidden="1">
      <c r="A1590" s="124">
        <v>4010</v>
      </c>
      <c r="B1590" s="128" t="s">
        <v>461</v>
      </c>
      <c r="C1590" s="88"/>
      <c r="D1590" s="74">
        <f t="shared" si="202"/>
        <v>0</v>
      </c>
      <c r="E1590" s="74">
        <f>H1590+K1590+Q1590+N1590</f>
        <v>0</v>
      </c>
      <c r="F1590" s="468" t="e">
        <f>E1590/D1590*100</f>
        <v>#DIV/0!</v>
      </c>
      <c r="G1590" s="88">
        <f>16040+750-4050+400+7800-11790-9150</f>
        <v>0</v>
      </c>
      <c r="H1590" s="89"/>
      <c r="I1590" s="442"/>
      <c r="J1590" s="220"/>
      <c r="K1590" s="89"/>
      <c r="L1590" s="391"/>
      <c r="M1590" s="89"/>
      <c r="N1590" s="89"/>
      <c r="O1590" s="442" t="e">
        <f>N1590/M1590*100</f>
        <v>#DIV/0!</v>
      </c>
      <c r="P1590" s="89"/>
      <c r="Q1590" s="89"/>
      <c r="R1590" s="368"/>
    </row>
    <row r="1591" spans="1:18" s="118" customFormat="1" ht="24">
      <c r="A1591" s="124">
        <v>4110</v>
      </c>
      <c r="B1591" s="128" t="s">
        <v>498</v>
      </c>
      <c r="C1591" s="88">
        <v>1000</v>
      </c>
      <c r="D1591" s="74">
        <f>G1591+J1591+P1591+M1591</f>
        <v>1000</v>
      </c>
      <c r="E1591" s="74">
        <f>H1591+K1591+Q1591+N1591</f>
        <v>39</v>
      </c>
      <c r="F1591" s="468">
        <f>E1591/D1591*100</f>
        <v>3.9</v>
      </c>
      <c r="G1591" s="88"/>
      <c r="H1591" s="89"/>
      <c r="I1591" s="224"/>
      <c r="J1591" s="220"/>
      <c r="K1591" s="89"/>
      <c r="L1591" s="391"/>
      <c r="M1591" s="89">
        <v>1000</v>
      </c>
      <c r="N1591" s="89">
        <v>39</v>
      </c>
      <c r="O1591" s="442">
        <f aca="true" t="shared" si="206" ref="O1591:O1600">N1591/M1591*100</f>
        <v>3.9</v>
      </c>
      <c r="P1591" s="89"/>
      <c r="Q1591" s="89"/>
      <c r="R1591" s="368"/>
    </row>
    <row r="1592" spans="1:18" s="118" customFormat="1" ht="24">
      <c r="A1592" s="158">
        <v>4170</v>
      </c>
      <c r="B1592" s="159" t="s">
        <v>536</v>
      </c>
      <c r="C1592" s="160">
        <v>8700</v>
      </c>
      <c r="D1592" s="161">
        <f>G1592+J1592+P1592+M1592</f>
        <v>10100</v>
      </c>
      <c r="E1592" s="161">
        <f>H1592+K1592+Q1592+N1592</f>
        <v>2587</v>
      </c>
      <c r="F1592" s="469">
        <f>E1592/D1592*100</f>
        <v>25.613861386138616</v>
      </c>
      <c r="G1592" s="160"/>
      <c r="H1592" s="155"/>
      <c r="I1592" s="274"/>
      <c r="J1592" s="244"/>
      <c r="K1592" s="155"/>
      <c r="L1592" s="415"/>
      <c r="M1592" s="155">
        <f>8700+1400</f>
        <v>10100</v>
      </c>
      <c r="N1592" s="155">
        <v>2587</v>
      </c>
      <c r="O1592" s="462">
        <f t="shared" si="206"/>
        <v>25.613861386138616</v>
      </c>
      <c r="P1592" s="155"/>
      <c r="Q1592" s="155"/>
      <c r="R1592" s="387"/>
    </row>
    <row r="1593" spans="1:18" s="118" customFormat="1" ht="23.25" customHeight="1">
      <c r="A1593" s="124">
        <v>4210</v>
      </c>
      <c r="B1593" s="128" t="s">
        <v>138</v>
      </c>
      <c r="C1593" s="88">
        <v>7650</v>
      </c>
      <c r="D1593" s="74">
        <f t="shared" si="202"/>
        <v>7650</v>
      </c>
      <c r="E1593" s="89">
        <f aca="true" t="shared" si="207" ref="E1593:E1600">SUM(H1593+K1593+N1593+Q1593)</f>
        <v>4123</v>
      </c>
      <c r="F1593" s="468">
        <f t="shared" si="204"/>
        <v>53.8954248366013</v>
      </c>
      <c r="G1593" s="88">
        <v>7650</v>
      </c>
      <c r="H1593" s="89">
        <v>4123</v>
      </c>
      <c r="I1593" s="442">
        <f>H1593/G1593*100</f>
        <v>53.8954248366013</v>
      </c>
      <c r="J1593" s="220"/>
      <c r="K1593" s="89"/>
      <c r="L1593" s="391"/>
      <c r="M1593" s="89"/>
      <c r="N1593" s="89"/>
      <c r="O1593" s="442"/>
      <c r="P1593" s="89"/>
      <c r="Q1593" s="89"/>
      <c r="R1593" s="368"/>
    </row>
    <row r="1594" spans="1:18" s="118" customFormat="1" ht="23.25" customHeight="1">
      <c r="A1594" s="124">
        <v>4210</v>
      </c>
      <c r="B1594" s="128" t="s">
        <v>229</v>
      </c>
      <c r="C1594" s="88">
        <v>10000</v>
      </c>
      <c r="D1594" s="74">
        <f>G1594+J1594+P1594+M1594</f>
        <v>15900</v>
      </c>
      <c r="E1594" s="89">
        <f t="shared" si="207"/>
        <v>8517</v>
      </c>
      <c r="F1594" s="468">
        <f>E1594/D1594*100</f>
        <v>53.56603773584906</v>
      </c>
      <c r="G1594" s="88"/>
      <c r="H1594" s="89"/>
      <c r="I1594" s="442"/>
      <c r="J1594" s="220"/>
      <c r="K1594" s="89"/>
      <c r="L1594" s="391"/>
      <c r="M1594" s="89">
        <f>10000+2200+3700</f>
        <v>15900</v>
      </c>
      <c r="N1594" s="89">
        <v>8517</v>
      </c>
      <c r="O1594" s="442">
        <f t="shared" si="206"/>
        <v>53.56603773584906</v>
      </c>
      <c r="P1594" s="89"/>
      <c r="Q1594" s="89"/>
      <c r="R1594" s="368"/>
    </row>
    <row r="1595" spans="1:18" s="118" customFormat="1" ht="24">
      <c r="A1595" s="124">
        <v>4300</v>
      </c>
      <c r="B1595" s="128" t="s">
        <v>510</v>
      </c>
      <c r="C1595" s="88">
        <v>30000</v>
      </c>
      <c r="D1595" s="74">
        <f t="shared" si="202"/>
        <v>35100</v>
      </c>
      <c r="E1595" s="89">
        <f t="shared" si="207"/>
        <v>12363</v>
      </c>
      <c r="F1595" s="468">
        <f t="shared" si="204"/>
        <v>35.22222222222222</v>
      </c>
      <c r="G1595" s="88">
        <f>3200-3200</f>
        <v>0</v>
      </c>
      <c r="H1595" s="89"/>
      <c r="I1595" s="442"/>
      <c r="J1595" s="220"/>
      <c r="K1595" s="89"/>
      <c r="L1595" s="391"/>
      <c r="M1595" s="89">
        <f>30000+2200-2200+1900+3200</f>
        <v>35100</v>
      </c>
      <c r="N1595" s="89">
        <v>12363</v>
      </c>
      <c r="O1595" s="442">
        <f t="shared" si="206"/>
        <v>35.22222222222222</v>
      </c>
      <c r="P1595" s="89"/>
      <c r="Q1595" s="89"/>
      <c r="R1595" s="368"/>
    </row>
    <row r="1596" spans="1:18" s="118" customFormat="1" ht="23.25" customHeight="1">
      <c r="A1596" s="124">
        <v>4300</v>
      </c>
      <c r="B1596" s="128" t="s">
        <v>139</v>
      </c>
      <c r="C1596" s="88">
        <v>6250</v>
      </c>
      <c r="D1596" s="74">
        <f t="shared" si="202"/>
        <v>6250</v>
      </c>
      <c r="E1596" s="89">
        <f t="shared" si="207"/>
        <v>0</v>
      </c>
      <c r="F1596" s="468">
        <f t="shared" si="204"/>
        <v>0</v>
      </c>
      <c r="G1596" s="88">
        <v>6250</v>
      </c>
      <c r="H1596" s="89"/>
      <c r="I1596" s="442">
        <f>H1596/G1596*100</f>
        <v>0</v>
      </c>
      <c r="J1596" s="220"/>
      <c r="K1596" s="89"/>
      <c r="L1596" s="391"/>
      <c r="M1596" s="89"/>
      <c r="N1596" s="89"/>
      <c r="O1596" s="442"/>
      <c r="P1596" s="89"/>
      <c r="Q1596" s="89"/>
      <c r="R1596" s="368"/>
    </row>
    <row r="1597" spans="1:18" s="118" customFormat="1" ht="24" hidden="1">
      <c r="A1597" s="124">
        <v>4430</v>
      </c>
      <c r="B1597" s="128" t="s">
        <v>214</v>
      </c>
      <c r="C1597" s="88"/>
      <c r="D1597" s="74">
        <f t="shared" si="202"/>
        <v>0</v>
      </c>
      <c r="E1597" s="89">
        <f t="shared" si="207"/>
        <v>0</v>
      </c>
      <c r="F1597" s="468" t="e">
        <f t="shared" si="204"/>
        <v>#DIV/0!</v>
      </c>
      <c r="G1597" s="88"/>
      <c r="H1597" s="89"/>
      <c r="I1597" s="442" t="e">
        <f>H1597/G1597*100</f>
        <v>#DIV/0!</v>
      </c>
      <c r="J1597" s="220"/>
      <c r="K1597" s="89"/>
      <c r="L1597" s="391"/>
      <c r="M1597" s="89"/>
      <c r="N1597" s="89"/>
      <c r="O1597" s="442"/>
      <c r="P1597" s="89"/>
      <c r="Q1597" s="89"/>
      <c r="R1597" s="368"/>
    </row>
    <row r="1598" spans="1:18" s="118" customFormat="1" ht="12.75">
      <c r="A1598" s="124">
        <v>4440</v>
      </c>
      <c r="B1598" s="128" t="s">
        <v>514</v>
      </c>
      <c r="C1598" s="88">
        <v>151000</v>
      </c>
      <c r="D1598" s="74">
        <f>G1598+J1598+P1598+M1598</f>
        <v>517387</v>
      </c>
      <c r="E1598" s="74">
        <f>H1598+K1598+Q1598+N1598</f>
        <v>388030</v>
      </c>
      <c r="F1598" s="468">
        <f>E1598/D1598*100</f>
        <v>74.99801889108153</v>
      </c>
      <c r="G1598" s="88">
        <f>106000-106000</f>
        <v>0</v>
      </c>
      <c r="H1598" s="74"/>
      <c r="I1598" s="442"/>
      <c r="J1598" s="220"/>
      <c r="K1598" s="89"/>
      <c r="L1598" s="391"/>
      <c r="M1598" s="89">
        <f>45000-45000+151000+366387</f>
        <v>517387</v>
      </c>
      <c r="N1598" s="89">
        <f>388031-1</f>
        <v>388030</v>
      </c>
      <c r="O1598" s="442">
        <f t="shared" si="206"/>
        <v>74.99801889108153</v>
      </c>
      <c r="P1598" s="89"/>
      <c r="Q1598" s="89"/>
      <c r="R1598" s="368"/>
    </row>
    <row r="1599" spans="1:18" s="118" customFormat="1" ht="60.75" thickBot="1">
      <c r="A1599" s="172">
        <v>4740</v>
      </c>
      <c r="B1599" s="337" t="s">
        <v>290</v>
      </c>
      <c r="C1599" s="88">
        <v>200</v>
      </c>
      <c r="D1599" s="74">
        <f>G1599+J1599+P1599+M1599</f>
        <v>200</v>
      </c>
      <c r="E1599" s="74">
        <f>H1599+K1599+Q1599+N1599</f>
        <v>102</v>
      </c>
      <c r="F1599" s="468">
        <f>E1599/D1599*100</f>
        <v>51</v>
      </c>
      <c r="G1599" s="88"/>
      <c r="H1599" s="74"/>
      <c r="I1599" s="442"/>
      <c r="J1599" s="220"/>
      <c r="K1599" s="89"/>
      <c r="L1599" s="391"/>
      <c r="M1599" s="89">
        <v>200</v>
      </c>
      <c r="N1599" s="89">
        <v>102</v>
      </c>
      <c r="O1599" s="442">
        <f t="shared" si="206"/>
        <v>51</v>
      </c>
      <c r="P1599" s="89"/>
      <c r="Q1599" s="89"/>
      <c r="R1599" s="368"/>
    </row>
    <row r="1600" spans="1:18" s="118" customFormat="1" ht="24.75" hidden="1" thickBot="1">
      <c r="A1600" s="124">
        <v>6050</v>
      </c>
      <c r="B1600" s="128" t="s">
        <v>574</v>
      </c>
      <c r="C1600" s="88"/>
      <c r="D1600" s="74">
        <f>G1600+J1600+P1600+M1600</f>
        <v>0</v>
      </c>
      <c r="E1600" s="89">
        <f t="shared" si="207"/>
        <v>0</v>
      </c>
      <c r="F1600" s="468" t="e">
        <f t="shared" si="204"/>
        <v>#DIV/0!</v>
      </c>
      <c r="G1600" s="88"/>
      <c r="H1600" s="89"/>
      <c r="I1600" s="224"/>
      <c r="J1600" s="220"/>
      <c r="K1600" s="89"/>
      <c r="L1600" s="391"/>
      <c r="M1600" s="89"/>
      <c r="N1600" s="89"/>
      <c r="O1600" s="442" t="e">
        <f t="shared" si="206"/>
        <v>#DIV/0!</v>
      </c>
      <c r="P1600" s="89"/>
      <c r="Q1600" s="89"/>
      <c r="R1600" s="368"/>
    </row>
    <row r="1601" spans="1:18" s="118" customFormat="1" ht="49.5" thickBot="1" thickTop="1">
      <c r="A1601" s="131">
        <v>900</v>
      </c>
      <c r="B1601" s="132" t="s">
        <v>140</v>
      </c>
      <c r="C1601" s="116">
        <f>C1615+C1619+C1628+C1633+C1623+C1602</f>
        <v>19343100</v>
      </c>
      <c r="D1601" s="59">
        <f t="shared" si="202"/>
        <v>20203596</v>
      </c>
      <c r="E1601" s="107">
        <f>H1601+K1601+Q1601+N1601</f>
        <v>6109295</v>
      </c>
      <c r="F1601" s="496">
        <f t="shared" si="204"/>
        <v>30.238651574699873</v>
      </c>
      <c r="G1601" s="116">
        <f>G1615+G1619+G1628+G1633+G1623+G1602</f>
        <v>15759596</v>
      </c>
      <c r="H1601" s="107">
        <f>H1615+H1619+H1628+H1633+H1623+H1602</f>
        <v>4066387</v>
      </c>
      <c r="I1601" s="463">
        <f aca="true" t="shared" si="208" ref="I1601:I1656">H1601/G1601*100</f>
        <v>25.80260940699241</v>
      </c>
      <c r="J1601" s="107"/>
      <c r="K1601" s="107"/>
      <c r="L1601" s="398"/>
      <c r="M1601" s="107">
        <f>M1615+M1619+M1628+M1633+M1623+M1602</f>
        <v>4444000</v>
      </c>
      <c r="N1601" s="107">
        <f>N1615+N1619+N1628+N1633+N1623+N1602</f>
        <v>2042908</v>
      </c>
      <c r="O1601" s="463">
        <f>N1601/M1601*100</f>
        <v>45.97002700270027</v>
      </c>
      <c r="P1601" s="107"/>
      <c r="Q1601" s="107"/>
      <c r="R1601" s="390"/>
    </row>
    <row r="1602" spans="1:18" s="118" customFormat="1" ht="30" customHeight="1" thickTop="1">
      <c r="A1602" s="119">
        <v>90001</v>
      </c>
      <c r="B1602" s="185" t="s">
        <v>141</v>
      </c>
      <c r="C1602" s="121">
        <f>SUM(C1603:C1606)</f>
        <v>5470000</v>
      </c>
      <c r="D1602" s="122">
        <f t="shared" si="202"/>
        <v>5347800</v>
      </c>
      <c r="E1602" s="192">
        <f>H1602+K1602+Q1602+N1602</f>
        <v>1190350</v>
      </c>
      <c r="F1602" s="469">
        <f t="shared" si="204"/>
        <v>22.258685814727553</v>
      </c>
      <c r="G1602" s="121">
        <f>SUM(G1603:G1606)</f>
        <v>4835800</v>
      </c>
      <c r="H1602" s="84">
        <f>SUM(H1603:H1606)</f>
        <v>980827</v>
      </c>
      <c r="I1602" s="497">
        <f t="shared" si="208"/>
        <v>20.28262128293147</v>
      </c>
      <c r="J1602" s="123"/>
      <c r="K1602" s="84"/>
      <c r="L1602" s="274"/>
      <c r="M1602" s="84">
        <f>SUM(M1603:M1606)</f>
        <v>512000</v>
      </c>
      <c r="N1602" s="84">
        <f>SUM(N1603:N1606)</f>
        <v>209523</v>
      </c>
      <c r="O1602" s="462">
        <f>N1602/M1602*100</f>
        <v>40.9224609375</v>
      </c>
      <c r="P1602" s="84"/>
      <c r="Q1602" s="84"/>
      <c r="R1602" s="381"/>
    </row>
    <row r="1603" spans="1:18" s="12" customFormat="1" ht="18.75" customHeight="1">
      <c r="A1603" s="172">
        <v>4300</v>
      </c>
      <c r="B1603" s="195" t="s">
        <v>510</v>
      </c>
      <c r="C1603" s="102">
        <v>1220000</v>
      </c>
      <c r="D1603" s="74">
        <f t="shared" si="202"/>
        <v>1220000</v>
      </c>
      <c r="E1603" s="89">
        <f aca="true" t="shared" si="209" ref="E1603:E1611">SUM(H1603+K1603+N1603+Q1603)</f>
        <v>479214</v>
      </c>
      <c r="F1603" s="468">
        <f t="shared" si="204"/>
        <v>39.27983606557377</v>
      </c>
      <c r="G1603" s="102">
        <f>708000-100000+100000</f>
        <v>708000</v>
      </c>
      <c r="H1603" s="74">
        <v>269691</v>
      </c>
      <c r="I1603" s="442">
        <f t="shared" si="208"/>
        <v>38.09194915254237</v>
      </c>
      <c r="J1603" s="196"/>
      <c r="K1603" s="74"/>
      <c r="L1603" s="224"/>
      <c r="M1603" s="74">
        <v>512000</v>
      </c>
      <c r="N1603" s="74">
        <v>209523</v>
      </c>
      <c r="O1603" s="442">
        <f>N1603/M1603*100</f>
        <v>40.9224609375</v>
      </c>
      <c r="P1603" s="74"/>
      <c r="Q1603" s="74"/>
      <c r="R1603" s="368"/>
    </row>
    <row r="1604" spans="1:18" s="12" customFormat="1" ht="17.25" customHeight="1">
      <c r="A1604" s="172">
        <v>4430</v>
      </c>
      <c r="B1604" s="206" t="s">
        <v>512</v>
      </c>
      <c r="C1604" s="174"/>
      <c r="D1604" s="74">
        <f t="shared" si="202"/>
        <v>2200</v>
      </c>
      <c r="E1604" s="89">
        <f t="shared" si="209"/>
        <v>2119</v>
      </c>
      <c r="F1604" s="468">
        <f t="shared" si="204"/>
        <v>96.31818181818181</v>
      </c>
      <c r="G1604" s="174">
        <v>2200</v>
      </c>
      <c r="H1604" s="74">
        <v>2119</v>
      </c>
      <c r="I1604" s="442">
        <f t="shared" si="208"/>
        <v>96.31818181818181</v>
      </c>
      <c r="J1604" s="175"/>
      <c r="K1604" s="74"/>
      <c r="L1604" s="224"/>
      <c r="M1604" s="74"/>
      <c r="N1604" s="74"/>
      <c r="O1604" s="442"/>
      <c r="P1604" s="74"/>
      <c r="Q1604" s="74"/>
      <c r="R1604" s="368"/>
    </row>
    <row r="1605" spans="1:18" s="12" customFormat="1" ht="57" customHeight="1">
      <c r="A1605" s="172">
        <v>2710</v>
      </c>
      <c r="B1605" s="206" t="s">
        <v>435</v>
      </c>
      <c r="C1605" s="174"/>
      <c r="D1605" s="74">
        <f t="shared" si="202"/>
        <v>53000</v>
      </c>
      <c r="E1605" s="89">
        <f t="shared" si="209"/>
        <v>0</v>
      </c>
      <c r="F1605" s="468">
        <f t="shared" si="204"/>
        <v>0</v>
      </c>
      <c r="G1605" s="174">
        <v>53000</v>
      </c>
      <c r="H1605" s="74"/>
      <c r="I1605" s="442">
        <f t="shared" si="208"/>
        <v>0</v>
      </c>
      <c r="J1605" s="175"/>
      <c r="K1605" s="74"/>
      <c r="L1605" s="224"/>
      <c r="M1605" s="74"/>
      <c r="N1605" s="74"/>
      <c r="O1605" s="442"/>
      <c r="P1605" s="74"/>
      <c r="Q1605" s="74"/>
      <c r="R1605" s="368"/>
    </row>
    <row r="1606" spans="1:18" ht="24">
      <c r="A1606" s="272">
        <v>6050</v>
      </c>
      <c r="B1606" s="128" t="s">
        <v>537</v>
      </c>
      <c r="C1606" s="88">
        <v>4250000</v>
      </c>
      <c r="D1606" s="74">
        <f t="shared" si="202"/>
        <v>4072600</v>
      </c>
      <c r="E1606" s="89">
        <f t="shared" si="209"/>
        <v>709017</v>
      </c>
      <c r="F1606" s="468">
        <f t="shared" si="204"/>
        <v>17.40944359868389</v>
      </c>
      <c r="G1606" s="88">
        <f>4250000-38000-470000+194800-2200-362000+500000</f>
        <v>4072600</v>
      </c>
      <c r="H1606" s="89">
        <v>709017</v>
      </c>
      <c r="I1606" s="442">
        <f t="shared" si="208"/>
        <v>17.40944359868389</v>
      </c>
      <c r="J1606" s="126"/>
      <c r="K1606" s="89"/>
      <c r="L1606" s="224"/>
      <c r="M1606" s="89"/>
      <c r="N1606" s="89"/>
      <c r="O1606" s="442"/>
      <c r="P1606" s="89"/>
      <c r="Q1606" s="89"/>
      <c r="R1606" s="368"/>
    </row>
    <row r="1607" spans="1:18" s="212" customFormat="1" ht="25.5" customHeight="1" hidden="1">
      <c r="A1607" s="312"/>
      <c r="B1607" s="313" t="s">
        <v>142</v>
      </c>
      <c r="C1607" s="88">
        <v>200000</v>
      </c>
      <c r="D1607" s="74">
        <f t="shared" si="202"/>
        <v>200000</v>
      </c>
      <c r="E1607" s="89">
        <f t="shared" si="209"/>
        <v>0</v>
      </c>
      <c r="F1607" s="468">
        <f t="shared" si="204"/>
        <v>0</v>
      </c>
      <c r="G1607" s="88">
        <v>200000</v>
      </c>
      <c r="H1607" s="314"/>
      <c r="I1607" s="442">
        <f t="shared" si="208"/>
        <v>0</v>
      </c>
      <c r="J1607" s="211"/>
      <c r="K1607" s="210"/>
      <c r="L1607" s="224"/>
      <c r="M1607" s="210"/>
      <c r="N1607" s="210"/>
      <c r="O1607" s="224"/>
      <c r="P1607" s="210"/>
      <c r="Q1607" s="210"/>
      <c r="R1607" s="391"/>
    </row>
    <row r="1608" spans="1:18" s="212" customFormat="1" ht="25.5" customHeight="1" hidden="1">
      <c r="A1608" s="312"/>
      <c r="B1608" s="313" t="s">
        <v>143</v>
      </c>
      <c r="C1608" s="88">
        <v>800000</v>
      </c>
      <c r="D1608" s="74">
        <f t="shared" si="202"/>
        <v>600000</v>
      </c>
      <c r="E1608" s="89">
        <f t="shared" si="209"/>
        <v>0</v>
      </c>
      <c r="F1608" s="468">
        <f t="shared" si="204"/>
        <v>0</v>
      </c>
      <c r="G1608" s="88">
        <f>800000-200000</f>
        <v>600000</v>
      </c>
      <c r="H1608" s="314"/>
      <c r="I1608" s="442">
        <f t="shared" si="208"/>
        <v>0</v>
      </c>
      <c r="J1608" s="211"/>
      <c r="K1608" s="210"/>
      <c r="L1608" s="224"/>
      <c r="M1608" s="210"/>
      <c r="N1608" s="210"/>
      <c r="O1608" s="224"/>
      <c r="P1608" s="210"/>
      <c r="Q1608" s="210"/>
      <c r="R1608" s="391"/>
    </row>
    <row r="1609" spans="1:18" s="212" customFormat="1" ht="17.25" customHeight="1" hidden="1">
      <c r="A1609" s="312"/>
      <c r="B1609" s="313" t="s">
        <v>144</v>
      </c>
      <c r="C1609" s="88">
        <v>100000</v>
      </c>
      <c r="D1609" s="74">
        <f t="shared" si="202"/>
        <v>100000</v>
      </c>
      <c r="E1609" s="89">
        <f t="shared" si="209"/>
        <v>0</v>
      </c>
      <c r="F1609" s="468">
        <f t="shared" si="204"/>
        <v>0</v>
      </c>
      <c r="G1609" s="88">
        <v>100000</v>
      </c>
      <c r="H1609" s="314"/>
      <c r="I1609" s="442">
        <f t="shared" si="208"/>
        <v>0</v>
      </c>
      <c r="J1609" s="211"/>
      <c r="K1609" s="210"/>
      <c r="L1609" s="224"/>
      <c r="M1609" s="210"/>
      <c r="N1609" s="210"/>
      <c r="O1609" s="224"/>
      <c r="P1609" s="210"/>
      <c r="Q1609" s="210"/>
      <c r="R1609" s="391"/>
    </row>
    <row r="1610" spans="1:18" s="212" customFormat="1" ht="38.25" customHeight="1" hidden="1">
      <c r="A1610" s="312"/>
      <c r="B1610" s="313" t="s">
        <v>145</v>
      </c>
      <c r="C1610" s="88">
        <v>700000</v>
      </c>
      <c r="D1610" s="74">
        <f t="shared" si="202"/>
        <v>550000</v>
      </c>
      <c r="E1610" s="89">
        <f t="shared" si="209"/>
        <v>0</v>
      </c>
      <c r="F1610" s="468">
        <f t="shared" si="204"/>
        <v>0</v>
      </c>
      <c r="G1610" s="88">
        <f>700000-150000</f>
        <v>550000</v>
      </c>
      <c r="H1610" s="314"/>
      <c r="I1610" s="442">
        <f t="shared" si="208"/>
        <v>0</v>
      </c>
      <c r="J1610" s="211"/>
      <c r="K1610" s="210"/>
      <c r="L1610" s="224"/>
      <c r="M1610" s="210"/>
      <c r="N1610" s="210"/>
      <c r="O1610" s="224"/>
      <c r="P1610" s="210"/>
      <c r="Q1610" s="210"/>
      <c r="R1610" s="391"/>
    </row>
    <row r="1611" spans="1:18" s="212" customFormat="1" ht="25.5" customHeight="1" hidden="1">
      <c r="A1611" s="207"/>
      <c r="B1611" s="313" t="s">
        <v>146</v>
      </c>
      <c r="C1611" s="88">
        <v>500000</v>
      </c>
      <c r="D1611" s="74">
        <f t="shared" si="202"/>
        <v>1300000</v>
      </c>
      <c r="E1611" s="89">
        <f t="shared" si="209"/>
        <v>0</v>
      </c>
      <c r="F1611" s="468">
        <f t="shared" si="204"/>
        <v>0</v>
      </c>
      <c r="G1611" s="88">
        <f>500000+800000</f>
        <v>1300000</v>
      </c>
      <c r="H1611" s="210"/>
      <c r="I1611" s="442">
        <f t="shared" si="208"/>
        <v>0</v>
      </c>
      <c r="J1611" s="211"/>
      <c r="K1611" s="210"/>
      <c r="L1611" s="224"/>
      <c r="M1611" s="210"/>
      <c r="N1611" s="210"/>
      <c r="O1611" s="224"/>
      <c r="P1611" s="210"/>
      <c r="Q1611" s="210"/>
      <c r="R1611" s="369"/>
    </row>
    <row r="1612" spans="1:18" s="212" customFormat="1" ht="49.5" customHeight="1" hidden="1">
      <c r="A1612" s="207"/>
      <c r="B1612" s="313" t="s">
        <v>147</v>
      </c>
      <c r="C1612" s="88">
        <v>200000</v>
      </c>
      <c r="D1612" s="74"/>
      <c r="E1612" s="89"/>
      <c r="F1612" s="468"/>
      <c r="G1612" s="88">
        <v>200000</v>
      </c>
      <c r="H1612" s="210"/>
      <c r="I1612" s="442"/>
      <c r="J1612" s="211"/>
      <c r="K1612" s="210"/>
      <c r="L1612" s="224"/>
      <c r="M1612" s="210"/>
      <c r="N1612" s="210"/>
      <c r="O1612" s="224"/>
      <c r="P1612" s="210"/>
      <c r="Q1612" s="210"/>
      <c r="R1612" s="369"/>
    </row>
    <row r="1613" spans="1:18" s="212" customFormat="1" ht="59.25" customHeight="1" hidden="1">
      <c r="A1613" s="207"/>
      <c r="B1613" s="313" t="s">
        <v>148</v>
      </c>
      <c r="C1613" s="88">
        <v>200000</v>
      </c>
      <c r="D1613" s="74"/>
      <c r="E1613" s="89"/>
      <c r="F1613" s="468"/>
      <c r="G1613" s="88">
        <f>200000-80000</f>
        <v>120000</v>
      </c>
      <c r="H1613" s="210"/>
      <c r="I1613" s="442"/>
      <c r="J1613" s="211"/>
      <c r="K1613" s="210"/>
      <c r="L1613" s="224"/>
      <c r="M1613" s="210"/>
      <c r="N1613" s="210"/>
      <c r="O1613" s="224"/>
      <c r="P1613" s="210"/>
      <c r="Q1613" s="210"/>
      <c r="R1613" s="369"/>
    </row>
    <row r="1614" spans="1:18" s="212" customFormat="1" ht="60" customHeight="1" hidden="1">
      <c r="A1614" s="207"/>
      <c r="B1614" s="313" t="s">
        <v>149</v>
      </c>
      <c r="C1614" s="88">
        <v>200000</v>
      </c>
      <c r="D1614" s="74"/>
      <c r="E1614" s="89"/>
      <c r="F1614" s="468"/>
      <c r="G1614" s="160">
        <v>200000</v>
      </c>
      <c r="H1614" s="315"/>
      <c r="I1614" s="442"/>
      <c r="J1614" s="211"/>
      <c r="K1614" s="210"/>
      <c r="L1614" s="224"/>
      <c r="M1614" s="210"/>
      <c r="N1614" s="210"/>
      <c r="O1614" s="224"/>
      <c r="P1614" s="210"/>
      <c r="Q1614" s="210"/>
      <c r="R1614" s="369"/>
    </row>
    <row r="1615" spans="1:18" s="118" customFormat="1" ht="24">
      <c r="A1615" s="119">
        <v>90003</v>
      </c>
      <c r="B1615" s="185" t="s">
        <v>150</v>
      </c>
      <c r="C1615" s="121">
        <f>SUM(C1616:C1618)</f>
        <v>3220000</v>
      </c>
      <c r="D1615" s="95">
        <f aca="true" t="shared" si="210" ref="D1615:E1636">G1615+J1615+P1615+M1615</f>
        <v>3358000</v>
      </c>
      <c r="E1615" s="84">
        <f t="shared" si="210"/>
        <v>1556367</v>
      </c>
      <c r="F1615" s="467">
        <f t="shared" si="204"/>
        <v>46.34803454437165</v>
      </c>
      <c r="G1615" s="84">
        <f>SUM(G1616:G1618)</f>
        <v>1606000</v>
      </c>
      <c r="H1615" s="123">
        <f>SUM(H1616:H1618)</f>
        <v>686573</v>
      </c>
      <c r="I1615" s="448">
        <f t="shared" si="208"/>
        <v>42.750498132004985</v>
      </c>
      <c r="J1615" s="123"/>
      <c r="K1615" s="84"/>
      <c r="L1615" s="316"/>
      <c r="M1615" s="84">
        <f>SUM(M1616:M1618)</f>
        <v>1752000</v>
      </c>
      <c r="N1615" s="84">
        <f>SUM(N1616:N1618)</f>
        <v>869794</v>
      </c>
      <c r="O1615" s="448">
        <f aca="true" t="shared" si="211" ref="O1615:O1620">N1615/M1615*100</f>
        <v>49.645776255707766</v>
      </c>
      <c r="P1615" s="84"/>
      <c r="Q1615" s="84"/>
      <c r="R1615" s="372"/>
    </row>
    <row r="1616" spans="1:18" s="12" customFormat="1" ht="24">
      <c r="A1616" s="194">
        <v>4270</v>
      </c>
      <c r="B1616" s="195" t="s">
        <v>508</v>
      </c>
      <c r="C1616" s="102">
        <v>150000</v>
      </c>
      <c r="D1616" s="103">
        <f>G1616+J1616+P1616+M1616</f>
        <v>150000</v>
      </c>
      <c r="E1616" s="103">
        <f>H1616+K1616+Q1616+N1616</f>
        <v>25300</v>
      </c>
      <c r="F1616" s="470">
        <f>E1616/D1616*100</f>
        <v>16.866666666666667</v>
      </c>
      <c r="G1616" s="103"/>
      <c r="H1616" s="196"/>
      <c r="I1616" s="304"/>
      <c r="J1616" s="196"/>
      <c r="K1616" s="103"/>
      <c r="L1616" s="304"/>
      <c r="M1616" s="103">
        <v>150000</v>
      </c>
      <c r="N1616" s="103">
        <v>25300</v>
      </c>
      <c r="O1616" s="464">
        <f t="shared" si="211"/>
        <v>16.866666666666667</v>
      </c>
      <c r="P1616" s="103"/>
      <c r="Q1616" s="103"/>
      <c r="R1616" s="365"/>
    </row>
    <row r="1617" spans="1:18" s="12" customFormat="1" ht="36">
      <c r="A1617" s="124">
        <v>4300</v>
      </c>
      <c r="B1617" s="128" t="s">
        <v>412</v>
      </c>
      <c r="C1617" s="174"/>
      <c r="D1617" s="74">
        <f>G1617+J1617+P1617+M1617</f>
        <v>130000</v>
      </c>
      <c r="E1617" s="74">
        <f>H1617+K1617+Q1617+N1617</f>
        <v>0</v>
      </c>
      <c r="F1617" s="468">
        <f>E1617/D1617*100</f>
        <v>0</v>
      </c>
      <c r="G1617" s="74">
        <v>90000</v>
      </c>
      <c r="H1617" s="175"/>
      <c r="I1617" s="442">
        <f t="shared" si="208"/>
        <v>0</v>
      </c>
      <c r="J1617" s="175"/>
      <c r="K1617" s="74"/>
      <c r="L1617" s="224"/>
      <c r="M1617" s="74">
        <v>40000</v>
      </c>
      <c r="N1617" s="74"/>
      <c r="O1617" s="442">
        <f t="shared" si="211"/>
        <v>0</v>
      </c>
      <c r="P1617" s="74"/>
      <c r="Q1617" s="74"/>
      <c r="R1617" s="362"/>
    </row>
    <row r="1618" spans="1:18" ht="16.5" customHeight="1">
      <c r="A1618" s="124">
        <v>4300</v>
      </c>
      <c r="B1618" s="128" t="s">
        <v>510</v>
      </c>
      <c r="C1618" s="88">
        <v>3070000</v>
      </c>
      <c r="D1618" s="74">
        <f t="shared" si="210"/>
        <v>3078000</v>
      </c>
      <c r="E1618" s="161">
        <f t="shared" si="210"/>
        <v>1531067</v>
      </c>
      <c r="F1618" s="468">
        <f t="shared" si="204"/>
        <v>49.7422677063028</v>
      </c>
      <c r="G1618" s="89">
        <f>1508000+8000</f>
        <v>1516000</v>
      </c>
      <c r="H1618" s="126">
        <v>686573</v>
      </c>
      <c r="I1618" s="442">
        <f t="shared" si="208"/>
        <v>45.28845646437995</v>
      </c>
      <c r="J1618" s="126"/>
      <c r="K1618" s="89"/>
      <c r="L1618" s="224"/>
      <c r="M1618" s="89">
        <v>1562000</v>
      </c>
      <c r="N1618" s="89">
        <v>844494</v>
      </c>
      <c r="O1618" s="442">
        <f t="shared" si="211"/>
        <v>54.06491677336748</v>
      </c>
      <c r="P1618" s="89"/>
      <c r="Q1618" s="89"/>
      <c r="R1618" s="362"/>
    </row>
    <row r="1619" spans="1:18" s="118" customFormat="1" ht="28.5" customHeight="1">
      <c r="A1619" s="119">
        <v>90004</v>
      </c>
      <c r="B1619" s="185" t="s">
        <v>151</v>
      </c>
      <c r="C1619" s="121">
        <f>SUM(C1620:C1622)</f>
        <v>2600000</v>
      </c>
      <c r="D1619" s="95">
        <f t="shared" si="210"/>
        <v>2802000</v>
      </c>
      <c r="E1619" s="84">
        <f t="shared" si="210"/>
        <v>611582</v>
      </c>
      <c r="F1619" s="467">
        <f t="shared" si="204"/>
        <v>21.826623840114205</v>
      </c>
      <c r="G1619" s="84">
        <f>SUM(G1620:G1622)</f>
        <v>2002000</v>
      </c>
      <c r="H1619" s="123">
        <f>SUM(H1620:H1622)</f>
        <v>374844</v>
      </c>
      <c r="I1619" s="448">
        <f t="shared" si="208"/>
        <v>18.723476523476524</v>
      </c>
      <c r="J1619" s="123"/>
      <c r="K1619" s="84"/>
      <c r="L1619" s="316"/>
      <c r="M1619" s="84">
        <f>SUM(M1620:M1620)</f>
        <v>800000</v>
      </c>
      <c r="N1619" s="84">
        <f>SUM(N1620:N1620)</f>
        <v>236738</v>
      </c>
      <c r="O1619" s="448">
        <f t="shared" si="211"/>
        <v>29.592249999999996</v>
      </c>
      <c r="P1619" s="84"/>
      <c r="Q1619" s="84"/>
      <c r="R1619" s="372"/>
    </row>
    <row r="1620" spans="1:18" ht="24">
      <c r="A1620" s="144">
        <v>4300</v>
      </c>
      <c r="B1620" s="145" t="s">
        <v>510</v>
      </c>
      <c r="C1620" s="146">
        <v>1800000</v>
      </c>
      <c r="D1620" s="147">
        <f t="shared" si="210"/>
        <v>1996100</v>
      </c>
      <c r="E1620" s="149">
        <f>SUM(H1620+K1620+N1620+Q1620)</f>
        <v>604976</v>
      </c>
      <c r="F1620" s="467">
        <f t="shared" si="204"/>
        <v>30.307900405791294</v>
      </c>
      <c r="G1620" s="149">
        <f>1000000+202000-5900</f>
        <v>1196100</v>
      </c>
      <c r="H1620" s="148">
        <v>368238</v>
      </c>
      <c r="I1620" s="448">
        <f t="shared" si="208"/>
        <v>30.786556308001</v>
      </c>
      <c r="J1620" s="148"/>
      <c r="K1620" s="149"/>
      <c r="L1620" s="316"/>
      <c r="M1620" s="149">
        <v>800000</v>
      </c>
      <c r="N1620" s="149">
        <v>236738</v>
      </c>
      <c r="O1620" s="448">
        <f t="shared" si="211"/>
        <v>29.592249999999996</v>
      </c>
      <c r="P1620" s="149"/>
      <c r="Q1620" s="149"/>
      <c r="R1620" s="372"/>
    </row>
    <row r="1621" spans="1:18" ht="24">
      <c r="A1621" s="124">
        <v>4210</v>
      </c>
      <c r="B1621" s="128" t="s">
        <v>308</v>
      </c>
      <c r="C1621" s="88"/>
      <c r="D1621" s="74">
        <f>G1621+J1621+P1621+M1621</f>
        <v>5900</v>
      </c>
      <c r="E1621" s="89">
        <f>SUM(H1621+K1621+N1621+Q1621)</f>
        <v>5855</v>
      </c>
      <c r="F1621" s="468">
        <f>E1621/D1621*100</f>
        <v>99.23728813559322</v>
      </c>
      <c r="G1621" s="89">
        <v>5900</v>
      </c>
      <c r="H1621" s="126">
        <v>5855</v>
      </c>
      <c r="I1621" s="442">
        <f t="shared" si="208"/>
        <v>99.23728813559322</v>
      </c>
      <c r="J1621" s="126"/>
      <c r="K1621" s="89"/>
      <c r="L1621" s="224"/>
      <c r="M1621" s="89"/>
      <c r="N1621" s="89"/>
      <c r="O1621" s="442"/>
      <c r="P1621" s="89"/>
      <c r="Q1621" s="89"/>
      <c r="R1621" s="362"/>
    </row>
    <row r="1622" spans="1:18" ht="24">
      <c r="A1622" s="272">
        <v>6050</v>
      </c>
      <c r="B1622" s="128" t="s">
        <v>537</v>
      </c>
      <c r="C1622" s="160">
        <v>800000</v>
      </c>
      <c r="D1622" s="161">
        <f t="shared" si="210"/>
        <v>800000</v>
      </c>
      <c r="E1622" s="89">
        <f>SUM(H1622+K1622+N1622+Q1622)</f>
        <v>751</v>
      </c>
      <c r="F1622" s="468">
        <f t="shared" si="204"/>
        <v>0.093875</v>
      </c>
      <c r="G1622" s="155">
        <v>800000</v>
      </c>
      <c r="H1622" s="162">
        <f>751-1+1</f>
        <v>751</v>
      </c>
      <c r="I1622" s="442">
        <f t="shared" si="208"/>
        <v>0.093875</v>
      </c>
      <c r="J1622" s="162"/>
      <c r="K1622" s="155"/>
      <c r="L1622" s="274"/>
      <c r="M1622" s="155"/>
      <c r="N1622" s="155"/>
      <c r="O1622" s="274"/>
      <c r="P1622" s="155"/>
      <c r="Q1622" s="155"/>
      <c r="R1622" s="366"/>
    </row>
    <row r="1623" spans="1:18" s="118" customFormat="1" ht="12.75" customHeight="1">
      <c r="A1623" s="119">
        <v>90013</v>
      </c>
      <c r="B1623" s="185" t="s">
        <v>152</v>
      </c>
      <c r="C1623" s="121">
        <f>SUM(C1624:C1627)</f>
        <v>960000</v>
      </c>
      <c r="D1623" s="95">
        <f t="shared" si="210"/>
        <v>572000</v>
      </c>
      <c r="E1623" s="84">
        <f>H1623+K1623+Q1623+N1623</f>
        <v>299312</v>
      </c>
      <c r="F1623" s="467">
        <f t="shared" si="204"/>
        <v>52.32727272727272</v>
      </c>
      <c r="G1623" s="84">
        <f>SUM(G1624:G1627)</f>
        <v>572000</v>
      </c>
      <c r="H1623" s="84">
        <f>SUM(H1624:H1627)</f>
        <v>299312</v>
      </c>
      <c r="I1623" s="448">
        <f t="shared" si="208"/>
        <v>52.32727272727272</v>
      </c>
      <c r="J1623" s="123"/>
      <c r="K1623" s="84"/>
      <c r="L1623" s="271"/>
      <c r="M1623" s="84"/>
      <c r="N1623" s="84"/>
      <c r="O1623" s="316"/>
      <c r="P1623" s="84"/>
      <c r="Q1623" s="84"/>
      <c r="R1623" s="372"/>
    </row>
    <row r="1624" spans="1:18" s="12" customFormat="1" ht="24" hidden="1">
      <c r="A1624" s="172">
        <v>4210</v>
      </c>
      <c r="B1624" s="206" t="s">
        <v>502</v>
      </c>
      <c r="C1624" s="174"/>
      <c r="D1624" s="74">
        <f t="shared" si="210"/>
        <v>0</v>
      </c>
      <c r="E1624" s="89">
        <f>SUM(H1624+K1624+N1624+Q1624)</f>
        <v>0</v>
      </c>
      <c r="F1624" s="468" t="e">
        <f t="shared" si="204"/>
        <v>#DIV/0!</v>
      </c>
      <c r="G1624" s="74"/>
      <c r="H1624" s="175"/>
      <c r="I1624" s="442" t="e">
        <f t="shared" si="208"/>
        <v>#DIV/0!</v>
      </c>
      <c r="J1624" s="175"/>
      <c r="K1624" s="74"/>
      <c r="L1624" s="224"/>
      <c r="M1624" s="74"/>
      <c r="N1624" s="74"/>
      <c r="O1624" s="224"/>
      <c r="P1624" s="74"/>
      <c r="Q1624" s="74"/>
      <c r="R1624" s="362"/>
    </row>
    <row r="1625" spans="1:18" s="12" customFormat="1" ht="16.5" customHeight="1">
      <c r="A1625" s="172">
        <v>4270</v>
      </c>
      <c r="B1625" s="206" t="s">
        <v>508</v>
      </c>
      <c r="C1625" s="174"/>
      <c r="D1625" s="74">
        <f t="shared" si="210"/>
        <v>20000</v>
      </c>
      <c r="E1625" s="89">
        <f>SUM(H1625+K1625+N1625+Q1625)</f>
        <v>0</v>
      </c>
      <c r="F1625" s="468">
        <f t="shared" si="204"/>
        <v>0</v>
      </c>
      <c r="G1625" s="74">
        <v>20000</v>
      </c>
      <c r="H1625" s="175"/>
      <c r="I1625" s="442">
        <f t="shared" si="208"/>
        <v>0</v>
      </c>
      <c r="J1625" s="175"/>
      <c r="K1625" s="74"/>
      <c r="L1625" s="224"/>
      <c r="M1625" s="74"/>
      <c r="N1625" s="74"/>
      <c r="O1625" s="224"/>
      <c r="P1625" s="74"/>
      <c r="Q1625" s="74"/>
      <c r="R1625" s="362"/>
    </row>
    <row r="1626" spans="1:18" ht="36">
      <c r="A1626" s="124">
        <v>4300</v>
      </c>
      <c r="B1626" s="128" t="s">
        <v>153</v>
      </c>
      <c r="C1626" s="88">
        <v>460000</v>
      </c>
      <c r="D1626" s="74">
        <f t="shared" si="210"/>
        <v>460000</v>
      </c>
      <c r="E1626" s="89">
        <f>SUM(H1626+K1626+N1626+Q1626)</f>
        <v>299312</v>
      </c>
      <c r="F1626" s="468">
        <f t="shared" si="204"/>
        <v>65.06782608695653</v>
      </c>
      <c r="G1626" s="89">
        <v>460000</v>
      </c>
      <c r="H1626" s="126">
        <v>299312</v>
      </c>
      <c r="I1626" s="442">
        <f t="shared" si="208"/>
        <v>65.06782608695653</v>
      </c>
      <c r="J1626" s="126"/>
      <c r="K1626" s="89"/>
      <c r="L1626" s="224"/>
      <c r="M1626" s="89"/>
      <c r="N1626" s="89"/>
      <c r="O1626" s="224"/>
      <c r="P1626" s="89"/>
      <c r="Q1626" s="89"/>
      <c r="R1626" s="362"/>
    </row>
    <row r="1627" spans="1:18" ht="36">
      <c r="A1627" s="124">
        <v>6050</v>
      </c>
      <c r="B1627" s="128" t="s">
        <v>311</v>
      </c>
      <c r="C1627" s="88">
        <v>500000</v>
      </c>
      <c r="D1627" s="74">
        <f t="shared" si="210"/>
        <v>92000</v>
      </c>
      <c r="E1627" s="74">
        <f>H1627+K1627+Q1627+N1627</f>
        <v>0</v>
      </c>
      <c r="F1627" s="468">
        <f t="shared" si="204"/>
        <v>0</v>
      </c>
      <c r="G1627" s="88">
        <f>500000-20000-388000</f>
        <v>92000</v>
      </c>
      <c r="H1627" s="220"/>
      <c r="I1627" s="442">
        <f t="shared" si="208"/>
        <v>0</v>
      </c>
      <c r="J1627" s="126"/>
      <c r="K1627" s="89"/>
      <c r="L1627" s="224"/>
      <c r="M1627" s="126"/>
      <c r="N1627" s="155"/>
      <c r="O1627" s="224"/>
      <c r="P1627" s="126"/>
      <c r="Q1627" s="89"/>
      <c r="R1627" s="362"/>
    </row>
    <row r="1628" spans="1:18" s="118" customFormat="1" ht="27" customHeight="1">
      <c r="A1628" s="119">
        <v>90015</v>
      </c>
      <c r="B1628" s="185" t="s">
        <v>154</v>
      </c>
      <c r="C1628" s="121">
        <f>SUM(C1629:C1632)</f>
        <v>3680000</v>
      </c>
      <c r="D1628" s="95">
        <f t="shared" si="210"/>
        <v>3704600</v>
      </c>
      <c r="E1628" s="84">
        <f t="shared" si="210"/>
        <v>1910390</v>
      </c>
      <c r="F1628" s="467">
        <f t="shared" si="204"/>
        <v>51.56805053177131</v>
      </c>
      <c r="G1628" s="84">
        <f>SUM(G1629:G1632)</f>
        <v>2324600</v>
      </c>
      <c r="H1628" s="123">
        <f>SUM(H1629:H1632)</f>
        <v>1183537</v>
      </c>
      <c r="I1628" s="448">
        <f t="shared" si="208"/>
        <v>50.91357652929537</v>
      </c>
      <c r="J1628" s="123"/>
      <c r="K1628" s="84"/>
      <c r="L1628" s="316"/>
      <c r="M1628" s="84">
        <f>SUM(M1629:M1632)</f>
        <v>1380000</v>
      </c>
      <c r="N1628" s="192">
        <f>SUM(N1629:N1632)</f>
        <v>726853</v>
      </c>
      <c r="O1628" s="448">
        <f>N1628/M1628*100</f>
        <v>52.67050724637681</v>
      </c>
      <c r="P1628" s="84"/>
      <c r="Q1628" s="84"/>
      <c r="R1628" s="372"/>
    </row>
    <row r="1629" spans="1:18" ht="15" customHeight="1">
      <c r="A1629" s="108">
        <v>4260</v>
      </c>
      <c r="B1629" s="157" t="s">
        <v>506</v>
      </c>
      <c r="C1629" s="90">
        <v>1710000</v>
      </c>
      <c r="D1629" s="103">
        <f t="shared" si="210"/>
        <v>1710000</v>
      </c>
      <c r="E1629" s="104">
        <f aca="true" t="shared" si="212" ref="E1629:E1656">SUM(H1629+K1629+N1629+Q1629)</f>
        <v>1028462</v>
      </c>
      <c r="F1629" s="470">
        <f t="shared" si="204"/>
        <v>60.14397660818713</v>
      </c>
      <c r="G1629" s="104">
        <v>1000000</v>
      </c>
      <c r="H1629" s="200">
        <v>594248</v>
      </c>
      <c r="I1629" s="464">
        <f t="shared" si="208"/>
        <v>59.4248</v>
      </c>
      <c r="J1629" s="200"/>
      <c r="K1629" s="104"/>
      <c r="L1629" s="304"/>
      <c r="M1629" s="104">
        <v>710000</v>
      </c>
      <c r="N1629" s="104">
        <f>434213+1</f>
        <v>434214</v>
      </c>
      <c r="O1629" s="442">
        <f>N1629/M1629*100</f>
        <v>61.1569014084507</v>
      </c>
      <c r="P1629" s="104"/>
      <c r="Q1629" s="104"/>
      <c r="R1629" s="365"/>
    </row>
    <row r="1630" spans="1:18" ht="24">
      <c r="A1630" s="124">
        <v>4270</v>
      </c>
      <c r="B1630" s="128" t="s">
        <v>508</v>
      </c>
      <c r="C1630" s="88">
        <v>1230000</v>
      </c>
      <c r="D1630" s="74">
        <f t="shared" si="210"/>
        <v>1230000</v>
      </c>
      <c r="E1630" s="89">
        <f t="shared" si="212"/>
        <v>839854</v>
      </c>
      <c r="F1630" s="468">
        <f t="shared" si="204"/>
        <v>68.28081300813008</v>
      </c>
      <c r="G1630" s="89">
        <v>760000</v>
      </c>
      <c r="H1630" s="126">
        <v>547215</v>
      </c>
      <c r="I1630" s="442">
        <f t="shared" si="208"/>
        <v>72.00197368421053</v>
      </c>
      <c r="J1630" s="126"/>
      <c r="K1630" s="89"/>
      <c r="L1630" s="224"/>
      <c r="M1630" s="89">
        <v>470000</v>
      </c>
      <c r="N1630" s="89">
        <v>292639</v>
      </c>
      <c r="O1630" s="442">
        <f>N1630/M1630*100</f>
        <v>62.263617021276595</v>
      </c>
      <c r="P1630" s="89"/>
      <c r="Q1630" s="89"/>
      <c r="R1630" s="362"/>
    </row>
    <row r="1631" spans="1:18" ht="24" hidden="1">
      <c r="A1631" s="124">
        <v>4270</v>
      </c>
      <c r="B1631" s="128" t="s">
        <v>233</v>
      </c>
      <c r="C1631" s="88">
        <f>23600-23600</f>
        <v>0</v>
      </c>
      <c r="D1631" s="74">
        <f t="shared" si="210"/>
        <v>0</v>
      </c>
      <c r="E1631" s="89">
        <f t="shared" si="212"/>
        <v>0</v>
      </c>
      <c r="F1631" s="468" t="e">
        <f t="shared" si="204"/>
        <v>#DIV/0!</v>
      </c>
      <c r="G1631" s="89"/>
      <c r="H1631" s="126"/>
      <c r="I1631" s="442" t="e">
        <f t="shared" si="208"/>
        <v>#DIV/0!</v>
      </c>
      <c r="J1631" s="126"/>
      <c r="K1631" s="89"/>
      <c r="L1631" s="224"/>
      <c r="M1631" s="89"/>
      <c r="N1631" s="89"/>
      <c r="O1631" s="442" t="e">
        <f>N1631/M1631*100</f>
        <v>#DIV/0!</v>
      </c>
      <c r="P1631" s="89"/>
      <c r="Q1631" s="89"/>
      <c r="R1631" s="362"/>
    </row>
    <row r="1632" spans="1:18" ht="24">
      <c r="A1632" s="158">
        <v>6050</v>
      </c>
      <c r="B1632" s="159" t="s">
        <v>537</v>
      </c>
      <c r="C1632" s="160">
        <v>740000</v>
      </c>
      <c r="D1632" s="161">
        <f t="shared" si="210"/>
        <v>764600</v>
      </c>
      <c r="E1632" s="155">
        <f t="shared" si="212"/>
        <v>42074</v>
      </c>
      <c r="F1632" s="469">
        <f t="shared" si="204"/>
        <v>5.502746534135496</v>
      </c>
      <c r="G1632" s="155">
        <f>540000+24600</f>
        <v>564600</v>
      </c>
      <c r="H1632" s="162">
        <v>42074</v>
      </c>
      <c r="I1632" s="442">
        <f t="shared" si="208"/>
        <v>7.452001416932341</v>
      </c>
      <c r="J1632" s="162"/>
      <c r="K1632" s="155"/>
      <c r="L1632" s="274"/>
      <c r="M1632" s="155">
        <v>200000</v>
      </c>
      <c r="N1632" s="155"/>
      <c r="O1632" s="442">
        <f>N1632/M1632*100</f>
        <v>0</v>
      </c>
      <c r="P1632" s="155"/>
      <c r="Q1632" s="155"/>
      <c r="R1632" s="366"/>
    </row>
    <row r="1633" spans="1:18" ht="24" customHeight="1">
      <c r="A1633" s="119">
        <v>90095</v>
      </c>
      <c r="B1633" s="185" t="s">
        <v>529</v>
      </c>
      <c r="C1633" s="281">
        <f>SUM(C1634:C1644)</f>
        <v>3413100</v>
      </c>
      <c r="D1633" s="95">
        <f t="shared" si="210"/>
        <v>4419196</v>
      </c>
      <c r="E1633" s="95">
        <f t="shared" si="212"/>
        <v>541294</v>
      </c>
      <c r="F1633" s="467">
        <f t="shared" si="204"/>
        <v>12.248698632058863</v>
      </c>
      <c r="G1633" s="84">
        <f>SUM(G1634:G1642)+G1644</f>
        <v>4419196</v>
      </c>
      <c r="H1633" s="84">
        <f>SUM(H1634:H1642)+H1644</f>
        <v>541294</v>
      </c>
      <c r="I1633" s="448">
        <f t="shared" si="208"/>
        <v>12.248698632058863</v>
      </c>
      <c r="J1633" s="311"/>
      <c r="K1633" s="84"/>
      <c r="L1633" s="316"/>
      <c r="M1633" s="84"/>
      <c r="N1633" s="84"/>
      <c r="O1633" s="316"/>
      <c r="P1633" s="84"/>
      <c r="Q1633" s="84"/>
      <c r="R1633" s="381"/>
    </row>
    <row r="1634" spans="1:18" ht="24">
      <c r="A1634" s="124">
        <v>4210</v>
      </c>
      <c r="B1634" s="128" t="s">
        <v>502</v>
      </c>
      <c r="C1634" s="317">
        <f>80000+60000-140000</f>
        <v>0</v>
      </c>
      <c r="D1634" s="74">
        <f t="shared" si="210"/>
        <v>5000</v>
      </c>
      <c r="E1634" s="89">
        <f t="shared" si="212"/>
        <v>117</v>
      </c>
      <c r="F1634" s="468">
        <f t="shared" si="204"/>
        <v>2.34</v>
      </c>
      <c r="G1634" s="317">
        <v>5000</v>
      </c>
      <c r="H1634" s="126">
        <v>117</v>
      </c>
      <c r="I1634" s="442">
        <f>H1634/G1634*100</f>
        <v>2.34</v>
      </c>
      <c r="J1634" s="126"/>
      <c r="K1634" s="89"/>
      <c r="L1634" s="224"/>
      <c r="M1634" s="89"/>
      <c r="N1634" s="89"/>
      <c r="O1634" s="224"/>
      <c r="P1634" s="89"/>
      <c r="Q1634" s="89"/>
      <c r="R1634" s="362"/>
    </row>
    <row r="1635" spans="1:18" ht="36">
      <c r="A1635" s="124">
        <v>4270</v>
      </c>
      <c r="B1635" s="128" t="s">
        <v>431</v>
      </c>
      <c r="C1635" s="317">
        <f>100000+110000+421900</f>
        <v>631900</v>
      </c>
      <c r="D1635" s="74">
        <f t="shared" si="210"/>
        <v>569000</v>
      </c>
      <c r="E1635" s="89">
        <f t="shared" si="212"/>
        <v>9543</v>
      </c>
      <c r="F1635" s="468">
        <f t="shared" si="204"/>
        <v>1.677152899824253</v>
      </c>
      <c r="G1635" s="317">
        <f>631900+111400+21700-80000-116000</f>
        <v>569000</v>
      </c>
      <c r="H1635" s="126">
        <v>9543</v>
      </c>
      <c r="I1635" s="442">
        <f>H1635/G1635*100</f>
        <v>1.677152899824253</v>
      </c>
      <c r="J1635" s="126"/>
      <c r="K1635" s="89"/>
      <c r="L1635" s="224"/>
      <c r="M1635" s="89"/>
      <c r="N1635" s="89"/>
      <c r="O1635" s="224"/>
      <c r="P1635" s="89"/>
      <c r="Q1635" s="89"/>
      <c r="R1635" s="362"/>
    </row>
    <row r="1636" spans="1:18" ht="24">
      <c r="A1636" s="124">
        <v>4300</v>
      </c>
      <c r="B1636" s="128" t="s">
        <v>510</v>
      </c>
      <c r="C1636" s="318">
        <v>201200</v>
      </c>
      <c r="D1636" s="74">
        <f t="shared" si="210"/>
        <v>196200</v>
      </c>
      <c r="E1636" s="89">
        <f t="shared" si="212"/>
        <v>114701</v>
      </c>
      <c r="F1636" s="468">
        <f t="shared" si="204"/>
        <v>58.46126401630989</v>
      </c>
      <c r="G1636" s="318">
        <f>201200-5000</f>
        <v>196200</v>
      </c>
      <c r="H1636" s="175">
        <v>114701</v>
      </c>
      <c r="I1636" s="442">
        <f t="shared" si="208"/>
        <v>58.46126401630989</v>
      </c>
      <c r="J1636" s="126"/>
      <c r="K1636" s="89"/>
      <c r="L1636" s="224"/>
      <c r="M1636" s="89"/>
      <c r="N1636" s="89"/>
      <c r="O1636" s="224"/>
      <c r="P1636" s="89"/>
      <c r="Q1636" s="89"/>
      <c r="R1636" s="362"/>
    </row>
    <row r="1637" spans="1:18" ht="12.75" hidden="1">
      <c r="A1637" s="124">
        <v>4430</v>
      </c>
      <c r="B1637" s="128" t="s">
        <v>512</v>
      </c>
      <c r="C1637" s="318"/>
      <c r="D1637" s="74">
        <f>G1637+J1637+P1637+M1637</f>
        <v>0</v>
      </c>
      <c r="E1637" s="89">
        <f>SUM(H1637+K1637+N1637+Q1637)</f>
        <v>0</v>
      </c>
      <c r="F1637" s="468" t="e">
        <f>E1637/D1637*100</f>
        <v>#DIV/0!</v>
      </c>
      <c r="G1637" s="318">
        <f>-655+655</f>
        <v>0</v>
      </c>
      <c r="H1637" s="175"/>
      <c r="I1637" s="442" t="e">
        <f t="shared" si="208"/>
        <v>#DIV/0!</v>
      </c>
      <c r="J1637" s="126"/>
      <c r="K1637" s="89"/>
      <c r="L1637" s="224"/>
      <c r="M1637" s="89"/>
      <c r="N1637" s="89"/>
      <c r="O1637" s="224"/>
      <c r="P1637" s="89"/>
      <c r="Q1637" s="89"/>
      <c r="R1637" s="362"/>
    </row>
    <row r="1638" spans="1:18" s="12" customFormat="1" ht="12.75" hidden="1">
      <c r="A1638" s="172">
        <v>4580</v>
      </c>
      <c r="B1638" s="206" t="s">
        <v>549</v>
      </c>
      <c r="C1638" s="317"/>
      <c r="D1638" s="74">
        <f>G1638+J1638+P1638+M1638</f>
        <v>0</v>
      </c>
      <c r="E1638" s="89">
        <f t="shared" si="212"/>
        <v>0</v>
      </c>
      <c r="F1638" s="468" t="e">
        <f t="shared" si="204"/>
        <v>#DIV/0!</v>
      </c>
      <c r="G1638" s="317"/>
      <c r="H1638" s="175"/>
      <c r="I1638" s="442" t="e">
        <f t="shared" si="208"/>
        <v>#DIV/0!</v>
      </c>
      <c r="J1638" s="175"/>
      <c r="K1638" s="74"/>
      <c r="L1638" s="224"/>
      <c r="M1638" s="74"/>
      <c r="N1638" s="74"/>
      <c r="O1638" s="401"/>
      <c r="P1638" s="74"/>
      <c r="Q1638" s="74"/>
      <c r="R1638" s="362"/>
    </row>
    <row r="1639" spans="1:18" s="12" customFormat="1" ht="36" hidden="1">
      <c r="A1639" s="172">
        <v>4590</v>
      </c>
      <c r="B1639" s="206" t="s">
        <v>550</v>
      </c>
      <c r="C1639" s="317"/>
      <c r="D1639" s="74">
        <f>G1639+J1639+P1639+M1639</f>
        <v>0</v>
      </c>
      <c r="E1639" s="89">
        <f>SUM(H1639+K1639+N1639+Q1639)</f>
        <v>0</v>
      </c>
      <c r="F1639" s="468" t="e">
        <f>E1639/D1639*100</f>
        <v>#DIV/0!</v>
      </c>
      <c r="G1639" s="317"/>
      <c r="H1639" s="175"/>
      <c r="I1639" s="442" t="e">
        <f t="shared" si="208"/>
        <v>#DIV/0!</v>
      </c>
      <c r="J1639" s="175"/>
      <c r="K1639" s="74"/>
      <c r="L1639" s="224"/>
      <c r="M1639" s="74"/>
      <c r="N1639" s="74"/>
      <c r="O1639" s="401"/>
      <c r="P1639" s="74"/>
      <c r="Q1639" s="74"/>
      <c r="R1639" s="362"/>
    </row>
    <row r="1640" spans="1:18" s="12" customFormat="1" ht="36" hidden="1">
      <c r="A1640" s="172">
        <v>4610</v>
      </c>
      <c r="B1640" s="206" t="s">
        <v>573</v>
      </c>
      <c r="C1640" s="317"/>
      <c r="D1640" s="74">
        <f>G1640+J1640+P1640+M1640</f>
        <v>0</v>
      </c>
      <c r="E1640" s="89">
        <f>SUM(H1640+K1640+N1640+Q1640)</f>
        <v>0</v>
      </c>
      <c r="F1640" s="468" t="e">
        <f>E1640/D1640*100</f>
        <v>#DIV/0!</v>
      </c>
      <c r="G1640" s="317"/>
      <c r="H1640" s="175"/>
      <c r="I1640" s="442" t="e">
        <f t="shared" si="208"/>
        <v>#DIV/0!</v>
      </c>
      <c r="J1640" s="175"/>
      <c r="K1640" s="74"/>
      <c r="L1640" s="224"/>
      <c r="M1640" s="74"/>
      <c r="N1640" s="74"/>
      <c r="O1640" s="401"/>
      <c r="P1640" s="74"/>
      <c r="Q1640" s="74"/>
      <c r="R1640" s="362"/>
    </row>
    <row r="1641" spans="1:18" ht="24">
      <c r="A1641" s="272">
        <v>6050</v>
      </c>
      <c r="B1641" s="128" t="s">
        <v>537</v>
      </c>
      <c r="C1641" s="317">
        <v>2450000</v>
      </c>
      <c r="D1641" s="74">
        <f>G1641+J1641+P1641+M1641</f>
        <v>3518996</v>
      </c>
      <c r="E1641" s="89">
        <f t="shared" si="212"/>
        <v>416933</v>
      </c>
      <c r="F1641" s="468">
        <f t="shared" si="204"/>
        <v>11.84806689180664</v>
      </c>
      <c r="G1641" s="317">
        <f>2450000+100000+93000+38000+91411-30000+180000-51411+10000-78000+715996</f>
        <v>3518996</v>
      </c>
      <c r="H1641" s="268">
        <v>416933</v>
      </c>
      <c r="I1641" s="442">
        <f t="shared" si="208"/>
        <v>11.84806689180664</v>
      </c>
      <c r="J1641" s="211"/>
      <c r="K1641" s="210"/>
      <c r="L1641" s="224"/>
      <c r="M1641" s="89"/>
      <c r="N1641" s="89"/>
      <c r="O1641" s="224"/>
      <c r="P1641" s="89"/>
      <c r="Q1641" s="89"/>
      <c r="R1641" s="362"/>
    </row>
    <row r="1642" spans="1:18" s="212" customFormat="1" ht="96" hidden="1">
      <c r="A1642" s="124">
        <v>6230</v>
      </c>
      <c r="B1642" s="128" t="s">
        <v>156</v>
      </c>
      <c r="C1642" s="317"/>
      <c r="D1642" s="74">
        <f aca="true" t="shared" si="213" ref="D1642:D1656">G1642+J1642+P1642+M1642</f>
        <v>0</v>
      </c>
      <c r="E1642" s="89">
        <f t="shared" si="212"/>
        <v>0</v>
      </c>
      <c r="F1642" s="468" t="e">
        <f t="shared" si="204"/>
        <v>#DIV/0!</v>
      </c>
      <c r="G1642" s="317"/>
      <c r="H1642" s="319"/>
      <c r="I1642" s="442" t="e">
        <f t="shared" si="208"/>
        <v>#DIV/0!</v>
      </c>
      <c r="J1642" s="211"/>
      <c r="K1642" s="210"/>
      <c r="L1642" s="224"/>
      <c r="M1642" s="210"/>
      <c r="N1642" s="210"/>
      <c r="O1642" s="224"/>
      <c r="P1642" s="210"/>
      <c r="Q1642" s="210"/>
      <c r="R1642" s="369"/>
    </row>
    <row r="1643" spans="1:18" ht="60" hidden="1">
      <c r="A1643" s="124">
        <v>6010</v>
      </c>
      <c r="B1643" s="128" t="s">
        <v>157</v>
      </c>
      <c r="C1643" s="88">
        <v>0</v>
      </c>
      <c r="D1643" s="74">
        <f t="shared" si="213"/>
        <v>0</v>
      </c>
      <c r="E1643" s="89">
        <f t="shared" si="212"/>
        <v>0</v>
      </c>
      <c r="F1643" s="468" t="e">
        <f t="shared" si="204"/>
        <v>#DIV/0!</v>
      </c>
      <c r="G1643" s="89">
        <v>0</v>
      </c>
      <c r="H1643" s="126">
        <v>0</v>
      </c>
      <c r="I1643" s="442" t="e">
        <f t="shared" si="208"/>
        <v>#DIV/0!</v>
      </c>
      <c r="J1643" s="126"/>
      <c r="K1643" s="89"/>
      <c r="L1643" s="224"/>
      <c r="M1643" s="89"/>
      <c r="N1643" s="89"/>
      <c r="O1643" s="224"/>
      <c r="P1643" s="89"/>
      <c r="Q1643" s="89"/>
      <c r="R1643" s="362"/>
    </row>
    <row r="1644" spans="1:18" s="143" customFormat="1" ht="12.75">
      <c r="A1644" s="135"/>
      <c r="B1644" s="136" t="s">
        <v>227</v>
      </c>
      <c r="C1644" s="137">
        <f>SUM(C1645:C1656)</f>
        <v>130000</v>
      </c>
      <c r="D1644" s="139">
        <f t="shared" si="213"/>
        <v>130000</v>
      </c>
      <c r="E1644" s="139">
        <f t="shared" si="212"/>
        <v>0</v>
      </c>
      <c r="F1644" s="477">
        <f>E1644/D1644*100</f>
        <v>0</v>
      </c>
      <c r="G1644" s="140">
        <f>SUM(G1645:G1656)</f>
        <v>130000</v>
      </c>
      <c r="H1644" s="140">
        <f>SUM(H1645:H1656)</f>
        <v>0</v>
      </c>
      <c r="I1644" s="442">
        <f t="shared" si="208"/>
        <v>0</v>
      </c>
      <c r="J1644" s="140"/>
      <c r="K1644" s="139"/>
      <c r="L1644" s="348"/>
      <c r="M1644" s="140"/>
      <c r="N1644" s="140"/>
      <c r="O1644" s="384"/>
      <c r="P1644" s="140"/>
      <c r="Q1644" s="139"/>
      <c r="R1644" s="364"/>
    </row>
    <row r="1645" spans="1:18" ht="24">
      <c r="A1645" s="124">
        <v>4178</v>
      </c>
      <c r="B1645" s="128" t="s">
        <v>312</v>
      </c>
      <c r="C1645" s="88">
        <v>10000</v>
      </c>
      <c r="D1645" s="74">
        <f t="shared" si="213"/>
        <v>10000</v>
      </c>
      <c r="E1645" s="89">
        <f t="shared" si="212"/>
        <v>0</v>
      </c>
      <c r="F1645" s="468">
        <f>E1645/D1645*100</f>
        <v>0</v>
      </c>
      <c r="G1645" s="126">
        <v>10000</v>
      </c>
      <c r="H1645" s="126"/>
      <c r="I1645" s="442">
        <f t="shared" si="208"/>
        <v>0</v>
      </c>
      <c r="J1645" s="126"/>
      <c r="K1645" s="89"/>
      <c r="L1645" s="224"/>
      <c r="M1645" s="126"/>
      <c r="N1645" s="126"/>
      <c r="O1645" s="280"/>
      <c r="P1645" s="126"/>
      <c r="Q1645" s="89"/>
      <c r="R1645" s="362"/>
    </row>
    <row r="1646" spans="1:18" ht="24">
      <c r="A1646" s="124">
        <v>4210</v>
      </c>
      <c r="B1646" s="128" t="s">
        <v>502</v>
      </c>
      <c r="C1646" s="88">
        <v>100</v>
      </c>
      <c r="D1646" s="74">
        <f>G1646+J1646+P1646+M1646</f>
        <v>100</v>
      </c>
      <c r="E1646" s="89">
        <f>SUM(H1646+K1646+N1646+Q1646)</f>
        <v>0</v>
      </c>
      <c r="F1646" s="468">
        <f>E1646/D1646*100</f>
        <v>0</v>
      </c>
      <c r="G1646" s="126">
        <v>100</v>
      </c>
      <c r="H1646" s="126"/>
      <c r="I1646" s="442">
        <f t="shared" si="208"/>
        <v>0</v>
      </c>
      <c r="J1646" s="126"/>
      <c r="K1646" s="89"/>
      <c r="L1646" s="224"/>
      <c r="M1646" s="126"/>
      <c r="N1646" s="126"/>
      <c r="O1646" s="280"/>
      <c r="P1646" s="126"/>
      <c r="Q1646" s="89"/>
      <c r="R1646" s="362"/>
    </row>
    <row r="1647" spans="1:18" ht="24">
      <c r="A1647" s="124">
        <v>4218</v>
      </c>
      <c r="B1647" s="128" t="s">
        <v>502</v>
      </c>
      <c r="C1647" s="88">
        <v>3000</v>
      </c>
      <c r="D1647" s="74">
        <f t="shared" si="213"/>
        <v>3000</v>
      </c>
      <c r="E1647" s="89">
        <f t="shared" si="212"/>
        <v>0</v>
      </c>
      <c r="F1647" s="468">
        <f aca="true" t="shared" si="214" ref="F1647:F1704">E1647/D1647*100</f>
        <v>0</v>
      </c>
      <c r="G1647" s="126">
        <v>3000</v>
      </c>
      <c r="H1647" s="126"/>
      <c r="I1647" s="442">
        <f t="shared" si="208"/>
        <v>0</v>
      </c>
      <c r="J1647" s="126"/>
      <c r="K1647" s="89"/>
      <c r="L1647" s="224"/>
      <c r="M1647" s="126"/>
      <c r="N1647" s="126"/>
      <c r="O1647" s="280"/>
      <c r="P1647" s="126"/>
      <c r="Q1647" s="89"/>
      <c r="R1647" s="362"/>
    </row>
    <row r="1648" spans="1:18" ht="24">
      <c r="A1648" s="124">
        <v>4219</v>
      </c>
      <c r="B1648" s="128" t="s">
        <v>502</v>
      </c>
      <c r="C1648" s="88">
        <v>700</v>
      </c>
      <c r="D1648" s="74">
        <f t="shared" si="213"/>
        <v>700</v>
      </c>
      <c r="E1648" s="89">
        <f t="shared" si="212"/>
        <v>0</v>
      </c>
      <c r="F1648" s="468">
        <f t="shared" si="214"/>
        <v>0</v>
      </c>
      <c r="G1648" s="126">
        <v>700</v>
      </c>
      <c r="H1648" s="126"/>
      <c r="I1648" s="442">
        <f t="shared" si="208"/>
        <v>0</v>
      </c>
      <c r="J1648" s="126"/>
      <c r="K1648" s="89"/>
      <c r="L1648" s="224"/>
      <c r="M1648" s="126"/>
      <c r="N1648" s="126"/>
      <c r="O1648" s="280"/>
      <c r="P1648" s="126"/>
      <c r="Q1648" s="89"/>
      <c r="R1648" s="362"/>
    </row>
    <row r="1649" spans="1:18" ht="24" hidden="1">
      <c r="A1649" s="124">
        <v>4300</v>
      </c>
      <c r="B1649" s="128" t="s">
        <v>527</v>
      </c>
      <c r="C1649" s="88"/>
      <c r="D1649" s="74">
        <f t="shared" si="213"/>
        <v>0</v>
      </c>
      <c r="E1649" s="89">
        <f>SUM(H1649+K1649+N1649+Q1649)</f>
        <v>0</v>
      </c>
      <c r="F1649" s="468" t="e">
        <f>E1649/D1649*100</f>
        <v>#DIV/0!</v>
      </c>
      <c r="G1649" s="126"/>
      <c r="H1649" s="126"/>
      <c r="I1649" s="442" t="e">
        <f t="shared" si="208"/>
        <v>#DIV/0!</v>
      </c>
      <c r="J1649" s="126"/>
      <c r="K1649" s="89"/>
      <c r="L1649" s="224"/>
      <c r="M1649" s="126"/>
      <c r="N1649" s="126"/>
      <c r="O1649" s="280"/>
      <c r="P1649" s="126"/>
      <c r="Q1649" s="89"/>
      <c r="R1649" s="362"/>
    </row>
    <row r="1650" spans="1:18" ht="24">
      <c r="A1650" s="124">
        <v>4308</v>
      </c>
      <c r="B1650" s="128" t="s">
        <v>527</v>
      </c>
      <c r="C1650" s="88">
        <v>10000</v>
      </c>
      <c r="D1650" s="74">
        <f t="shared" si="213"/>
        <v>10000</v>
      </c>
      <c r="E1650" s="89">
        <f t="shared" si="212"/>
        <v>0</v>
      </c>
      <c r="F1650" s="468">
        <f t="shared" si="214"/>
        <v>0</v>
      </c>
      <c r="G1650" s="126">
        <v>10000</v>
      </c>
      <c r="H1650" s="126"/>
      <c r="I1650" s="442">
        <f t="shared" si="208"/>
        <v>0</v>
      </c>
      <c r="J1650" s="126"/>
      <c r="K1650" s="89"/>
      <c r="L1650" s="224"/>
      <c r="M1650" s="126"/>
      <c r="N1650" s="126"/>
      <c r="O1650" s="280"/>
      <c r="P1650" s="126"/>
      <c r="Q1650" s="89"/>
      <c r="R1650" s="362"/>
    </row>
    <row r="1651" spans="1:18" ht="24">
      <c r="A1651" s="158">
        <v>4309</v>
      </c>
      <c r="B1651" s="159" t="s">
        <v>527</v>
      </c>
      <c r="C1651" s="160">
        <v>2200</v>
      </c>
      <c r="D1651" s="161">
        <f t="shared" si="213"/>
        <v>2200</v>
      </c>
      <c r="E1651" s="155">
        <f t="shared" si="212"/>
        <v>0</v>
      </c>
      <c r="F1651" s="469">
        <f t="shared" si="214"/>
        <v>0</v>
      </c>
      <c r="G1651" s="162">
        <v>2200</v>
      </c>
      <c r="H1651" s="162"/>
      <c r="I1651" s="462">
        <f t="shared" si="208"/>
        <v>0</v>
      </c>
      <c r="J1651" s="162"/>
      <c r="K1651" s="155"/>
      <c r="L1651" s="274"/>
      <c r="M1651" s="162"/>
      <c r="N1651" s="162"/>
      <c r="O1651" s="323"/>
      <c r="P1651" s="162"/>
      <c r="Q1651" s="155"/>
      <c r="R1651" s="366"/>
    </row>
    <row r="1652" spans="1:18" ht="36">
      <c r="A1652" s="124">
        <v>4388</v>
      </c>
      <c r="B1652" s="128" t="s">
        <v>299</v>
      </c>
      <c r="C1652" s="88">
        <v>2800</v>
      </c>
      <c r="D1652" s="74">
        <f t="shared" si="213"/>
        <v>2800</v>
      </c>
      <c r="E1652" s="89">
        <f t="shared" si="212"/>
        <v>0</v>
      </c>
      <c r="F1652" s="468">
        <f t="shared" si="214"/>
        <v>0</v>
      </c>
      <c r="G1652" s="126">
        <v>2800</v>
      </c>
      <c r="H1652" s="126"/>
      <c r="I1652" s="442">
        <f t="shared" si="208"/>
        <v>0</v>
      </c>
      <c r="J1652" s="126"/>
      <c r="K1652" s="89"/>
      <c r="L1652" s="224"/>
      <c r="M1652" s="126"/>
      <c r="N1652" s="126"/>
      <c r="O1652" s="280"/>
      <c r="P1652" s="126"/>
      <c r="Q1652" s="89"/>
      <c r="R1652" s="362"/>
    </row>
    <row r="1653" spans="1:18" ht="36">
      <c r="A1653" s="124">
        <v>4398</v>
      </c>
      <c r="B1653" s="206" t="s">
        <v>268</v>
      </c>
      <c r="C1653" s="88">
        <v>90000</v>
      </c>
      <c r="D1653" s="74">
        <f t="shared" si="213"/>
        <v>90000</v>
      </c>
      <c r="E1653" s="89">
        <f t="shared" si="212"/>
        <v>0</v>
      </c>
      <c r="F1653" s="468">
        <f t="shared" si="214"/>
        <v>0</v>
      </c>
      <c r="G1653" s="126">
        <v>90000</v>
      </c>
      <c r="H1653" s="126"/>
      <c r="I1653" s="442">
        <f t="shared" si="208"/>
        <v>0</v>
      </c>
      <c r="J1653" s="126"/>
      <c r="K1653" s="89"/>
      <c r="L1653" s="224"/>
      <c r="M1653" s="126"/>
      <c r="N1653" s="126"/>
      <c r="O1653" s="280"/>
      <c r="P1653" s="126"/>
      <c r="Q1653" s="89"/>
      <c r="R1653" s="362"/>
    </row>
    <row r="1654" spans="1:18" ht="36">
      <c r="A1654" s="124">
        <v>4399</v>
      </c>
      <c r="B1654" s="206" t="s">
        <v>268</v>
      </c>
      <c r="C1654" s="88">
        <v>800</v>
      </c>
      <c r="D1654" s="74">
        <f t="shared" si="213"/>
        <v>800</v>
      </c>
      <c r="E1654" s="89">
        <f t="shared" si="212"/>
        <v>0</v>
      </c>
      <c r="F1654" s="468">
        <f t="shared" si="214"/>
        <v>0</v>
      </c>
      <c r="G1654" s="126">
        <v>800</v>
      </c>
      <c r="H1654" s="126"/>
      <c r="I1654" s="442">
        <f t="shared" si="208"/>
        <v>0</v>
      </c>
      <c r="J1654" s="126"/>
      <c r="K1654" s="89"/>
      <c r="L1654" s="224"/>
      <c r="M1654" s="126"/>
      <c r="N1654" s="126"/>
      <c r="O1654" s="280"/>
      <c r="P1654" s="126"/>
      <c r="Q1654" s="89"/>
      <c r="R1654" s="362"/>
    </row>
    <row r="1655" spans="1:18" ht="24">
      <c r="A1655" s="124">
        <v>4420</v>
      </c>
      <c r="B1655" s="128" t="s">
        <v>556</v>
      </c>
      <c r="C1655" s="88">
        <v>400</v>
      </c>
      <c r="D1655" s="74">
        <f t="shared" si="213"/>
        <v>400</v>
      </c>
      <c r="E1655" s="89">
        <f t="shared" si="212"/>
        <v>0</v>
      </c>
      <c r="F1655" s="468">
        <f t="shared" si="214"/>
        <v>0</v>
      </c>
      <c r="G1655" s="126">
        <v>400</v>
      </c>
      <c r="H1655" s="126"/>
      <c r="I1655" s="442">
        <f t="shared" si="208"/>
        <v>0</v>
      </c>
      <c r="J1655" s="126"/>
      <c r="K1655" s="89"/>
      <c r="L1655" s="224"/>
      <c r="M1655" s="126"/>
      <c r="N1655" s="126"/>
      <c r="O1655" s="280"/>
      <c r="P1655" s="126"/>
      <c r="Q1655" s="89"/>
      <c r="R1655" s="362"/>
    </row>
    <row r="1656" spans="1:18" ht="24.75" thickBot="1">
      <c r="A1656" s="124">
        <v>4428</v>
      </c>
      <c r="B1656" s="128" t="s">
        <v>556</v>
      </c>
      <c r="C1656" s="88">
        <v>10000</v>
      </c>
      <c r="D1656" s="74">
        <f t="shared" si="213"/>
        <v>10000</v>
      </c>
      <c r="E1656" s="89">
        <f t="shared" si="212"/>
        <v>0</v>
      </c>
      <c r="F1656" s="468">
        <f t="shared" si="214"/>
        <v>0</v>
      </c>
      <c r="G1656" s="126">
        <v>10000</v>
      </c>
      <c r="H1656" s="126"/>
      <c r="I1656" s="442">
        <f t="shared" si="208"/>
        <v>0</v>
      </c>
      <c r="J1656" s="126"/>
      <c r="K1656" s="89"/>
      <c r="L1656" s="224"/>
      <c r="M1656" s="126"/>
      <c r="N1656" s="126"/>
      <c r="O1656" s="280"/>
      <c r="P1656" s="126"/>
      <c r="Q1656" s="89"/>
      <c r="R1656" s="362"/>
    </row>
    <row r="1657" spans="1:18" s="118" customFormat="1" ht="46.5" customHeight="1" thickBot="1" thickTop="1">
      <c r="A1657" s="131">
        <v>921</v>
      </c>
      <c r="B1657" s="132" t="s">
        <v>158</v>
      </c>
      <c r="C1657" s="116">
        <f>C1703+C1660+C1682+C1695+C1735+C1749+C1767+C1774+C1658</f>
        <v>20925900</v>
      </c>
      <c r="D1657" s="107">
        <f>D1703+D1660+D1682+D1695+D1735+D1749+D1767+D1774+D1658</f>
        <v>22152250</v>
      </c>
      <c r="E1657" s="107">
        <f>E1703+E1660+E1682+E1695+E1735+E1749+E1767+E1774+E1658</f>
        <v>13545981</v>
      </c>
      <c r="F1657" s="463">
        <f t="shared" si="214"/>
        <v>61.14945885858095</v>
      </c>
      <c r="G1657" s="116">
        <f>G1703+G1660+G1682+G1695+G1735+G1749+G1767+G1774+G1658</f>
        <v>5120700</v>
      </c>
      <c r="H1657" s="107">
        <f>H1703+H1660+H1682+H1695+H1735+H1749+H1767+H1774+H1658</f>
        <v>2718670</v>
      </c>
      <c r="I1657" s="463">
        <f>H1657/G1657*100</f>
        <v>53.09176479778155</v>
      </c>
      <c r="J1657" s="116">
        <f>J1695</f>
        <v>2100</v>
      </c>
      <c r="K1657" s="107">
        <f>K1695</f>
        <v>0</v>
      </c>
      <c r="L1657" s="542">
        <f>K1657/J1657*100</f>
        <v>0</v>
      </c>
      <c r="M1657" s="116">
        <f>M1703+M1660+M1682+M1695+M1735+M1749+M1767+M1774</f>
        <v>17029450</v>
      </c>
      <c r="N1657" s="117">
        <f>N1703+N1660+N1682+N1695+N1735+N1749+N1767+N1774</f>
        <v>10827311</v>
      </c>
      <c r="O1657" s="416">
        <f>N1657/M1657*100</f>
        <v>63.57992184128084</v>
      </c>
      <c r="P1657" s="116"/>
      <c r="Q1657" s="107"/>
      <c r="R1657" s="390"/>
    </row>
    <row r="1658" spans="1:18" s="118" customFormat="1" ht="24.75" hidden="1" thickTop="1">
      <c r="A1658" s="213">
        <v>92103</v>
      </c>
      <c r="B1658" s="214" t="s">
        <v>159</v>
      </c>
      <c r="C1658" s="257"/>
      <c r="D1658" s="67">
        <f aca="true" t="shared" si="215" ref="D1658:E1673">G1658+J1658+P1658+M1658</f>
        <v>0</v>
      </c>
      <c r="E1658" s="186">
        <f t="shared" si="215"/>
        <v>0</v>
      </c>
      <c r="F1658" s="518" t="e">
        <f t="shared" si="214"/>
        <v>#DIV/0!</v>
      </c>
      <c r="G1658" s="257">
        <f>G1659</f>
        <v>0</v>
      </c>
      <c r="H1658" s="320">
        <f>H1659</f>
        <v>0</v>
      </c>
      <c r="I1658" s="497" t="e">
        <f>H1658/G1658*100</f>
        <v>#DIV/0!</v>
      </c>
      <c r="J1658" s="269"/>
      <c r="K1658" s="186"/>
      <c r="L1658" s="420"/>
      <c r="M1658" s="269"/>
      <c r="N1658" s="186"/>
      <c r="O1658" s="382"/>
      <c r="P1658" s="269"/>
      <c r="Q1658" s="186"/>
      <c r="R1658" s="380"/>
    </row>
    <row r="1659" spans="1:18" s="12" customFormat="1" ht="36.75" hidden="1" thickTop="1">
      <c r="A1659" s="172">
        <v>2550</v>
      </c>
      <c r="B1659" s="145" t="s">
        <v>160</v>
      </c>
      <c r="C1659" s="174"/>
      <c r="D1659" s="161">
        <f t="shared" si="215"/>
        <v>0</v>
      </c>
      <c r="E1659" s="161">
        <f t="shared" si="215"/>
        <v>0</v>
      </c>
      <c r="F1659" s="469" t="e">
        <f t="shared" si="214"/>
        <v>#DIV/0!</v>
      </c>
      <c r="G1659" s="223"/>
      <c r="H1659" s="74"/>
      <c r="I1659" s="462" t="e">
        <f>H1659/G1659*100</f>
        <v>#DIV/0!</v>
      </c>
      <c r="J1659" s="175"/>
      <c r="K1659" s="74"/>
      <c r="L1659" s="391"/>
      <c r="M1659" s="175"/>
      <c r="N1659" s="74"/>
      <c r="O1659" s="280"/>
      <c r="P1659" s="175"/>
      <c r="Q1659" s="74"/>
      <c r="R1659" s="362"/>
    </row>
    <row r="1660" spans="1:18" ht="24" customHeight="1" thickTop="1">
      <c r="A1660" s="119">
        <v>92105</v>
      </c>
      <c r="B1660" s="185" t="s">
        <v>161</v>
      </c>
      <c r="C1660" s="121">
        <f>SUM(C1661:C1670)</f>
        <v>419000</v>
      </c>
      <c r="D1660" s="95">
        <f t="shared" si="215"/>
        <v>506600</v>
      </c>
      <c r="E1660" s="84">
        <f t="shared" si="215"/>
        <v>280692</v>
      </c>
      <c r="F1660" s="467">
        <f t="shared" si="214"/>
        <v>55.40702724042637</v>
      </c>
      <c r="G1660" s="84">
        <f>SUM(G1661:G1671)</f>
        <v>506600</v>
      </c>
      <c r="H1660" s="84">
        <f>SUM(H1661:H1671)</f>
        <v>280692</v>
      </c>
      <c r="I1660" s="448">
        <f>H1660/G1660*100</f>
        <v>55.40702724042637</v>
      </c>
      <c r="J1660" s="123"/>
      <c r="K1660" s="84"/>
      <c r="L1660" s="417"/>
      <c r="M1660" s="84"/>
      <c r="N1660" s="84"/>
      <c r="O1660" s="381"/>
      <c r="P1660" s="84"/>
      <c r="Q1660" s="84"/>
      <c r="R1660" s="372"/>
    </row>
    <row r="1661" spans="1:18" ht="36" hidden="1">
      <c r="A1661" s="108">
        <v>3020</v>
      </c>
      <c r="B1661" s="199" t="s">
        <v>53</v>
      </c>
      <c r="C1661" s="90"/>
      <c r="D1661" s="103">
        <f t="shared" si="215"/>
        <v>0</v>
      </c>
      <c r="E1661" s="104">
        <f aca="true" t="shared" si="216" ref="E1661:E1681">SUM(H1661+K1661+N1661+Q1661)</f>
        <v>0</v>
      </c>
      <c r="F1661" s="470"/>
      <c r="G1661" s="90"/>
      <c r="H1661" s="104"/>
      <c r="I1661" s="464"/>
      <c r="J1661" s="200"/>
      <c r="K1661" s="104"/>
      <c r="L1661" s="414"/>
      <c r="M1661" s="104"/>
      <c r="N1661" s="104"/>
      <c r="O1661" s="388"/>
      <c r="P1661" s="104"/>
      <c r="Q1661" s="104"/>
      <c r="R1661" s="365"/>
    </row>
    <row r="1662" spans="1:18" ht="48">
      <c r="A1662" s="124">
        <v>3040</v>
      </c>
      <c r="B1662" s="128" t="s">
        <v>78</v>
      </c>
      <c r="C1662" s="88">
        <v>52000</v>
      </c>
      <c r="D1662" s="74">
        <f t="shared" si="215"/>
        <v>52000</v>
      </c>
      <c r="E1662" s="89">
        <f t="shared" si="216"/>
        <v>9561</v>
      </c>
      <c r="F1662" s="468">
        <f t="shared" si="214"/>
        <v>18.386538461538464</v>
      </c>
      <c r="G1662" s="88">
        <v>52000</v>
      </c>
      <c r="H1662" s="89">
        <v>9561</v>
      </c>
      <c r="I1662" s="442">
        <f aca="true" t="shared" si="217" ref="I1662:I1681">H1662/G1662*100</f>
        <v>18.386538461538464</v>
      </c>
      <c r="J1662" s="126"/>
      <c r="K1662" s="89"/>
      <c r="L1662" s="391"/>
      <c r="M1662" s="89"/>
      <c r="N1662" s="89"/>
      <c r="O1662" s="368"/>
      <c r="P1662" s="89"/>
      <c r="Q1662" s="89"/>
      <c r="R1662" s="362"/>
    </row>
    <row r="1663" spans="1:18" ht="26.25" customHeight="1">
      <c r="A1663" s="124">
        <v>4210</v>
      </c>
      <c r="B1663" s="128" t="s">
        <v>502</v>
      </c>
      <c r="C1663" s="88">
        <v>17000</v>
      </c>
      <c r="D1663" s="74">
        <f t="shared" si="215"/>
        <v>22000</v>
      </c>
      <c r="E1663" s="89">
        <f t="shared" si="216"/>
        <v>7300</v>
      </c>
      <c r="F1663" s="468">
        <f t="shared" si="214"/>
        <v>33.18181818181819</v>
      </c>
      <c r="G1663" s="88">
        <f>17000+5000</f>
        <v>22000</v>
      </c>
      <c r="H1663" s="89">
        <v>7300</v>
      </c>
      <c r="I1663" s="442">
        <f t="shared" si="217"/>
        <v>33.18181818181819</v>
      </c>
      <c r="J1663" s="126"/>
      <c r="K1663" s="89"/>
      <c r="L1663" s="391"/>
      <c r="M1663" s="89"/>
      <c r="N1663" s="89"/>
      <c r="O1663" s="368"/>
      <c r="P1663" s="89"/>
      <c r="Q1663" s="89"/>
      <c r="R1663" s="362"/>
    </row>
    <row r="1664" spans="1:18" ht="27" customHeight="1" hidden="1">
      <c r="A1664" s="124">
        <v>4300</v>
      </c>
      <c r="B1664" s="128" t="s">
        <v>162</v>
      </c>
      <c r="C1664" s="88"/>
      <c r="D1664" s="74">
        <f t="shared" si="215"/>
        <v>0</v>
      </c>
      <c r="E1664" s="89">
        <f t="shared" si="216"/>
        <v>0</v>
      </c>
      <c r="F1664" s="468" t="e">
        <f t="shared" si="214"/>
        <v>#DIV/0!</v>
      </c>
      <c r="G1664" s="88"/>
      <c r="H1664" s="89"/>
      <c r="I1664" s="442" t="e">
        <f t="shared" si="217"/>
        <v>#DIV/0!</v>
      </c>
      <c r="J1664" s="126"/>
      <c r="K1664" s="89"/>
      <c r="L1664" s="391"/>
      <c r="M1664" s="89"/>
      <c r="N1664" s="89"/>
      <c r="O1664" s="368"/>
      <c r="P1664" s="89"/>
      <c r="Q1664" s="89"/>
      <c r="R1664" s="362"/>
    </row>
    <row r="1665" spans="1:18" ht="27" customHeight="1" hidden="1">
      <c r="A1665" s="124">
        <v>4210</v>
      </c>
      <c r="B1665" s="128" t="s">
        <v>163</v>
      </c>
      <c r="C1665" s="88"/>
      <c r="D1665" s="74">
        <f t="shared" si="215"/>
        <v>0</v>
      </c>
      <c r="E1665" s="89">
        <f t="shared" si="216"/>
        <v>0</v>
      </c>
      <c r="F1665" s="468" t="e">
        <f t="shared" si="214"/>
        <v>#DIV/0!</v>
      </c>
      <c r="G1665" s="88"/>
      <c r="H1665" s="89"/>
      <c r="I1665" s="442" t="e">
        <f t="shared" si="217"/>
        <v>#DIV/0!</v>
      </c>
      <c r="J1665" s="126"/>
      <c r="K1665" s="89"/>
      <c r="L1665" s="391"/>
      <c r="M1665" s="89"/>
      <c r="N1665" s="89"/>
      <c r="O1665" s="368"/>
      <c r="P1665" s="89"/>
      <c r="Q1665" s="89"/>
      <c r="R1665" s="362"/>
    </row>
    <row r="1666" spans="1:18" ht="24" hidden="1">
      <c r="A1666" s="124">
        <v>4170</v>
      </c>
      <c r="B1666" s="128" t="s">
        <v>536</v>
      </c>
      <c r="C1666" s="88"/>
      <c r="D1666" s="74">
        <f t="shared" si="215"/>
        <v>0</v>
      </c>
      <c r="E1666" s="89">
        <f t="shared" si="216"/>
        <v>0</v>
      </c>
      <c r="F1666" s="468" t="e">
        <f t="shared" si="214"/>
        <v>#DIV/0!</v>
      </c>
      <c r="G1666" s="88"/>
      <c r="H1666" s="89"/>
      <c r="I1666" s="442" t="e">
        <f t="shared" si="217"/>
        <v>#DIV/0!</v>
      </c>
      <c r="J1666" s="126"/>
      <c r="K1666" s="89"/>
      <c r="L1666" s="391"/>
      <c r="M1666" s="89"/>
      <c r="N1666" s="89"/>
      <c r="O1666" s="368"/>
      <c r="P1666" s="89"/>
      <c r="Q1666" s="89"/>
      <c r="R1666" s="362"/>
    </row>
    <row r="1667" spans="1:18" ht="24" hidden="1">
      <c r="A1667" s="124">
        <v>4170</v>
      </c>
      <c r="B1667" s="128" t="s">
        <v>164</v>
      </c>
      <c r="C1667" s="88"/>
      <c r="D1667" s="74">
        <f t="shared" si="215"/>
        <v>0</v>
      </c>
      <c r="E1667" s="89">
        <f t="shared" si="216"/>
        <v>0</v>
      </c>
      <c r="F1667" s="468" t="e">
        <f t="shared" si="214"/>
        <v>#DIV/0!</v>
      </c>
      <c r="G1667" s="88"/>
      <c r="H1667" s="89"/>
      <c r="I1667" s="442" t="e">
        <f t="shared" si="217"/>
        <v>#DIV/0!</v>
      </c>
      <c r="J1667" s="126"/>
      <c r="K1667" s="89"/>
      <c r="L1667" s="391"/>
      <c r="M1667" s="89"/>
      <c r="N1667" s="89"/>
      <c r="O1667" s="368"/>
      <c r="P1667" s="89"/>
      <c r="Q1667" s="89"/>
      <c r="R1667" s="362"/>
    </row>
    <row r="1668" spans="1:18" ht="24">
      <c r="A1668" s="124">
        <v>4300</v>
      </c>
      <c r="B1668" s="128" t="s">
        <v>510</v>
      </c>
      <c r="C1668" s="88">
        <v>140000</v>
      </c>
      <c r="D1668" s="74">
        <f t="shared" si="215"/>
        <v>118000</v>
      </c>
      <c r="E1668" s="89">
        <f t="shared" si="216"/>
        <v>19995</v>
      </c>
      <c r="F1668" s="468">
        <f t="shared" si="214"/>
        <v>16.944915254237287</v>
      </c>
      <c r="G1668" s="88">
        <f>140000-12000-20000+10000</f>
        <v>118000</v>
      </c>
      <c r="H1668" s="89">
        <v>19995</v>
      </c>
      <c r="I1668" s="442">
        <f t="shared" si="217"/>
        <v>16.944915254237287</v>
      </c>
      <c r="J1668" s="126"/>
      <c r="K1668" s="89"/>
      <c r="L1668" s="391"/>
      <c r="M1668" s="89"/>
      <c r="N1668" s="89"/>
      <c r="O1668" s="368"/>
      <c r="P1668" s="89"/>
      <c r="Q1668" s="89"/>
      <c r="R1668" s="362"/>
    </row>
    <row r="1669" spans="1:18" ht="12.75" hidden="1">
      <c r="A1669" s="124">
        <v>4430</v>
      </c>
      <c r="B1669" s="128" t="s">
        <v>512</v>
      </c>
      <c r="C1669" s="88"/>
      <c r="D1669" s="74">
        <f t="shared" si="215"/>
        <v>0</v>
      </c>
      <c r="E1669" s="89">
        <f t="shared" si="216"/>
        <v>0</v>
      </c>
      <c r="F1669" s="468" t="e">
        <f t="shared" si="214"/>
        <v>#DIV/0!</v>
      </c>
      <c r="G1669" s="88"/>
      <c r="H1669" s="89"/>
      <c r="I1669" s="442" t="e">
        <f t="shared" si="217"/>
        <v>#DIV/0!</v>
      </c>
      <c r="J1669" s="126"/>
      <c r="K1669" s="89"/>
      <c r="L1669" s="391"/>
      <c r="M1669" s="89"/>
      <c r="N1669" s="89"/>
      <c r="O1669" s="368"/>
      <c r="P1669" s="89"/>
      <c r="Q1669" s="89"/>
      <c r="R1669" s="362"/>
    </row>
    <row r="1670" spans="1:18" ht="72">
      <c r="A1670" s="124">
        <v>2820</v>
      </c>
      <c r="B1670" s="128" t="s">
        <v>165</v>
      </c>
      <c r="C1670" s="88">
        <v>210000</v>
      </c>
      <c r="D1670" s="74">
        <f t="shared" si="215"/>
        <v>210000</v>
      </c>
      <c r="E1670" s="89">
        <f t="shared" si="216"/>
        <v>142000</v>
      </c>
      <c r="F1670" s="468">
        <f t="shared" si="214"/>
        <v>67.61904761904762</v>
      </c>
      <c r="G1670" s="88">
        <v>210000</v>
      </c>
      <c r="H1670" s="89">
        <v>142000</v>
      </c>
      <c r="I1670" s="442">
        <f t="shared" si="217"/>
        <v>67.61904761904762</v>
      </c>
      <c r="J1670" s="126"/>
      <c r="K1670" s="89"/>
      <c r="L1670" s="391"/>
      <c r="M1670" s="89"/>
      <c r="N1670" s="89"/>
      <c r="O1670" s="368"/>
      <c r="P1670" s="89"/>
      <c r="Q1670" s="89"/>
      <c r="R1670" s="362"/>
    </row>
    <row r="1671" spans="1:18" s="143" customFormat="1" ht="48">
      <c r="A1671" s="135"/>
      <c r="B1671" s="136" t="s">
        <v>426</v>
      </c>
      <c r="C1671" s="137"/>
      <c r="D1671" s="139">
        <f t="shared" si="215"/>
        <v>104600</v>
      </c>
      <c r="E1671" s="139">
        <f t="shared" si="216"/>
        <v>101836</v>
      </c>
      <c r="F1671" s="468">
        <f t="shared" si="214"/>
        <v>97.35755258126196</v>
      </c>
      <c r="G1671" s="140">
        <f>SUM(G1672:G1681)</f>
        <v>104600</v>
      </c>
      <c r="H1671" s="139">
        <f>SUM(H1672:H1681)</f>
        <v>101836</v>
      </c>
      <c r="I1671" s="442">
        <f t="shared" si="217"/>
        <v>97.35755258126196</v>
      </c>
      <c r="J1671" s="140"/>
      <c r="K1671" s="139"/>
      <c r="L1671" s="399"/>
      <c r="M1671" s="139"/>
      <c r="N1671" s="139"/>
      <c r="O1671" s="399"/>
      <c r="P1671" s="139"/>
      <c r="Q1671" s="139"/>
      <c r="R1671" s="364"/>
    </row>
    <row r="1672" spans="1:18" ht="24">
      <c r="A1672" s="124">
        <v>4110</v>
      </c>
      <c r="B1672" s="128" t="s">
        <v>498</v>
      </c>
      <c r="C1672" s="88"/>
      <c r="D1672" s="74">
        <f t="shared" si="215"/>
        <v>550</v>
      </c>
      <c r="E1672" s="89">
        <f t="shared" si="216"/>
        <v>267</v>
      </c>
      <c r="F1672" s="468">
        <f t="shared" si="214"/>
        <v>48.54545454545455</v>
      </c>
      <c r="G1672" s="126">
        <f>350+200</f>
        <v>550</v>
      </c>
      <c r="H1672" s="89">
        <v>267</v>
      </c>
      <c r="I1672" s="442">
        <f t="shared" si="217"/>
        <v>48.54545454545455</v>
      </c>
      <c r="J1672" s="126"/>
      <c r="K1672" s="89"/>
      <c r="L1672" s="391"/>
      <c r="M1672" s="89"/>
      <c r="N1672" s="89"/>
      <c r="O1672" s="368"/>
      <c r="P1672" s="89"/>
      <c r="Q1672" s="89"/>
      <c r="R1672" s="362"/>
    </row>
    <row r="1673" spans="1:18" ht="12.75">
      <c r="A1673" s="124">
        <v>4120</v>
      </c>
      <c r="B1673" s="128" t="s">
        <v>571</v>
      </c>
      <c r="C1673" s="88"/>
      <c r="D1673" s="74">
        <f t="shared" si="215"/>
        <v>200</v>
      </c>
      <c r="E1673" s="89">
        <f t="shared" si="216"/>
        <v>43</v>
      </c>
      <c r="F1673" s="468">
        <f t="shared" si="214"/>
        <v>21.5</v>
      </c>
      <c r="G1673" s="126">
        <f>100+100</f>
        <v>200</v>
      </c>
      <c r="H1673" s="89">
        <v>43</v>
      </c>
      <c r="I1673" s="442">
        <f t="shared" si="217"/>
        <v>21.5</v>
      </c>
      <c r="J1673" s="126"/>
      <c r="K1673" s="89"/>
      <c r="L1673" s="391"/>
      <c r="M1673" s="89"/>
      <c r="N1673" s="89"/>
      <c r="O1673" s="368"/>
      <c r="P1673" s="89"/>
      <c r="Q1673" s="89"/>
      <c r="R1673" s="362"/>
    </row>
    <row r="1674" spans="1:18" ht="24">
      <c r="A1674" s="124">
        <v>4178</v>
      </c>
      <c r="B1674" s="128" t="s">
        <v>312</v>
      </c>
      <c r="C1674" s="88"/>
      <c r="D1674" s="74">
        <f aca="true" t="shared" si="218" ref="D1674:D1716">G1674+J1674+P1674+M1674</f>
        <v>19500</v>
      </c>
      <c r="E1674" s="89">
        <f t="shared" si="216"/>
        <v>19170</v>
      </c>
      <c r="F1674" s="468">
        <f t="shared" si="214"/>
        <v>98.3076923076923</v>
      </c>
      <c r="G1674" s="126">
        <f>17500+2000</f>
        <v>19500</v>
      </c>
      <c r="H1674" s="89">
        <v>19170</v>
      </c>
      <c r="I1674" s="442">
        <f t="shared" si="217"/>
        <v>98.3076923076923</v>
      </c>
      <c r="J1674" s="126"/>
      <c r="K1674" s="89"/>
      <c r="L1674" s="391"/>
      <c r="M1674" s="89"/>
      <c r="N1674" s="89"/>
      <c r="O1674" s="368"/>
      <c r="P1674" s="89"/>
      <c r="Q1674" s="89"/>
      <c r="R1674" s="362"/>
    </row>
    <row r="1675" spans="1:18" ht="24">
      <c r="A1675" s="158">
        <v>4179</v>
      </c>
      <c r="B1675" s="159" t="s">
        <v>312</v>
      </c>
      <c r="C1675" s="160"/>
      <c r="D1675" s="161">
        <f t="shared" si="218"/>
        <v>6650</v>
      </c>
      <c r="E1675" s="155">
        <f t="shared" si="216"/>
        <v>6390</v>
      </c>
      <c r="F1675" s="469">
        <f t="shared" si="214"/>
        <v>96.09022556390977</v>
      </c>
      <c r="G1675" s="162">
        <f>5750+900</f>
        <v>6650</v>
      </c>
      <c r="H1675" s="155">
        <v>6390</v>
      </c>
      <c r="I1675" s="462">
        <f t="shared" si="217"/>
        <v>96.09022556390977</v>
      </c>
      <c r="J1675" s="162"/>
      <c r="K1675" s="155"/>
      <c r="L1675" s="415"/>
      <c r="M1675" s="155"/>
      <c r="N1675" s="155"/>
      <c r="O1675" s="387"/>
      <c r="P1675" s="155"/>
      <c r="Q1675" s="155"/>
      <c r="R1675" s="366"/>
    </row>
    <row r="1676" spans="1:18" ht="24">
      <c r="A1676" s="124">
        <v>4218</v>
      </c>
      <c r="B1676" s="128" t="s">
        <v>502</v>
      </c>
      <c r="C1676" s="88"/>
      <c r="D1676" s="74">
        <f>G1676+J1676+P1676+M1676</f>
        <v>16500</v>
      </c>
      <c r="E1676" s="89">
        <f>SUM(H1676+K1676+N1676+Q1676)</f>
        <v>16101</v>
      </c>
      <c r="F1676" s="468">
        <f>E1676/D1676*100</f>
        <v>97.58181818181818</v>
      </c>
      <c r="G1676" s="126">
        <v>16500</v>
      </c>
      <c r="H1676" s="89">
        <v>16101</v>
      </c>
      <c r="I1676" s="442">
        <f t="shared" si="217"/>
        <v>97.58181818181818</v>
      </c>
      <c r="J1676" s="126"/>
      <c r="K1676" s="89"/>
      <c r="L1676" s="391"/>
      <c r="M1676" s="89"/>
      <c r="N1676" s="89"/>
      <c r="O1676" s="368"/>
      <c r="P1676" s="89"/>
      <c r="Q1676" s="89"/>
      <c r="R1676" s="362"/>
    </row>
    <row r="1677" spans="1:18" ht="24">
      <c r="A1677" s="124">
        <v>4219</v>
      </c>
      <c r="B1677" s="128" t="s">
        <v>502</v>
      </c>
      <c r="C1677" s="88"/>
      <c r="D1677" s="74">
        <f>G1677+J1677+P1677+M1677</f>
        <v>5400</v>
      </c>
      <c r="E1677" s="89">
        <f>SUM(H1677+K1677+N1677+Q1677)</f>
        <v>5367</v>
      </c>
      <c r="F1677" s="468">
        <f>E1677/D1677*100</f>
        <v>99.3888888888889</v>
      </c>
      <c r="G1677" s="126">
        <f>5600-200</f>
        <v>5400</v>
      </c>
      <c r="H1677" s="89">
        <v>5367</v>
      </c>
      <c r="I1677" s="442">
        <f t="shared" si="217"/>
        <v>99.3888888888889</v>
      </c>
      <c r="J1677" s="126"/>
      <c r="K1677" s="89"/>
      <c r="L1677" s="391"/>
      <c r="M1677" s="89"/>
      <c r="N1677" s="89"/>
      <c r="O1677" s="368"/>
      <c r="P1677" s="89"/>
      <c r="Q1677" s="89"/>
      <c r="R1677" s="362"/>
    </row>
    <row r="1678" spans="1:18" ht="24">
      <c r="A1678" s="124">
        <v>4308</v>
      </c>
      <c r="B1678" s="128" t="s">
        <v>510</v>
      </c>
      <c r="C1678" s="88"/>
      <c r="D1678" s="74">
        <f>G1678+J1678+P1678+M1678</f>
        <v>41050</v>
      </c>
      <c r="E1678" s="89">
        <f>SUM(H1678+K1678+N1678+Q1678)</f>
        <v>40873</v>
      </c>
      <c r="F1678" s="468">
        <f>E1678/D1678*100</f>
        <v>99.5688185140073</v>
      </c>
      <c r="G1678" s="126">
        <f>40250+800</f>
        <v>41050</v>
      </c>
      <c r="H1678" s="89">
        <v>40873</v>
      </c>
      <c r="I1678" s="442">
        <f t="shared" si="217"/>
        <v>99.5688185140073</v>
      </c>
      <c r="J1678" s="126"/>
      <c r="K1678" s="89"/>
      <c r="L1678" s="391"/>
      <c r="M1678" s="89"/>
      <c r="N1678" s="89"/>
      <c r="O1678" s="368"/>
      <c r="P1678" s="89"/>
      <c r="Q1678" s="89"/>
      <c r="R1678" s="362"/>
    </row>
    <row r="1679" spans="1:18" ht="24">
      <c r="A1679" s="124">
        <v>4309</v>
      </c>
      <c r="B1679" s="128" t="s">
        <v>510</v>
      </c>
      <c r="C1679" s="88"/>
      <c r="D1679" s="74">
        <f>G1679+J1679+P1679+M1679</f>
        <v>13750</v>
      </c>
      <c r="E1679" s="89">
        <f>SUM(H1679+K1679+N1679+Q1679)</f>
        <v>13625</v>
      </c>
      <c r="F1679" s="468">
        <f>E1679/D1679*100</f>
        <v>99.0909090909091</v>
      </c>
      <c r="G1679" s="126">
        <f>13450+300</f>
        <v>13750</v>
      </c>
      <c r="H1679" s="89">
        <f>13624+1</f>
        <v>13625</v>
      </c>
      <c r="I1679" s="442">
        <f t="shared" si="217"/>
        <v>99.0909090909091</v>
      </c>
      <c r="J1679" s="126"/>
      <c r="K1679" s="89"/>
      <c r="L1679" s="391"/>
      <c r="M1679" s="89"/>
      <c r="N1679" s="89"/>
      <c r="O1679" s="368"/>
      <c r="P1679" s="89"/>
      <c r="Q1679" s="89"/>
      <c r="R1679" s="362"/>
    </row>
    <row r="1680" spans="1:18" ht="36">
      <c r="A1680" s="124">
        <v>4388</v>
      </c>
      <c r="B1680" s="128" t="s">
        <v>299</v>
      </c>
      <c r="C1680" s="88"/>
      <c r="D1680" s="74">
        <f t="shared" si="218"/>
        <v>1000</v>
      </c>
      <c r="E1680" s="89">
        <f t="shared" si="216"/>
        <v>0</v>
      </c>
      <c r="F1680" s="468">
        <f t="shared" si="214"/>
        <v>0</v>
      </c>
      <c r="G1680" s="126">
        <f>3800-2800</f>
        <v>1000</v>
      </c>
      <c r="H1680" s="89"/>
      <c r="I1680" s="442">
        <f t="shared" si="217"/>
        <v>0</v>
      </c>
      <c r="J1680" s="126"/>
      <c r="K1680" s="89"/>
      <c r="L1680" s="391"/>
      <c r="M1680" s="89"/>
      <c r="N1680" s="89"/>
      <c r="O1680" s="368"/>
      <c r="P1680" s="89"/>
      <c r="Q1680" s="89"/>
      <c r="R1680" s="362"/>
    </row>
    <row r="1681" spans="1:18" ht="36" hidden="1">
      <c r="A1681" s="124">
        <v>4389</v>
      </c>
      <c r="B1681" s="128" t="s">
        <v>299</v>
      </c>
      <c r="C1681" s="88"/>
      <c r="D1681" s="74">
        <f t="shared" si="218"/>
        <v>0</v>
      </c>
      <c r="E1681" s="89">
        <f t="shared" si="216"/>
        <v>0</v>
      </c>
      <c r="F1681" s="468" t="e">
        <f t="shared" si="214"/>
        <v>#DIV/0!</v>
      </c>
      <c r="G1681" s="126">
        <f>1300-1300</f>
        <v>0</v>
      </c>
      <c r="H1681" s="155"/>
      <c r="I1681" s="442" t="e">
        <f t="shared" si="217"/>
        <v>#DIV/0!</v>
      </c>
      <c r="J1681" s="126"/>
      <c r="K1681" s="89"/>
      <c r="L1681" s="391"/>
      <c r="M1681" s="89"/>
      <c r="N1681" s="89"/>
      <c r="O1681" s="368"/>
      <c r="P1681" s="89"/>
      <c r="Q1681" s="89"/>
      <c r="R1681" s="362"/>
    </row>
    <row r="1682" spans="1:18" s="143" customFormat="1" ht="17.25" customHeight="1">
      <c r="A1682" s="150">
        <v>92106</v>
      </c>
      <c r="B1682" s="187" t="s">
        <v>246</v>
      </c>
      <c r="C1682" s="94">
        <f>C1683+SUM(C1690:C1692)</f>
        <v>8593600</v>
      </c>
      <c r="D1682" s="95">
        <f t="shared" si="218"/>
        <v>8614600</v>
      </c>
      <c r="E1682" s="95">
        <f>H1682+K1682+Q1682+N1682</f>
        <v>6713085</v>
      </c>
      <c r="F1682" s="476">
        <f t="shared" si="214"/>
        <v>77.92683351519514</v>
      </c>
      <c r="G1682" s="95"/>
      <c r="H1682" s="95"/>
      <c r="I1682" s="448"/>
      <c r="J1682" s="171"/>
      <c r="K1682" s="95"/>
      <c r="L1682" s="417"/>
      <c r="M1682" s="95">
        <f>SUM(M1683)+M1692+M1691+M1690+M1693</f>
        <v>8614600</v>
      </c>
      <c r="N1682" s="95">
        <f>SUM(N1683)+N1692+N1691+N1690+N1693</f>
        <v>6713085</v>
      </c>
      <c r="O1682" s="484">
        <f aca="true" t="shared" si="219" ref="O1682:O1702">N1682/M1682*100</f>
        <v>77.92683351519514</v>
      </c>
      <c r="P1682" s="95"/>
      <c r="Q1682" s="95"/>
      <c r="R1682" s="370"/>
    </row>
    <row r="1683" spans="1:18" ht="48">
      <c r="A1683" s="108">
        <v>2480</v>
      </c>
      <c r="B1683" s="199" t="s">
        <v>166</v>
      </c>
      <c r="C1683" s="90">
        <f>SUM(C1684:C1689)</f>
        <v>2593600</v>
      </c>
      <c r="D1683" s="103">
        <f t="shared" si="218"/>
        <v>2605400</v>
      </c>
      <c r="E1683" s="104">
        <f aca="true" t="shared" si="220" ref="E1683:E1692">SUM(H1683+K1683+N1683+Q1683)</f>
        <v>1258600</v>
      </c>
      <c r="F1683" s="470">
        <f t="shared" si="214"/>
        <v>48.30736163353036</v>
      </c>
      <c r="G1683" s="104"/>
      <c r="H1683" s="200"/>
      <c r="I1683" s="464"/>
      <c r="J1683" s="200"/>
      <c r="K1683" s="104"/>
      <c r="L1683" s="414"/>
      <c r="M1683" s="90">
        <f>SUM(M1684:M1689)</f>
        <v>2605400</v>
      </c>
      <c r="N1683" s="104">
        <f>SUM(N1684:N1689)</f>
        <v>1258600</v>
      </c>
      <c r="O1683" s="464">
        <f t="shared" si="219"/>
        <v>48.30736163353036</v>
      </c>
      <c r="P1683" s="104"/>
      <c r="Q1683" s="104"/>
      <c r="R1683" s="365"/>
    </row>
    <row r="1684" spans="1:18" s="11" customFormat="1" ht="12.75">
      <c r="A1684" s="164"/>
      <c r="B1684" s="233" t="s">
        <v>167</v>
      </c>
      <c r="C1684" s="166">
        <v>2493600</v>
      </c>
      <c r="D1684" s="167">
        <f t="shared" si="218"/>
        <v>2493600</v>
      </c>
      <c r="E1684" s="167">
        <f t="shared" si="220"/>
        <v>1246800</v>
      </c>
      <c r="F1684" s="468">
        <f t="shared" si="214"/>
        <v>50</v>
      </c>
      <c r="G1684" s="167"/>
      <c r="H1684" s="168"/>
      <c r="I1684" s="442"/>
      <c r="J1684" s="168"/>
      <c r="K1684" s="167"/>
      <c r="L1684" s="391"/>
      <c r="M1684" s="166">
        <v>2493600</v>
      </c>
      <c r="N1684" s="167">
        <f>207800+207800+207800+207800+207800+207800</f>
        <v>1246800</v>
      </c>
      <c r="O1684" s="442">
        <f t="shared" si="219"/>
        <v>50</v>
      </c>
      <c r="P1684" s="167"/>
      <c r="Q1684" s="167"/>
      <c r="R1684" s="369"/>
    </row>
    <row r="1685" spans="1:18" s="11" customFormat="1" ht="12.75">
      <c r="A1685" s="164"/>
      <c r="B1685" s="233" t="s">
        <v>421</v>
      </c>
      <c r="C1685" s="166"/>
      <c r="D1685" s="167">
        <f t="shared" si="218"/>
        <v>11800</v>
      </c>
      <c r="E1685" s="167">
        <f t="shared" si="220"/>
        <v>11800</v>
      </c>
      <c r="F1685" s="468">
        <f t="shared" si="214"/>
        <v>100</v>
      </c>
      <c r="G1685" s="167"/>
      <c r="H1685" s="168"/>
      <c r="I1685" s="442"/>
      <c r="J1685" s="168"/>
      <c r="K1685" s="167"/>
      <c r="L1685" s="391"/>
      <c r="M1685" s="166">
        <v>11800</v>
      </c>
      <c r="N1685" s="167">
        <v>11800</v>
      </c>
      <c r="O1685" s="442">
        <f t="shared" si="219"/>
        <v>100</v>
      </c>
      <c r="P1685" s="167"/>
      <c r="Q1685" s="167"/>
      <c r="R1685" s="369"/>
    </row>
    <row r="1686" spans="1:18" s="11" customFormat="1" ht="36">
      <c r="A1686" s="164"/>
      <c r="B1686" s="233" t="s">
        <v>390</v>
      </c>
      <c r="C1686" s="166">
        <v>100000</v>
      </c>
      <c r="D1686" s="167">
        <f t="shared" si="218"/>
        <v>100000</v>
      </c>
      <c r="E1686" s="167">
        <f t="shared" si="220"/>
        <v>0</v>
      </c>
      <c r="F1686" s="468">
        <f t="shared" si="214"/>
        <v>0</v>
      </c>
      <c r="G1686" s="167"/>
      <c r="H1686" s="168"/>
      <c r="I1686" s="442"/>
      <c r="J1686" s="168"/>
      <c r="K1686" s="167"/>
      <c r="L1686" s="391"/>
      <c r="M1686" s="166">
        <v>100000</v>
      </c>
      <c r="N1686" s="167"/>
      <c r="O1686" s="442">
        <f t="shared" si="219"/>
        <v>0</v>
      </c>
      <c r="P1686" s="167"/>
      <c r="Q1686" s="167"/>
      <c r="R1686" s="369"/>
    </row>
    <row r="1687" spans="1:18" s="11" customFormat="1" ht="36" hidden="1">
      <c r="A1687" s="164"/>
      <c r="B1687" s="233" t="s">
        <v>338</v>
      </c>
      <c r="C1687" s="166"/>
      <c r="D1687" s="167">
        <f t="shared" si="218"/>
        <v>0</v>
      </c>
      <c r="E1687" s="167">
        <f t="shared" si="220"/>
        <v>0</v>
      </c>
      <c r="F1687" s="468" t="e">
        <f t="shared" si="214"/>
        <v>#DIV/0!</v>
      </c>
      <c r="G1687" s="167"/>
      <c r="H1687" s="168"/>
      <c r="I1687" s="442"/>
      <c r="J1687" s="168"/>
      <c r="K1687" s="167"/>
      <c r="L1687" s="391"/>
      <c r="M1687" s="166"/>
      <c r="N1687" s="167"/>
      <c r="O1687" s="442" t="e">
        <f t="shared" si="219"/>
        <v>#DIV/0!</v>
      </c>
      <c r="P1687" s="167"/>
      <c r="Q1687" s="167"/>
      <c r="R1687" s="369"/>
    </row>
    <row r="1688" spans="1:18" s="11" customFormat="1" ht="12.75" hidden="1">
      <c r="A1688" s="164"/>
      <c r="B1688" s="233" t="s">
        <v>169</v>
      </c>
      <c r="C1688" s="166"/>
      <c r="D1688" s="167">
        <f t="shared" si="218"/>
        <v>0</v>
      </c>
      <c r="E1688" s="167">
        <f t="shared" si="220"/>
        <v>0</v>
      </c>
      <c r="F1688" s="468" t="e">
        <f t="shared" si="214"/>
        <v>#DIV/0!</v>
      </c>
      <c r="G1688" s="167"/>
      <c r="H1688" s="168"/>
      <c r="I1688" s="442"/>
      <c r="J1688" s="168"/>
      <c r="K1688" s="167"/>
      <c r="L1688" s="391"/>
      <c r="M1688" s="166"/>
      <c r="N1688" s="167"/>
      <c r="O1688" s="442" t="e">
        <f t="shared" si="219"/>
        <v>#DIV/0!</v>
      </c>
      <c r="P1688" s="167"/>
      <c r="Q1688" s="167"/>
      <c r="R1688" s="369"/>
    </row>
    <row r="1689" spans="1:18" s="11" customFormat="1" ht="36" hidden="1">
      <c r="A1689" s="164"/>
      <c r="B1689" s="233" t="s">
        <v>313</v>
      </c>
      <c r="C1689" s="166"/>
      <c r="D1689" s="167">
        <f t="shared" si="218"/>
        <v>0</v>
      </c>
      <c r="E1689" s="167">
        <f t="shared" si="220"/>
        <v>0</v>
      </c>
      <c r="F1689" s="468" t="e">
        <f t="shared" si="214"/>
        <v>#DIV/0!</v>
      </c>
      <c r="G1689" s="167"/>
      <c r="H1689" s="168"/>
      <c r="I1689" s="442"/>
      <c r="J1689" s="168"/>
      <c r="K1689" s="167"/>
      <c r="L1689" s="391"/>
      <c r="M1689" s="166"/>
      <c r="N1689" s="167"/>
      <c r="O1689" s="442" t="e">
        <f t="shared" si="219"/>
        <v>#DIV/0!</v>
      </c>
      <c r="P1689" s="167"/>
      <c r="Q1689" s="167"/>
      <c r="R1689" s="369"/>
    </row>
    <row r="1690" spans="1:18" s="12" customFormat="1" ht="24">
      <c r="A1690" s="172">
        <v>6050</v>
      </c>
      <c r="B1690" s="206" t="s">
        <v>574</v>
      </c>
      <c r="C1690" s="174">
        <v>1346500</v>
      </c>
      <c r="D1690" s="74">
        <f>G1690+J1690+P1690+M1690</f>
        <v>1345500</v>
      </c>
      <c r="E1690" s="74">
        <f>SUM(H1690+K1690+N1690+Q1690)</f>
        <v>790869</v>
      </c>
      <c r="F1690" s="474">
        <f>E1690/D1690*100</f>
        <v>58.77881828316611</v>
      </c>
      <c r="G1690" s="74"/>
      <c r="H1690" s="175"/>
      <c r="I1690" s="485"/>
      <c r="J1690" s="175"/>
      <c r="K1690" s="74"/>
      <c r="L1690" s="391"/>
      <c r="M1690" s="174">
        <f>1346500-1000</f>
        <v>1345500</v>
      </c>
      <c r="N1690" s="74">
        <v>790869</v>
      </c>
      <c r="O1690" s="442">
        <f t="shared" si="219"/>
        <v>58.77881828316611</v>
      </c>
      <c r="P1690" s="74"/>
      <c r="Q1690" s="74"/>
      <c r="R1690" s="362"/>
    </row>
    <row r="1691" spans="1:18" s="12" customFormat="1" ht="24">
      <c r="A1691" s="172">
        <v>6058</v>
      </c>
      <c r="B1691" s="206" t="s">
        <v>574</v>
      </c>
      <c r="C1691" s="174">
        <v>2691800</v>
      </c>
      <c r="D1691" s="74">
        <f>G1691+J1691+P1691+M1691</f>
        <v>2692500</v>
      </c>
      <c r="E1691" s="74">
        <f>SUM(H1691+K1691+N1691+Q1691)</f>
        <v>2692500</v>
      </c>
      <c r="F1691" s="474">
        <f>E1691/D1691*100</f>
        <v>100</v>
      </c>
      <c r="G1691" s="74"/>
      <c r="H1691" s="175"/>
      <c r="I1691" s="485"/>
      <c r="J1691" s="175"/>
      <c r="K1691" s="74"/>
      <c r="L1691" s="391"/>
      <c r="M1691" s="174">
        <f>2691800+700</f>
        <v>2692500</v>
      </c>
      <c r="N1691" s="74">
        <v>2692500</v>
      </c>
      <c r="O1691" s="442">
        <f t="shared" si="219"/>
        <v>100</v>
      </c>
      <c r="P1691" s="74"/>
      <c r="Q1691" s="74"/>
      <c r="R1691" s="362"/>
    </row>
    <row r="1692" spans="1:18" ht="24">
      <c r="A1692" s="124">
        <v>6059</v>
      </c>
      <c r="B1692" s="128" t="s">
        <v>574</v>
      </c>
      <c r="C1692" s="88">
        <v>1961700</v>
      </c>
      <c r="D1692" s="74">
        <f t="shared" si="218"/>
        <v>1962000</v>
      </c>
      <c r="E1692" s="89">
        <f t="shared" si="220"/>
        <v>1961916</v>
      </c>
      <c r="F1692" s="468">
        <f t="shared" si="214"/>
        <v>99.99571865443426</v>
      </c>
      <c r="G1692" s="89"/>
      <c r="H1692" s="126"/>
      <c r="I1692" s="442"/>
      <c r="J1692" s="126"/>
      <c r="K1692" s="89"/>
      <c r="L1692" s="391"/>
      <c r="M1692" s="88">
        <f>1961700+300</f>
        <v>1962000</v>
      </c>
      <c r="N1692" s="89">
        <v>1961916</v>
      </c>
      <c r="O1692" s="442">
        <f t="shared" si="219"/>
        <v>99.99571865443426</v>
      </c>
      <c r="P1692" s="89"/>
      <c r="Q1692" s="89"/>
      <c r="R1692" s="362"/>
    </row>
    <row r="1693" spans="1:18" ht="96">
      <c r="A1693" s="124">
        <v>6220</v>
      </c>
      <c r="B1693" s="128" t="s">
        <v>232</v>
      </c>
      <c r="C1693" s="88"/>
      <c r="D1693" s="74">
        <f>G1693+J1693+P1693+M1693</f>
        <v>9200</v>
      </c>
      <c r="E1693" s="89">
        <f>SUM(H1693+K1693+N1693+Q1693)</f>
        <v>9200</v>
      </c>
      <c r="F1693" s="468">
        <f>E1693/D1693*100</f>
        <v>100</v>
      </c>
      <c r="G1693" s="89"/>
      <c r="H1693" s="126"/>
      <c r="I1693" s="442"/>
      <c r="J1693" s="126"/>
      <c r="K1693" s="89"/>
      <c r="L1693" s="391"/>
      <c r="M1693" s="126">
        <f>SUM(M1694)</f>
        <v>9200</v>
      </c>
      <c r="N1693" s="89">
        <f>SUM(N1694)</f>
        <v>9200</v>
      </c>
      <c r="O1693" s="442">
        <f t="shared" si="219"/>
        <v>100</v>
      </c>
      <c r="P1693" s="89"/>
      <c r="Q1693" s="89"/>
      <c r="R1693" s="362"/>
    </row>
    <row r="1694" spans="1:18" s="11" customFormat="1" ht="24">
      <c r="A1694" s="443"/>
      <c r="B1694" s="444" t="s">
        <v>422</v>
      </c>
      <c r="C1694" s="445"/>
      <c r="D1694" s="167">
        <f>G1694+J1694+P1694+M1694</f>
        <v>9200</v>
      </c>
      <c r="E1694" s="167">
        <f>SUM(H1694+K1694+N1694+Q1694)</f>
        <v>9200</v>
      </c>
      <c r="F1694" s="468">
        <f>E1694/D1694*100</f>
        <v>100</v>
      </c>
      <c r="G1694" s="446"/>
      <c r="H1694" s="447"/>
      <c r="I1694" s="462"/>
      <c r="J1694" s="447"/>
      <c r="K1694" s="446"/>
      <c r="L1694" s="415"/>
      <c r="M1694" s="447">
        <v>9200</v>
      </c>
      <c r="N1694" s="446">
        <v>9200</v>
      </c>
      <c r="O1694" s="442">
        <f t="shared" si="219"/>
        <v>100</v>
      </c>
      <c r="P1694" s="446"/>
      <c r="Q1694" s="446"/>
      <c r="R1694" s="431"/>
    </row>
    <row r="1695" spans="1:18" ht="22.5" customHeight="1">
      <c r="A1695" s="119">
        <v>92108</v>
      </c>
      <c r="B1695" s="185" t="s">
        <v>170</v>
      </c>
      <c r="C1695" s="121">
        <f>SUM(C1696:C1696)+C1702</f>
        <v>3129600</v>
      </c>
      <c r="D1695" s="95">
        <f t="shared" si="218"/>
        <v>3131700</v>
      </c>
      <c r="E1695" s="84">
        <f>H1695+K1695+Q1695+N1695</f>
        <v>1448298</v>
      </c>
      <c r="F1695" s="467">
        <f t="shared" si="214"/>
        <v>46.24638375323307</v>
      </c>
      <c r="G1695" s="95"/>
      <c r="H1695" s="171"/>
      <c r="I1695" s="316"/>
      <c r="J1695" s="171">
        <f>J1696+J1701+J1702</f>
        <v>2100</v>
      </c>
      <c r="K1695" s="171">
        <f>K1696+K1701+K1702</f>
        <v>0</v>
      </c>
      <c r="L1695" s="494">
        <f>K1695/J1695*100</f>
        <v>0</v>
      </c>
      <c r="M1695" s="84">
        <f>SUM(M1696)+M1702</f>
        <v>3129600</v>
      </c>
      <c r="N1695" s="84">
        <f>SUM(N1696)+N1702</f>
        <v>1448298</v>
      </c>
      <c r="O1695" s="448">
        <f t="shared" si="219"/>
        <v>46.277415644171775</v>
      </c>
      <c r="P1695" s="84"/>
      <c r="Q1695" s="84"/>
      <c r="R1695" s="372"/>
    </row>
    <row r="1696" spans="1:18" ht="48">
      <c r="A1696" s="108">
        <v>2480</v>
      </c>
      <c r="B1696" s="199" t="s">
        <v>171</v>
      </c>
      <c r="C1696" s="90">
        <f>SUM(C1697:C1700)</f>
        <v>3029600</v>
      </c>
      <c r="D1696" s="103">
        <f t="shared" si="218"/>
        <v>3029600</v>
      </c>
      <c r="E1696" s="104">
        <f aca="true" t="shared" si="221" ref="E1696:E1702">SUM(H1696+K1696+N1696+Q1696)</f>
        <v>1448298</v>
      </c>
      <c r="F1696" s="470">
        <f t="shared" si="214"/>
        <v>47.804924742540265</v>
      </c>
      <c r="G1696" s="104"/>
      <c r="H1696" s="196"/>
      <c r="I1696" s="304"/>
      <c r="J1696" s="200"/>
      <c r="K1696" s="104"/>
      <c r="L1696" s="481"/>
      <c r="M1696" s="90">
        <f>SUM(M1697:M1700)</f>
        <v>3029600</v>
      </c>
      <c r="N1696" s="104">
        <f>SUM(N1697:N1700)</f>
        <v>1448298</v>
      </c>
      <c r="O1696" s="464">
        <f t="shared" si="219"/>
        <v>47.804924742540265</v>
      </c>
      <c r="P1696" s="104"/>
      <c r="Q1696" s="104"/>
      <c r="R1696" s="365"/>
    </row>
    <row r="1697" spans="1:18" s="11" customFormat="1" ht="12.75">
      <c r="A1697" s="443"/>
      <c r="B1697" s="444" t="s">
        <v>167</v>
      </c>
      <c r="C1697" s="445">
        <v>2818600</v>
      </c>
      <c r="D1697" s="446">
        <f t="shared" si="218"/>
        <v>2818600</v>
      </c>
      <c r="E1697" s="446">
        <f t="shared" si="221"/>
        <v>1409298</v>
      </c>
      <c r="F1697" s="469">
        <f t="shared" si="214"/>
        <v>49.9999290427872</v>
      </c>
      <c r="G1697" s="446"/>
      <c r="H1697" s="447"/>
      <c r="I1697" s="274"/>
      <c r="J1697" s="447"/>
      <c r="K1697" s="446"/>
      <c r="L1697" s="483"/>
      <c r="M1697" s="445">
        <v>2818600</v>
      </c>
      <c r="N1697" s="446">
        <f>234883+234883+234883+234883+234883+234883</f>
        <v>1409298</v>
      </c>
      <c r="O1697" s="462">
        <f t="shared" si="219"/>
        <v>49.9999290427872</v>
      </c>
      <c r="P1697" s="446"/>
      <c r="Q1697" s="446"/>
      <c r="R1697" s="431"/>
    </row>
    <row r="1698" spans="1:18" s="11" customFormat="1" ht="36">
      <c r="A1698" s="164"/>
      <c r="B1698" s="233" t="s">
        <v>390</v>
      </c>
      <c r="C1698" s="166">
        <v>100000</v>
      </c>
      <c r="D1698" s="167">
        <f t="shared" si="218"/>
        <v>100000</v>
      </c>
      <c r="E1698" s="167">
        <f t="shared" si="221"/>
        <v>0</v>
      </c>
      <c r="F1698" s="468">
        <f t="shared" si="214"/>
        <v>0</v>
      </c>
      <c r="G1698" s="167"/>
      <c r="H1698" s="168"/>
      <c r="I1698" s="224"/>
      <c r="J1698" s="168"/>
      <c r="K1698" s="167"/>
      <c r="L1698" s="482"/>
      <c r="M1698" s="166">
        <v>100000</v>
      </c>
      <c r="N1698" s="167"/>
      <c r="O1698" s="442">
        <f t="shared" si="219"/>
        <v>0</v>
      </c>
      <c r="P1698" s="167"/>
      <c r="Q1698" s="167"/>
      <c r="R1698" s="369"/>
    </row>
    <row r="1699" spans="1:18" s="11" customFormat="1" ht="24">
      <c r="A1699" s="164"/>
      <c r="B1699" s="233" t="s">
        <v>215</v>
      </c>
      <c r="C1699" s="166">
        <v>72000</v>
      </c>
      <c r="D1699" s="167">
        <f t="shared" si="218"/>
        <v>72000</v>
      </c>
      <c r="E1699" s="167">
        <f t="shared" si="221"/>
        <v>0</v>
      </c>
      <c r="F1699" s="468">
        <f t="shared" si="214"/>
        <v>0</v>
      </c>
      <c r="G1699" s="167"/>
      <c r="H1699" s="168"/>
      <c r="I1699" s="224"/>
      <c r="J1699" s="168"/>
      <c r="K1699" s="167"/>
      <c r="L1699" s="482"/>
      <c r="M1699" s="166">
        <v>72000</v>
      </c>
      <c r="N1699" s="167"/>
      <c r="O1699" s="442">
        <f t="shared" si="219"/>
        <v>0</v>
      </c>
      <c r="P1699" s="167"/>
      <c r="Q1699" s="167"/>
      <c r="R1699" s="369"/>
    </row>
    <row r="1700" spans="1:18" s="11" customFormat="1" ht="24">
      <c r="A1700" s="164"/>
      <c r="B1700" s="233" t="s">
        <v>172</v>
      </c>
      <c r="C1700" s="166">
        <v>39000</v>
      </c>
      <c r="D1700" s="167">
        <f t="shared" si="218"/>
        <v>39000</v>
      </c>
      <c r="E1700" s="167">
        <f t="shared" si="221"/>
        <v>39000</v>
      </c>
      <c r="F1700" s="468">
        <f t="shared" si="214"/>
        <v>100</v>
      </c>
      <c r="G1700" s="167"/>
      <c r="H1700" s="168"/>
      <c r="I1700" s="224"/>
      <c r="J1700" s="168"/>
      <c r="K1700" s="167"/>
      <c r="L1700" s="482"/>
      <c r="M1700" s="166">
        <v>39000</v>
      </c>
      <c r="N1700" s="167">
        <v>39000</v>
      </c>
      <c r="O1700" s="442">
        <f t="shared" si="219"/>
        <v>100</v>
      </c>
      <c r="P1700" s="167"/>
      <c r="Q1700" s="167"/>
      <c r="R1700" s="369"/>
    </row>
    <row r="1701" spans="1:18" ht="26.25" customHeight="1">
      <c r="A1701" s="124">
        <v>4210</v>
      </c>
      <c r="B1701" s="128" t="s">
        <v>400</v>
      </c>
      <c r="C1701" s="88"/>
      <c r="D1701" s="74">
        <f t="shared" si="218"/>
        <v>2100</v>
      </c>
      <c r="E1701" s="89">
        <f t="shared" si="221"/>
        <v>0</v>
      </c>
      <c r="F1701" s="468">
        <f t="shared" si="214"/>
        <v>0</v>
      </c>
      <c r="G1701" s="89"/>
      <c r="H1701" s="175"/>
      <c r="I1701" s="224"/>
      <c r="J1701" s="126">
        <v>2100</v>
      </c>
      <c r="K1701" s="89"/>
      <c r="L1701" s="482">
        <f>K1701/J1701*100</f>
        <v>0</v>
      </c>
      <c r="M1701" s="126"/>
      <c r="N1701" s="89"/>
      <c r="O1701" s="442"/>
      <c r="P1701" s="89"/>
      <c r="Q1701" s="89"/>
      <c r="R1701" s="362"/>
    </row>
    <row r="1702" spans="1:18" ht="36">
      <c r="A1702" s="124">
        <v>6050</v>
      </c>
      <c r="B1702" s="206" t="s">
        <v>391</v>
      </c>
      <c r="C1702" s="160">
        <v>100000</v>
      </c>
      <c r="D1702" s="74">
        <f t="shared" si="218"/>
        <v>100000</v>
      </c>
      <c r="E1702" s="89">
        <f t="shared" si="221"/>
        <v>0</v>
      </c>
      <c r="F1702" s="468">
        <f t="shared" si="214"/>
        <v>0</v>
      </c>
      <c r="G1702" s="155"/>
      <c r="H1702" s="177"/>
      <c r="I1702" s="274"/>
      <c r="J1702" s="162"/>
      <c r="K1702" s="155"/>
      <c r="L1702" s="415"/>
      <c r="M1702" s="162">
        <v>100000</v>
      </c>
      <c r="N1702" s="155"/>
      <c r="O1702" s="442">
        <f t="shared" si="219"/>
        <v>0</v>
      </c>
      <c r="P1702" s="155"/>
      <c r="Q1702" s="155"/>
      <c r="R1702" s="366"/>
    </row>
    <row r="1703" spans="1:18" ht="28.5" customHeight="1">
      <c r="A1703" s="119">
        <v>92109</v>
      </c>
      <c r="B1703" s="185" t="s">
        <v>174</v>
      </c>
      <c r="C1703" s="121">
        <f>C1704</f>
        <v>2341800</v>
      </c>
      <c r="D1703" s="95">
        <f t="shared" si="218"/>
        <v>2676800</v>
      </c>
      <c r="E1703" s="84">
        <f>H1703+K1703+Q1703+N1703</f>
        <v>1789360</v>
      </c>
      <c r="F1703" s="467">
        <f t="shared" si="214"/>
        <v>66.84698147041243</v>
      </c>
      <c r="G1703" s="84">
        <f>G1704</f>
        <v>2676800</v>
      </c>
      <c r="H1703" s="84">
        <f>H1704</f>
        <v>1789360</v>
      </c>
      <c r="I1703" s="448">
        <f>H1703/G1703*100</f>
        <v>66.84698147041243</v>
      </c>
      <c r="J1703" s="123"/>
      <c r="K1703" s="84"/>
      <c r="L1703" s="417"/>
      <c r="M1703" s="84"/>
      <c r="N1703" s="84"/>
      <c r="O1703" s="316"/>
      <c r="P1703" s="84"/>
      <c r="Q1703" s="84"/>
      <c r="R1703" s="372"/>
    </row>
    <row r="1704" spans="1:18" s="11" customFormat="1" ht="24">
      <c r="A1704" s="583"/>
      <c r="B1704" s="584" t="s">
        <v>448</v>
      </c>
      <c r="C1704" s="585">
        <f>SUM(C1705:C1718)+C1734+C1731+C1732</f>
        <v>2341800</v>
      </c>
      <c r="D1704" s="586">
        <f t="shared" si="218"/>
        <v>2676800</v>
      </c>
      <c r="E1704" s="586">
        <f>H1704+K1704+Q1704+N1704</f>
        <v>1789360</v>
      </c>
      <c r="F1704" s="470">
        <f t="shared" si="214"/>
        <v>66.84698147041243</v>
      </c>
      <c r="G1704" s="586">
        <f>SUM(G1705:G1718)+G1731+G1732</f>
        <v>2676800</v>
      </c>
      <c r="H1704" s="586">
        <f>SUM(H1705:H1718)+H1731+H1732</f>
        <v>1789360</v>
      </c>
      <c r="I1704" s="464">
        <f>H1704/G1704*100</f>
        <v>66.84698147041243</v>
      </c>
      <c r="J1704" s="587"/>
      <c r="K1704" s="586"/>
      <c r="L1704" s="425"/>
      <c r="M1704" s="586"/>
      <c r="N1704" s="586"/>
      <c r="O1704" s="304"/>
      <c r="P1704" s="586"/>
      <c r="Q1704" s="586"/>
      <c r="R1704" s="588"/>
    </row>
    <row r="1705" spans="1:18" ht="40.5" customHeight="1" hidden="1">
      <c r="A1705" s="124">
        <v>3020</v>
      </c>
      <c r="B1705" s="128" t="s">
        <v>540</v>
      </c>
      <c r="C1705" s="88"/>
      <c r="D1705" s="74">
        <f t="shared" si="218"/>
        <v>0</v>
      </c>
      <c r="E1705" s="89">
        <f>SUM(H1705+K1705+N1705+Q1705)</f>
        <v>0</v>
      </c>
      <c r="F1705" s="468"/>
      <c r="G1705" s="182"/>
      <c r="H1705" s="183"/>
      <c r="I1705" s="442"/>
      <c r="J1705" s="183"/>
      <c r="K1705" s="182"/>
      <c r="L1705" s="403"/>
      <c r="M1705" s="88"/>
      <c r="N1705" s="89"/>
      <c r="O1705" s="224"/>
      <c r="P1705" s="89"/>
      <c r="Q1705" s="89"/>
      <c r="R1705" s="362"/>
    </row>
    <row r="1706" spans="1:18" ht="24.75" customHeight="1" hidden="1">
      <c r="A1706" s="124">
        <v>4010</v>
      </c>
      <c r="B1706" s="128" t="s">
        <v>492</v>
      </c>
      <c r="C1706" s="88"/>
      <c r="D1706" s="74">
        <f t="shared" si="218"/>
        <v>0</v>
      </c>
      <c r="E1706" s="89">
        <f aca="true" t="shared" si="222" ref="E1706:E1712">SUM(H1706+K1706+N1706+Q1706)</f>
        <v>0</v>
      </c>
      <c r="F1706" s="468"/>
      <c r="G1706" s="182"/>
      <c r="H1706" s="183"/>
      <c r="I1706" s="442"/>
      <c r="J1706" s="183"/>
      <c r="K1706" s="182"/>
      <c r="L1706" s="403"/>
      <c r="M1706" s="88"/>
      <c r="N1706" s="89"/>
      <c r="O1706" s="224"/>
      <c r="P1706" s="89"/>
      <c r="Q1706" s="89"/>
      <c r="R1706" s="362"/>
    </row>
    <row r="1707" spans="1:18" ht="27" customHeight="1" hidden="1">
      <c r="A1707" s="124">
        <v>4040</v>
      </c>
      <c r="B1707" s="128" t="s">
        <v>496</v>
      </c>
      <c r="C1707" s="88"/>
      <c r="D1707" s="74">
        <f t="shared" si="218"/>
        <v>0</v>
      </c>
      <c r="E1707" s="89">
        <f t="shared" si="222"/>
        <v>0</v>
      </c>
      <c r="F1707" s="468"/>
      <c r="G1707" s="182"/>
      <c r="H1707" s="183"/>
      <c r="I1707" s="442"/>
      <c r="J1707" s="183"/>
      <c r="K1707" s="182"/>
      <c r="L1707" s="403"/>
      <c r="M1707" s="88"/>
      <c r="N1707" s="89"/>
      <c r="O1707" s="224"/>
      <c r="P1707" s="89"/>
      <c r="Q1707" s="89"/>
      <c r="R1707" s="362"/>
    </row>
    <row r="1708" spans="1:18" ht="27" customHeight="1" hidden="1">
      <c r="A1708" s="124">
        <v>4110</v>
      </c>
      <c r="B1708" s="128" t="s">
        <v>498</v>
      </c>
      <c r="C1708" s="88"/>
      <c r="D1708" s="74">
        <f t="shared" si="218"/>
        <v>0</v>
      </c>
      <c r="E1708" s="89">
        <f t="shared" si="222"/>
        <v>0</v>
      </c>
      <c r="F1708" s="468"/>
      <c r="G1708" s="182"/>
      <c r="H1708" s="183"/>
      <c r="I1708" s="442"/>
      <c r="J1708" s="183"/>
      <c r="K1708" s="182"/>
      <c r="L1708" s="403"/>
      <c r="M1708" s="88"/>
      <c r="N1708" s="89"/>
      <c r="O1708" s="224"/>
      <c r="P1708" s="89"/>
      <c r="Q1708" s="89"/>
      <c r="R1708" s="362"/>
    </row>
    <row r="1709" spans="1:18" ht="19.5" customHeight="1" hidden="1">
      <c r="A1709" s="124">
        <v>4120</v>
      </c>
      <c r="B1709" s="128" t="s">
        <v>571</v>
      </c>
      <c r="C1709" s="88"/>
      <c r="D1709" s="74">
        <f t="shared" si="218"/>
        <v>0</v>
      </c>
      <c r="E1709" s="89">
        <f t="shared" si="222"/>
        <v>0</v>
      </c>
      <c r="F1709" s="468"/>
      <c r="G1709" s="182"/>
      <c r="H1709" s="183"/>
      <c r="I1709" s="442"/>
      <c r="J1709" s="183"/>
      <c r="K1709" s="182"/>
      <c r="L1709" s="403"/>
      <c r="M1709" s="88"/>
      <c r="N1709" s="89"/>
      <c r="O1709" s="224"/>
      <c r="P1709" s="89"/>
      <c r="Q1709" s="89"/>
      <c r="R1709" s="362"/>
    </row>
    <row r="1710" spans="1:18" ht="25.5" customHeight="1" hidden="1">
      <c r="A1710" s="124">
        <v>4210</v>
      </c>
      <c r="B1710" s="128" t="s">
        <v>502</v>
      </c>
      <c r="C1710" s="88"/>
      <c r="D1710" s="74">
        <f t="shared" si="218"/>
        <v>0</v>
      </c>
      <c r="E1710" s="89">
        <f t="shared" si="222"/>
        <v>0</v>
      </c>
      <c r="F1710" s="468"/>
      <c r="G1710" s="182"/>
      <c r="H1710" s="183"/>
      <c r="I1710" s="442"/>
      <c r="J1710" s="183"/>
      <c r="K1710" s="182"/>
      <c r="L1710" s="403"/>
      <c r="M1710" s="88"/>
      <c r="N1710" s="89"/>
      <c r="O1710" s="224"/>
      <c r="P1710" s="89"/>
      <c r="Q1710" s="89"/>
      <c r="R1710" s="362"/>
    </row>
    <row r="1711" spans="1:18" ht="38.25" customHeight="1" hidden="1">
      <c r="A1711" s="124">
        <v>4240</v>
      </c>
      <c r="B1711" s="128" t="s">
        <v>563</v>
      </c>
      <c r="C1711" s="88"/>
      <c r="D1711" s="74">
        <f t="shared" si="218"/>
        <v>0</v>
      </c>
      <c r="E1711" s="89">
        <f t="shared" si="222"/>
        <v>0</v>
      </c>
      <c r="F1711" s="468"/>
      <c r="G1711" s="182"/>
      <c r="H1711" s="183"/>
      <c r="I1711" s="442"/>
      <c r="J1711" s="183"/>
      <c r="K1711" s="182"/>
      <c r="L1711" s="403"/>
      <c r="M1711" s="88"/>
      <c r="N1711" s="89"/>
      <c r="O1711" s="224"/>
      <c r="P1711" s="89"/>
      <c r="Q1711" s="89"/>
      <c r="R1711" s="362"/>
    </row>
    <row r="1712" spans="1:18" ht="15" customHeight="1" hidden="1">
      <c r="A1712" s="124">
        <v>4260</v>
      </c>
      <c r="B1712" s="128" t="s">
        <v>506</v>
      </c>
      <c r="C1712" s="88"/>
      <c r="D1712" s="74">
        <f t="shared" si="218"/>
        <v>0</v>
      </c>
      <c r="E1712" s="89">
        <f t="shared" si="222"/>
        <v>0</v>
      </c>
      <c r="F1712" s="468"/>
      <c r="G1712" s="182"/>
      <c r="H1712" s="183"/>
      <c r="I1712" s="442"/>
      <c r="J1712" s="183"/>
      <c r="K1712" s="182"/>
      <c r="L1712" s="403"/>
      <c r="M1712" s="88"/>
      <c r="N1712" s="89"/>
      <c r="O1712" s="224"/>
      <c r="P1712" s="89"/>
      <c r="Q1712" s="89"/>
      <c r="R1712" s="362"/>
    </row>
    <row r="1713" spans="1:18" ht="21" customHeight="1" hidden="1">
      <c r="A1713" s="124">
        <v>4300</v>
      </c>
      <c r="B1713" s="128" t="s">
        <v>510</v>
      </c>
      <c r="C1713" s="88"/>
      <c r="D1713" s="74">
        <f t="shared" si="218"/>
        <v>0</v>
      </c>
      <c r="E1713" s="89">
        <f>SUM(H1713+K1713+N1713+Q1713)</f>
        <v>0</v>
      </c>
      <c r="F1713" s="468"/>
      <c r="G1713" s="182"/>
      <c r="H1713" s="183"/>
      <c r="I1713" s="442"/>
      <c r="J1713" s="183"/>
      <c r="K1713" s="182"/>
      <c r="L1713" s="403"/>
      <c r="M1713" s="88"/>
      <c r="N1713" s="89"/>
      <c r="O1713" s="224"/>
      <c r="P1713" s="89"/>
      <c r="Q1713" s="89"/>
      <c r="R1713" s="362"/>
    </row>
    <row r="1714" spans="1:18" ht="15.75" customHeight="1" hidden="1">
      <c r="A1714" s="124">
        <v>4410</v>
      </c>
      <c r="B1714" s="128" t="s">
        <v>484</v>
      </c>
      <c r="C1714" s="88"/>
      <c r="D1714" s="74">
        <f t="shared" si="218"/>
        <v>0</v>
      </c>
      <c r="E1714" s="89">
        <f>SUM(H1714+K1714+N1714+Q1714)</f>
        <v>0</v>
      </c>
      <c r="F1714" s="468"/>
      <c r="G1714" s="182"/>
      <c r="H1714" s="183"/>
      <c r="I1714" s="442"/>
      <c r="J1714" s="183"/>
      <c r="K1714" s="182"/>
      <c r="L1714" s="403"/>
      <c r="M1714" s="88"/>
      <c r="N1714" s="89"/>
      <c r="O1714" s="224"/>
      <c r="P1714" s="89"/>
      <c r="Q1714" s="89"/>
      <c r="R1714" s="362"/>
    </row>
    <row r="1715" spans="1:18" ht="15.75" customHeight="1" hidden="1">
      <c r="A1715" s="124">
        <v>4430</v>
      </c>
      <c r="B1715" s="128" t="s">
        <v>512</v>
      </c>
      <c r="C1715" s="88"/>
      <c r="D1715" s="74">
        <f t="shared" si="218"/>
        <v>0</v>
      </c>
      <c r="E1715" s="89">
        <f>SUM(H1715+K1715+N1715+Q1715)</f>
        <v>0</v>
      </c>
      <c r="F1715" s="468"/>
      <c r="G1715" s="182"/>
      <c r="H1715" s="183"/>
      <c r="I1715" s="442"/>
      <c r="J1715" s="183"/>
      <c r="K1715" s="182"/>
      <c r="L1715" s="403"/>
      <c r="M1715" s="88"/>
      <c r="N1715" s="89"/>
      <c r="O1715" s="224"/>
      <c r="P1715" s="89"/>
      <c r="Q1715" s="89"/>
      <c r="R1715" s="362"/>
    </row>
    <row r="1716" spans="1:18" ht="18" customHeight="1" hidden="1">
      <c r="A1716" s="124">
        <v>4440</v>
      </c>
      <c r="B1716" s="128" t="s">
        <v>514</v>
      </c>
      <c r="C1716" s="88"/>
      <c r="D1716" s="74">
        <f t="shared" si="218"/>
        <v>0</v>
      </c>
      <c r="E1716" s="89">
        <f>SUM(H1716+K1716+N1716+Q1716)</f>
        <v>0</v>
      </c>
      <c r="F1716" s="468"/>
      <c r="G1716" s="182"/>
      <c r="H1716" s="183"/>
      <c r="I1716" s="442"/>
      <c r="J1716" s="183"/>
      <c r="K1716" s="182"/>
      <c r="L1716" s="403"/>
      <c r="M1716" s="88"/>
      <c r="N1716" s="89"/>
      <c r="O1716" s="224"/>
      <c r="P1716" s="89"/>
      <c r="Q1716" s="89"/>
      <c r="R1716" s="362"/>
    </row>
    <row r="1717" spans="1:18" ht="19.5" customHeight="1" hidden="1">
      <c r="A1717" s="124">
        <v>4480</v>
      </c>
      <c r="B1717" s="128" t="s">
        <v>516</v>
      </c>
      <c r="C1717" s="88"/>
      <c r="D1717" s="74"/>
      <c r="E1717" s="89"/>
      <c r="F1717" s="468"/>
      <c r="G1717" s="181"/>
      <c r="H1717" s="182"/>
      <c r="I1717" s="442"/>
      <c r="J1717" s="183"/>
      <c r="K1717" s="182"/>
      <c r="L1717" s="403"/>
      <c r="M1717" s="88"/>
      <c r="N1717" s="89"/>
      <c r="O1717" s="224"/>
      <c r="P1717" s="89"/>
      <c r="Q1717" s="89"/>
      <c r="R1717" s="362"/>
    </row>
    <row r="1718" spans="1:18" s="212" customFormat="1" ht="48">
      <c r="A1718" s="124">
        <v>2480</v>
      </c>
      <c r="B1718" s="291" t="s">
        <v>166</v>
      </c>
      <c r="C1718" s="88">
        <f>SUM(C1719:C1734)</f>
        <v>2341800</v>
      </c>
      <c r="D1718" s="74">
        <f aca="true" t="shared" si="223" ref="D1718:E1736">G1718+J1718+P1718+M1718</f>
        <v>2676800</v>
      </c>
      <c r="E1718" s="89">
        <f t="shared" si="223"/>
        <v>1789360</v>
      </c>
      <c r="F1718" s="468">
        <f>E1718/D1718*100</f>
        <v>66.84698147041243</v>
      </c>
      <c r="G1718" s="88">
        <f>SUM(G1719:G1730)</f>
        <v>2676800</v>
      </c>
      <c r="H1718" s="89">
        <f>SUM(H1719:H1730)</f>
        <v>1789360</v>
      </c>
      <c r="I1718" s="442">
        <f>H1718/G1718*100</f>
        <v>66.84698147041243</v>
      </c>
      <c r="J1718" s="126"/>
      <c r="K1718" s="89"/>
      <c r="L1718" s="391"/>
      <c r="M1718" s="89"/>
      <c r="N1718" s="89"/>
      <c r="O1718" s="368"/>
      <c r="P1718" s="89"/>
      <c r="Q1718" s="89"/>
      <c r="R1718" s="362"/>
    </row>
    <row r="1719" spans="1:18" s="11" customFormat="1" ht="12.75">
      <c r="A1719" s="164"/>
      <c r="B1719" s="233" t="s">
        <v>167</v>
      </c>
      <c r="C1719" s="166">
        <v>1587800</v>
      </c>
      <c r="D1719" s="167">
        <f t="shared" si="223"/>
        <v>1587800</v>
      </c>
      <c r="E1719" s="167">
        <f t="shared" si="223"/>
        <v>926213</v>
      </c>
      <c r="F1719" s="468">
        <f aca="true" t="shared" si="224" ref="F1719:F1730">E1719/D1719*100</f>
        <v>58.33310240584456</v>
      </c>
      <c r="G1719" s="166">
        <v>1587800</v>
      </c>
      <c r="H1719" s="167">
        <f>132317+132316+132316+132316+132316+132316+132316</f>
        <v>926213</v>
      </c>
      <c r="I1719" s="442">
        <f aca="true" t="shared" si="225" ref="I1719:I1730">H1719/G1719*100</f>
        <v>58.33310240584456</v>
      </c>
      <c r="J1719" s="168"/>
      <c r="K1719" s="167"/>
      <c r="L1719" s="391"/>
      <c r="M1719" s="167"/>
      <c r="N1719" s="167"/>
      <c r="O1719" s="391"/>
      <c r="P1719" s="167"/>
      <c r="Q1719" s="167"/>
      <c r="R1719" s="369"/>
    </row>
    <row r="1720" spans="1:18" s="11" customFormat="1" ht="12.75">
      <c r="A1720" s="164"/>
      <c r="B1720" s="233" t="s">
        <v>175</v>
      </c>
      <c r="C1720" s="166">
        <v>532000</v>
      </c>
      <c r="D1720" s="167">
        <f t="shared" si="223"/>
        <v>532000</v>
      </c>
      <c r="E1720" s="167">
        <f t="shared" si="223"/>
        <v>487147</v>
      </c>
      <c r="F1720" s="468">
        <f t="shared" si="224"/>
        <v>91.56898496240602</v>
      </c>
      <c r="G1720" s="166">
        <v>532000</v>
      </c>
      <c r="H1720" s="167">
        <f>44333+26407+26407+80000-80000+150000+150000-110000+80000+120000</f>
        <v>487147</v>
      </c>
      <c r="I1720" s="442">
        <f t="shared" si="225"/>
        <v>91.56898496240602</v>
      </c>
      <c r="J1720" s="168"/>
      <c r="K1720" s="167"/>
      <c r="L1720" s="391"/>
      <c r="M1720" s="167"/>
      <c r="N1720" s="167"/>
      <c r="O1720" s="391"/>
      <c r="P1720" s="167"/>
      <c r="Q1720" s="167"/>
      <c r="R1720" s="369"/>
    </row>
    <row r="1721" spans="1:18" s="11" customFormat="1" ht="36">
      <c r="A1721" s="164"/>
      <c r="B1721" s="233" t="s">
        <v>390</v>
      </c>
      <c r="C1721" s="166">
        <v>100000</v>
      </c>
      <c r="D1721" s="167">
        <f t="shared" si="223"/>
        <v>100000</v>
      </c>
      <c r="E1721" s="167">
        <f t="shared" si="223"/>
        <v>0</v>
      </c>
      <c r="F1721" s="468">
        <f t="shared" si="224"/>
        <v>0</v>
      </c>
      <c r="G1721" s="166">
        <v>100000</v>
      </c>
      <c r="H1721" s="167"/>
      <c r="I1721" s="442">
        <f t="shared" si="225"/>
        <v>0</v>
      </c>
      <c r="J1721" s="168"/>
      <c r="K1721" s="167"/>
      <c r="L1721" s="391"/>
      <c r="M1721" s="167"/>
      <c r="N1721" s="167"/>
      <c r="O1721" s="391"/>
      <c r="P1721" s="167"/>
      <c r="Q1721" s="167"/>
      <c r="R1721" s="369"/>
    </row>
    <row r="1722" spans="1:18" s="11" customFormat="1" ht="24">
      <c r="A1722" s="164"/>
      <c r="B1722" s="233" t="s">
        <v>413</v>
      </c>
      <c r="C1722" s="166"/>
      <c r="D1722" s="167">
        <f t="shared" si="223"/>
        <v>100000</v>
      </c>
      <c r="E1722" s="167">
        <f t="shared" si="223"/>
        <v>100000</v>
      </c>
      <c r="F1722" s="468">
        <f t="shared" si="224"/>
        <v>100</v>
      </c>
      <c r="G1722" s="166">
        <v>100000</v>
      </c>
      <c r="H1722" s="167">
        <f>80000-80000+100000</f>
        <v>100000</v>
      </c>
      <c r="I1722" s="442">
        <f t="shared" si="225"/>
        <v>100</v>
      </c>
      <c r="J1722" s="168"/>
      <c r="K1722" s="167"/>
      <c r="L1722" s="391"/>
      <c r="M1722" s="167"/>
      <c r="N1722" s="167"/>
      <c r="O1722" s="391"/>
      <c r="P1722" s="167"/>
      <c r="Q1722" s="167"/>
      <c r="R1722" s="369"/>
    </row>
    <row r="1723" spans="1:18" s="11" customFormat="1" ht="12.75">
      <c r="A1723" s="164"/>
      <c r="B1723" s="233" t="s">
        <v>322</v>
      </c>
      <c r="C1723" s="166">
        <v>62000</v>
      </c>
      <c r="D1723" s="167">
        <f t="shared" si="223"/>
        <v>62000</v>
      </c>
      <c r="E1723" s="167">
        <f t="shared" si="223"/>
        <v>31000</v>
      </c>
      <c r="F1723" s="468">
        <f t="shared" si="224"/>
        <v>50</v>
      </c>
      <c r="G1723" s="166">
        <v>62000</v>
      </c>
      <c r="H1723" s="167">
        <v>31000</v>
      </c>
      <c r="I1723" s="442">
        <f t="shared" si="225"/>
        <v>50</v>
      </c>
      <c r="J1723" s="168"/>
      <c r="K1723" s="167"/>
      <c r="L1723" s="391"/>
      <c r="M1723" s="167"/>
      <c r="N1723" s="167"/>
      <c r="O1723" s="391"/>
      <c r="P1723" s="167"/>
      <c r="Q1723" s="167"/>
      <c r="R1723" s="369"/>
    </row>
    <row r="1724" spans="1:18" s="11" customFormat="1" ht="24">
      <c r="A1724" s="164"/>
      <c r="B1724" s="233" t="s">
        <v>392</v>
      </c>
      <c r="C1724" s="166">
        <v>15000</v>
      </c>
      <c r="D1724" s="167">
        <f t="shared" si="223"/>
        <v>15000</v>
      </c>
      <c r="E1724" s="167">
        <f t="shared" si="223"/>
        <v>15000</v>
      </c>
      <c r="F1724" s="468">
        <f t="shared" si="224"/>
        <v>100</v>
      </c>
      <c r="G1724" s="166">
        <v>15000</v>
      </c>
      <c r="H1724" s="167">
        <v>15000</v>
      </c>
      <c r="I1724" s="442">
        <f t="shared" si="225"/>
        <v>100</v>
      </c>
      <c r="J1724" s="168"/>
      <c r="K1724" s="167"/>
      <c r="L1724" s="391"/>
      <c r="M1724" s="167"/>
      <c r="N1724" s="167"/>
      <c r="O1724" s="391"/>
      <c r="P1724" s="167"/>
      <c r="Q1724" s="167"/>
      <c r="R1724" s="369"/>
    </row>
    <row r="1725" spans="1:18" s="11" customFormat="1" ht="12.75">
      <c r="A1725" s="164"/>
      <c r="B1725" s="233" t="s">
        <v>393</v>
      </c>
      <c r="C1725" s="166">
        <v>45000</v>
      </c>
      <c r="D1725" s="167">
        <f t="shared" si="223"/>
        <v>45000</v>
      </c>
      <c r="E1725" s="167">
        <f t="shared" si="223"/>
        <v>45000</v>
      </c>
      <c r="F1725" s="468">
        <f t="shared" si="224"/>
        <v>100</v>
      </c>
      <c r="G1725" s="166">
        <v>45000</v>
      </c>
      <c r="H1725" s="167">
        <v>45000</v>
      </c>
      <c r="I1725" s="442">
        <f t="shared" si="225"/>
        <v>100</v>
      </c>
      <c r="J1725" s="168"/>
      <c r="K1725" s="167"/>
      <c r="L1725" s="391"/>
      <c r="M1725" s="167"/>
      <c r="N1725" s="167"/>
      <c r="O1725" s="391"/>
      <c r="P1725" s="167"/>
      <c r="Q1725" s="167"/>
      <c r="R1725" s="369"/>
    </row>
    <row r="1726" spans="1:18" s="11" customFormat="1" ht="72">
      <c r="A1726" s="164"/>
      <c r="B1726" s="233" t="s">
        <v>418</v>
      </c>
      <c r="C1726" s="166"/>
      <c r="D1726" s="167">
        <f t="shared" si="223"/>
        <v>30000</v>
      </c>
      <c r="E1726" s="167">
        <f>H1726+K1726+Q1726+N1726</f>
        <v>30000</v>
      </c>
      <c r="F1726" s="468">
        <f>E1726/D1726*100</f>
        <v>100</v>
      </c>
      <c r="G1726" s="166">
        <v>30000</v>
      </c>
      <c r="H1726" s="167">
        <v>30000</v>
      </c>
      <c r="I1726" s="442">
        <f t="shared" si="225"/>
        <v>100</v>
      </c>
      <c r="J1726" s="168"/>
      <c r="K1726" s="167"/>
      <c r="L1726" s="391"/>
      <c r="M1726" s="167"/>
      <c r="N1726" s="167"/>
      <c r="O1726" s="391"/>
      <c r="P1726" s="167"/>
      <c r="Q1726" s="167"/>
      <c r="R1726" s="369"/>
    </row>
    <row r="1727" spans="1:18" s="11" customFormat="1" ht="24">
      <c r="A1727" s="164"/>
      <c r="B1727" s="233" t="s">
        <v>417</v>
      </c>
      <c r="C1727" s="166"/>
      <c r="D1727" s="167">
        <f>G1727+J1727+P1727+M1727</f>
        <v>110000</v>
      </c>
      <c r="E1727" s="167">
        <f>H1727+K1727+Q1727+N1727</f>
        <v>110000</v>
      </c>
      <c r="F1727" s="468">
        <f>E1727/D1727*100</f>
        <v>100</v>
      </c>
      <c r="G1727" s="166">
        <v>110000</v>
      </c>
      <c r="H1727" s="167">
        <v>110000</v>
      </c>
      <c r="I1727" s="442">
        <f t="shared" si="225"/>
        <v>100</v>
      </c>
      <c r="J1727" s="168"/>
      <c r="K1727" s="167"/>
      <c r="L1727" s="391"/>
      <c r="M1727" s="167"/>
      <c r="N1727" s="167"/>
      <c r="O1727" s="391"/>
      <c r="P1727" s="167"/>
      <c r="Q1727" s="167"/>
      <c r="R1727" s="369"/>
    </row>
    <row r="1728" spans="1:18" s="11" customFormat="1" ht="12.75">
      <c r="A1728" s="164"/>
      <c r="B1728" s="233" t="s">
        <v>416</v>
      </c>
      <c r="C1728" s="166"/>
      <c r="D1728" s="167">
        <f>G1728+J1728+P1728+M1728</f>
        <v>45000</v>
      </c>
      <c r="E1728" s="167">
        <f>H1728+K1728+Q1728+N1728</f>
        <v>45000</v>
      </c>
      <c r="F1728" s="468">
        <f>E1728/D1728*100</f>
        <v>100</v>
      </c>
      <c r="G1728" s="166">
        <v>45000</v>
      </c>
      <c r="H1728" s="167">
        <v>45000</v>
      </c>
      <c r="I1728" s="442">
        <f t="shared" si="225"/>
        <v>100</v>
      </c>
      <c r="J1728" s="168"/>
      <c r="K1728" s="167"/>
      <c r="L1728" s="391"/>
      <c r="M1728" s="167"/>
      <c r="N1728" s="167"/>
      <c r="O1728" s="391"/>
      <c r="P1728" s="167"/>
      <c r="Q1728" s="167"/>
      <c r="R1728" s="369"/>
    </row>
    <row r="1729" spans="1:18" s="11" customFormat="1" ht="12.75">
      <c r="A1729" s="164"/>
      <c r="B1729" s="233" t="s">
        <v>414</v>
      </c>
      <c r="C1729" s="166"/>
      <c r="D1729" s="167">
        <f>G1729+J1729+P1729+M1729</f>
        <v>15000</v>
      </c>
      <c r="E1729" s="167">
        <f>H1729+K1729+Q1729+N1729</f>
        <v>0</v>
      </c>
      <c r="F1729" s="468">
        <f>E1729/D1729*100</f>
        <v>0</v>
      </c>
      <c r="G1729" s="166">
        <v>15000</v>
      </c>
      <c r="H1729" s="167"/>
      <c r="I1729" s="442">
        <f t="shared" si="225"/>
        <v>0</v>
      </c>
      <c r="J1729" s="168"/>
      <c r="K1729" s="167"/>
      <c r="L1729" s="391"/>
      <c r="M1729" s="167"/>
      <c r="N1729" s="167"/>
      <c r="O1729" s="391"/>
      <c r="P1729" s="167"/>
      <c r="Q1729" s="167"/>
      <c r="R1729" s="369"/>
    </row>
    <row r="1730" spans="1:18" s="11" customFormat="1" ht="24">
      <c r="A1730" s="443"/>
      <c r="B1730" s="444" t="s">
        <v>415</v>
      </c>
      <c r="C1730" s="445"/>
      <c r="D1730" s="446">
        <f t="shared" si="223"/>
        <v>35000</v>
      </c>
      <c r="E1730" s="446">
        <f t="shared" si="223"/>
        <v>0</v>
      </c>
      <c r="F1730" s="469">
        <f t="shared" si="224"/>
        <v>0</v>
      </c>
      <c r="G1730" s="445">
        <v>35000</v>
      </c>
      <c r="H1730" s="446"/>
      <c r="I1730" s="462">
        <f t="shared" si="225"/>
        <v>0</v>
      </c>
      <c r="J1730" s="447"/>
      <c r="K1730" s="446"/>
      <c r="L1730" s="415"/>
      <c r="M1730" s="446"/>
      <c r="N1730" s="446"/>
      <c r="O1730" s="415"/>
      <c r="P1730" s="446"/>
      <c r="Q1730" s="446"/>
      <c r="R1730" s="431"/>
    </row>
    <row r="1731" spans="1:18" s="212" customFormat="1" ht="36" hidden="1">
      <c r="A1731" s="124">
        <v>6050</v>
      </c>
      <c r="B1731" s="128" t="s">
        <v>216</v>
      </c>
      <c r="C1731" s="88"/>
      <c r="D1731" s="74">
        <f t="shared" si="223"/>
        <v>0</v>
      </c>
      <c r="E1731" s="74">
        <f t="shared" si="223"/>
        <v>0</v>
      </c>
      <c r="F1731" s="468"/>
      <c r="G1731" s="88"/>
      <c r="H1731" s="89"/>
      <c r="I1731" s="442"/>
      <c r="J1731" s="126"/>
      <c r="K1731" s="89"/>
      <c r="L1731" s="391"/>
      <c r="M1731" s="89"/>
      <c r="N1731" s="89"/>
      <c r="O1731" s="368"/>
      <c r="P1731" s="89"/>
      <c r="Q1731" s="89"/>
      <c r="R1731" s="362"/>
    </row>
    <row r="1732" spans="1:18" ht="96" hidden="1">
      <c r="A1732" s="124">
        <v>6220</v>
      </c>
      <c r="B1732" s="128" t="s">
        <v>232</v>
      </c>
      <c r="C1732" s="88"/>
      <c r="D1732" s="74">
        <f t="shared" si="223"/>
        <v>0</v>
      </c>
      <c r="E1732" s="89">
        <f>SUM(H1732+K1732+N1732+Q1732)</f>
        <v>0</v>
      </c>
      <c r="F1732" s="468" t="e">
        <f>E1732/D1732*100</f>
        <v>#DIV/0!</v>
      </c>
      <c r="G1732" s="88"/>
      <c r="H1732" s="89"/>
      <c r="I1732" s="442" t="e">
        <f>H1732/G1732*100</f>
        <v>#DIV/0!</v>
      </c>
      <c r="J1732" s="126"/>
      <c r="K1732" s="89"/>
      <c r="L1732" s="391"/>
      <c r="M1732" s="89"/>
      <c r="N1732" s="89"/>
      <c r="O1732" s="368"/>
      <c r="P1732" s="89"/>
      <c r="Q1732" s="89"/>
      <c r="R1732" s="362"/>
    </row>
    <row r="1733" spans="1:18" s="11" customFormat="1" ht="25.5" customHeight="1" hidden="1">
      <c r="A1733" s="164"/>
      <c r="B1733" s="233" t="s">
        <v>176</v>
      </c>
      <c r="C1733" s="234"/>
      <c r="D1733" s="236">
        <f t="shared" si="223"/>
        <v>0</v>
      </c>
      <c r="E1733" s="236">
        <f>SUM(H1733+K1733+N1733+Q1733)</f>
        <v>0</v>
      </c>
      <c r="F1733" s="468" t="e">
        <f>E1733/D1733*100</f>
        <v>#DIV/0!</v>
      </c>
      <c r="G1733" s="234"/>
      <c r="H1733" s="236"/>
      <c r="I1733" s="442" t="e">
        <f>H1733/G1733*100</f>
        <v>#DIV/0!</v>
      </c>
      <c r="J1733" s="237"/>
      <c r="K1733" s="236"/>
      <c r="L1733" s="391"/>
      <c r="M1733" s="236"/>
      <c r="N1733" s="236"/>
      <c r="O1733" s="391"/>
      <c r="P1733" s="236"/>
      <c r="Q1733" s="236"/>
      <c r="R1733" s="369"/>
    </row>
    <row r="1734" spans="1:18" s="12" customFormat="1" ht="41.25" customHeight="1" hidden="1">
      <c r="A1734" s="197">
        <v>6050</v>
      </c>
      <c r="B1734" s="258" t="s">
        <v>177</v>
      </c>
      <c r="C1734" s="321"/>
      <c r="D1734" s="322">
        <f t="shared" si="223"/>
        <v>0</v>
      </c>
      <c r="E1734" s="322">
        <f>SUM(H1734+K1734+N1734+Q1734)</f>
        <v>0</v>
      </c>
      <c r="F1734" s="469"/>
      <c r="G1734" s="176"/>
      <c r="H1734" s="161"/>
      <c r="I1734" s="498"/>
      <c r="J1734" s="177"/>
      <c r="K1734" s="161"/>
      <c r="L1734" s="415"/>
      <c r="M1734" s="321"/>
      <c r="N1734" s="161"/>
      <c r="O1734" s="274"/>
      <c r="P1734" s="161"/>
      <c r="Q1734" s="161"/>
      <c r="R1734" s="366"/>
    </row>
    <row r="1735" spans="1:18" ht="18" customHeight="1">
      <c r="A1735" s="119">
        <v>92116</v>
      </c>
      <c r="B1735" s="185" t="s">
        <v>178</v>
      </c>
      <c r="C1735" s="121">
        <f>SUM(C1736)</f>
        <v>3757200</v>
      </c>
      <c r="D1735" s="95">
        <f t="shared" si="223"/>
        <v>3877200</v>
      </c>
      <c r="E1735" s="84">
        <f>H1735+K1735+Q1735+N1735</f>
        <v>1913872</v>
      </c>
      <c r="F1735" s="467">
        <f aca="true" t="shared" si="226" ref="F1735:F1798">E1735/D1735*100</f>
        <v>49.36222015887754</v>
      </c>
      <c r="G1735" s="121">
        <f>G1736+G1748</f>
        <v>1266800</v>
      </c>
      <c r="H1735" s="84">
        <f>H1736+H1748</f>
        <v>643724</v>
      </c>
      <c r="I1735" s="448">
        <f aca="true" t="shared" si="227" ref="I1735:I1744">H1735/G1735*100</f>
        <v>50.8149668455952</v>
      </c>
      <c r="J1735" s="123"/>
      <c r="K1735" s="84"/>
      <c r="L1735" s="417"/>
      <c r="M1735" s="84">
        <f>SUM(M1736)+M1748</f>
        <v>2610400</v>
      </c>
      <c r="N1735" s="84">
        <f>SUM(N1736)+N1748</f>
        <v>1270148</v>
      </c>
      <c r="O1735" s="448">
        <f aca="true" t="shared" si="228" ref="O1735:O1766">N1735/M1735*100</f>
        <v>48.65721728470733</v>
      </c>
      <c r="P1735" s="84"/>
      <c r="Q1735" s="84"/>
      <c r="R1735" s="372"/>
    </row>
    <row r="1736" spans="1:18" s="118" customFormat="1" ht="48">
      <c r="A1736" s="108">
        <v>2480</v>
      </c>
      <c r="B1736" s="199" t="s">
        <v>166</v>
      </c>
      <c r="C1736" s="90">
        <f>SUM(C1737:C1747)</f>
        <v>3757200</v>
      </c>
      <c r="D1736" s="103">
        <f t="shared" si="223"/>
        <v>3877200</v>
      </c>
      <c r="E1736" s="104">
        <f>SUM(H1736+K1736+N1736+Q1736)</f>
        <v>1913872</v>
      </c>
      <c r="F1736" s="470">
        <f t="shared" si="226"/>
        <v>49.36222015887754</v>
      </c>
      <c r="G1736" s="90">
        <f>SUM(G1737:G1741)</f>
        <v>1266800</v>
      </c>
      <c r="H1736" s="104">
        <f>SUM(H1737:H1747)</f>
        <v>643724</v>
      </c>
      <c r="I1736" s="464">
        <f t="shared" si="227"/>
        <v>50.8149668455952</v>
      </c>
      <c r="J1736" s="200"/>
      <c r="K1736" s="104"/>
      <c r="L1736" s="414"/>
      <c r="M1736" s="104">
        <f>SUM(M1737:M1747)</f>
        <v>2610400</v>
      </c>
      <c r="N1736" s="104">
        <f>SUM(N1737:N1747)</f>
        <v>1270148</v>
      </c>
      <c r="O1736" s="464">
        <f t="shared" si="228"/>
        <v>48.65721728470733</v>
      </c>
      <c r="P1736" s="104"/>
      <c r="Q1736" s="104"/>
      <c r="R1736" s="365"/>
    </row>
    <row r="1737" spans="1:18" s="279" customFormat="1" ht="12.75">
      <c r="A1737" s="164"/>
      <c r="B1737" s="233" t="s">
        <v>167</v>
      </c>
      <c r="C1737" s="166">
        <f>2319100+1176800</f>
        <v>3495900</v>
      </c>
      <c r="D1737" s="167">
        <f aca="true" t="shared" si="229" ref="D1737:D1813">G1737+J1737+P1737+M1737</f>
        <v>3567900</v>
      </c>
      <c r="E1737" s="167">
        <f aca="true" t="shared" si="230" ref="E1737:E1747">SUM(H1737+K1737+N1737+Q1737)</f>
        <v>1785272</v>
      </c>
      <c r="F1737" s="468">
        <f t="shared" si="226"/>
        <v>50.03705260797668</v>
      </c>
      <c r="G1737" s="324">
        <f>1100800+76000+72000</f>
        <v>1248800</v>
      </c>
      <c r="H1737" s="167">
        <f>98066+98066+98066+98066+11250-11250+98066+98066+37328</f>
        <v>625724</v>
      </c>
      <c r="I1737" s="442">
        <f t="shared" si="227"/>
        <v>50.10602178090967</v>
      </c>
      <c r="J1737" s="168"/>
      <c r="K1737" s="167"/>
      <c r="L1737" s="391"/>
      <c r="M1737" s="167">
        <v>2319100</v>
      </c>
      <c r="N1737" s="167">
        <f>193258+193258+193258+193258+193258+193258</f>
        <v>1159548</v>
      </c>
      <c r="O1737" s="442">
        <f t="shared" si="228"/>
        <v>49.99991375964814</v>
      </c>
      <c r="P1737" s="167"/>
      <c r="Q1737" s="167"/>
      <c r="R1737" s="369"/>
    </row>
    <row r="1738" spans="1:18" s="279" customFormat="1" ht="12.75">
      <c r="A1738" s="164"/>
      <c r="B1738" s="233" t="s">
        <v>168</v>
      </c>
      <c r="C1738" s="166"/>
      <c r="D1738" s="167">
        <f>G1738+J1738+P1738+M1738</f>
        <v>30000</v>
      </c>
      <c r="E1738" s="167">
        <f>SUM(H1738+K1738+N1738+Q1738)</f>
        <v>30000</v>
      </c>
      <c r="F1738" s="468">
        <f>E1738/D1738*100</f>
        <v>100</v>
      </c>
      <c r="G1738" s="324"/>
      <c r="H1738" s="167"/>
      <c r="I1738" s="442"/>
      <c r="J1738" s="168"/>
      <c r="K1738" s="167"/>
      <c r="L1738" s="391"/>
      <c r="M1738" s="167">
        <v>30000</v>
      </c>
      <c r="N1738" s="167">
        <v>30000</v>
      </c>
      <c r="O1738" s="442">
        <f t="shared" si="228"/>
        <v>100</v>
      </c>
      <c r="P1738" s="167"/>
      <c r="Q1738" s="167"/>
      <c r="R1738" s="369"/>
    </row>
    <row r="1739" spans="1:18" s="279" customFormat="1" ht="24">
      <c r="A1739" s="164"/>
      <c r="B1739" s="233" t="s">
        <v>419</v>
      </c>
      <c r="C1739" s="166"/>
      <c r="D1739" s="167">
        <f>G1739+J1739+P1739+M1739</f>
        <v>18000</v>
      </c>
      <c r="E1739" s="167">
        <f>SUM(H1739+K1739+N1739+Q1739)</f>
        <v>18000</v>
      </c>
      <c r="F1739" s="468">
        <f>E1739/D1739*100</f>
        <v>100</v>
      </c>
      <c r="G1739" s="324">
        <v>18000</v>
      </c>
      <c r="H1739" s="167">
        <v>18000</v>
      </c>
      <c r="I1739" s="442">
        <f t="shared" si="227"/>
        <v>100</v>
      </c>
      <c r="J1739" s="168"/>
      <c r="K1739" s="167"/>
      <c r="L1739" s="391"/>
      <c r="M1739" s="167"/>
      <c r="N1739" s="167"/>
      <c r="O1739" s="442"/>
      <c r="P1739" s="167"/>
      <c r="Q1739" s="167"/>
      <c r="R1739" s="369"/>
    </row>
    <row r="1740" spans="1:18" s="279" customFormat="1" ht="36">
      <c r="A1740" s="164"/>
      <c r="B1740" s="233" t="s">
        <v>390</v>
      </c>
      <c r="C1740" s="166">
        <v>100000</v>
      </c>
      <c r="D1740" s="167">
        <f t="shared" si="229"/>
        <v>100000</v>
      </c>
      <c r="E1740" s="167">
        <f t="shared" si="230"/>
        <v>0</v>
      </c>
      <c r="F1740" s="468">
        <f t="shared" si="226"/>
        <v>0</v>
      </c>
      <c r="G1740" s="324"/>
      <c r="H1740" s="167"/>
      <c r="I1740" s="442"/>
      <c r="J1740" s="168"/>
      <c r="K1740" s="167"/>
      <c r="L1740" s="391"/>
      <c r="M1740" s="167">
        <v>100000</v>
      </c>
      <c r="N1740" s="167"/>
      <c r="O1740" s="442">
        <f t="shared" si="228"/>
        <v>0</v>
      </c>
      <c r="P1740" s="167"/>
      <c r="Q1740" s="167"/>
      <c r="R1740" s="369"/>
    </row>
    <row r="1741" spans="1:18" s="279" customFormat="1" ht="12.75" hidden="1">
      <c r="A1741" s="164"/>
      <c r="B1741" s="233" t="s">
        <v>231</v>
      </c>
      <c r="C1741" s="166"/>
      <c r="D1741" s="167">
        <f t="shared" si="229"/>
        <v>0</v>
      </c>
      <c r="E1741" s="167">
        <f t="shared" si="230"/>
        <v>0</v>
      </c>
      <c r="F1741" s="468" t="e">
        <f t="shared" si="226"/>
        <v>#DIV/0!</v>
      </c>
      <c r="G1741" s="324"/>
      <c r="H1741" s="167"/>
      <c r="I1741" s="442"/>
      <c r="J1741" s="168"/>
      <c r="K1741" s="167"/>
      <c r="L1741" s="391"/>
      <c r="M1741" s="167"/>
      <c r="N1741" s="167"/>
      <c r="O1741" s="442" t="e">
        <f t="shared" si="228"/>
        <v>#DIV/0!</v>
      </c>
      <c r="P1741" s="167"/>
      <c r="Q1741" s="167"/>
      <c r="R1741" s="369"/>
    </row>
    <row r="1742" spans="1:18" s="279" customFormat="1" ht="12.75">
      <c r="A1742" s="164"/>
      <c r="B1742" s="233" t="s">
        <v>235</v>
      </c>
      <c r="C1742" s="166">
        <v>40000</v>
      </c>
      <c r="D1742" s="167">
        <f t="shared" si="229"/>
        <v>40000</v>
      </c>
      <c r="E1742" s="167">
        <f t="shared" si="230"/>
        <v>20000</v>
      </c>
      <c r="F1742" s="468">
        <f t="shared" si="226"/>
        <v>50</v>
      </c>
      <c r="G1742" s="324"/>
      <c r="H1742" s="167"/>
      <c r="I1742" s="442"/>
      <c r="J1742" s="168"/>
      <c r="K1742" s="167"/>
      <c r="L1742" s="391"/>
      <c r="M1742" s="167">
        <v>40000</v>
      </c>
      <c r="N1742" s="167">
        <f>10000+10000</f>
        <v>20000</v>
      </c>
      <c r="O1742" s="442">
        <f t="shared" si="228"/>
        <v>50</v>
      </c>
      <c r="P1742" s="167"/>
      <c r="Q1742" s="167"/>
      <c r="R1742" s="369"/>
    </row>
    <row r="1743" spans="1:18" s="279" customFormat="1" ht="24">
      <c r="A1743" s="164"/>
      <c r="B1743" s="233" t="s">
        <v>234</v>
      </c>
      <c r="C1743" s="166">
        <v>61300</v>
      </c>
      <c r="D1743" s="167">
        <f t="shared" si="229"/>
        <v>61300</v>
      </c>
      <c r="E1743" s="167">
        <f>SUM(H1743+K1743+N1743+Q1743)</f>
        <v>30600</v>
      </c>
      <c r="F1743" s="468">
        <f>E1743/D1743*100</f>
        <v>49.9184339314845</v>
      </c>
      <c r="G1743" s="324"/>
      <c r="H1743" s="167"/>
      <c r="I1743" s="442"/>
      <c r="J1743" s="168"/>
      <c r="K1743" s="167"/>
      <c r="L1743" s="391"/>
      <c r="M1743" s="167">
        <v>61300</v>
      </c>
      <c r="N1743" s="167">
        <f>15300+15300</f>
        <v>30600</v>
      </c>
      <c r="O1743" s="442">
        <f t="shared" si="228"/>
        <v>49.9184339314845</v>
      </c>
      <c r="P1743" s="167"/>
      <c r="Q1743" s="167"/>
      <c r="R1743" s="369"/>
    </row>
    <row r="1744" spans="1:18" s="279" customFormat="1" ht="12" customHeight="1" hidden="1">
      <c r="A1744" s="164"/>
      <c r="B1744" s="233" t="s">
        <v>238</v>
      </c>
      <c r="C1744" s="166"/>
      <c r="D1744" s="167">
        <f t="shared" si="229"/>
        <v>0</v>
      </c>
      <c r="E1744" s="167">
        <f>SUM(H1744+K1744+N1744+Q1744)</f>
        <v>0</v>
      </c>
      <c r="F1744" s="468" t="e">
        <f>E1744/D1744*100</f>
        <v>#DIV/0!</v>
      </c>
      <c r="G1744" s="324"/>
      <c r="H1744" s="167"/>
      <c r="I1744" s="442" t="e">
        <f t="shared" si="227"/>
        <v>#DIV/0!</v>
      </c>
      <c r="J1744" s="168"/>
      <c r="K1744" s="167"/>
      <c r="L1744" s="391"/>
      <c r="M1744" s="167"/>
      <c r="N1744" s="167"/>
      <c r="O1744" s="442" t="e">
        <f t="shared" si="228"/>
        <v>#DIV/0!</v>
      </c>
      <c r="P1744" s="167"/>
      <c r="Q1744" s="167"/>
      <c r="R1744" s="369"/>
    </row>
    <row r="1745" spans="1:18" s="279" customFormat="1" ht="12.75">
      <c r="A1745" s="164"/>
      <c r="B1745" s="233" t="s">
        <v>179</v>
      </c>
      <c r="C1745" s="166">
        <v>15000</v>
      </c>
      <c r="D1745" s="167">
        <f t="shared" si="229"/>
        <v>15000</v>
      </c>
      <c r="E1745" s="167">
        <f t="shared" si="230"/>
        <v>7500</v>
      </c>
      <c r="F1745" s="468">
        <f t="shared" si="226"/>
        <v>50</v>
      </c>
      <c r="G1745" s="324"/>
      <c r="H1745" s="167"/>
      <c r="I1745" s="442"/>
      <c r="J1745" s="168"/>
      <c r="K1745" s="167"/>
      <c r="L1745" s="391"/>
      <c r="M1745" s="167">
        <v>15000</v>
      </c>
      <c r="N1745" s="167">
        <f>3750+3750</f>
        <v>7500</v>
      </c>
      <c r="O1745" s="442">
        <f t="shared" si="228"/>
        <v>50</v>
      </c>
      <c r="P1745" s="167"/>
      <c r="Q1745" s="167"/>
      <c r="R1745" s="369"/>
    </row>
    <row r="1746" spans="1:18" s="279" customFormat="1" ht="24" hidden="1">
      <c r="A1746" s="164"/>
      <c r="B1746" s="233" t="s">
        <v>230</v>
      </c>
      <c r="C1746" s="166"/>
      <c r="D1746" s="167">
        <f t="shared" si="229"/>
        <v>0</v>
      </c>
      <c r="E1746" s="167">
        <f t="shared" si="230"/>
        <v>0</v>
      </c>
      <c r="F1746" s="468" t="e">
        <f t="shared" si="226"/>
        <v>#DIV/0!</v>
      </c>
      <c r="G1746" s="324"/>
      <c r="H1746" s="167"/>
      <c r="I1746" s="442"/>
      <c r="J1746" s="168"/>
      <c r="K1746" s="167"/>
      <c r="L1746" s="391"/>
      <c r="M1746" s="167"/>
      <c r="N1746" s="167"/>
      <c r="O1746" s="442" t="e">
        <f t="shared" si="228"/>
        <v>#DIV/0!</v>
      </c>
      <c r="P1746" s="167"/>
      <c r="Q1746" s="167"/>
      <c r="R1746" s="369"/>
    </row>
    <row r="1747" spans="1:18" s="279" customFormat="1" ht="24">
      <c r="A1747" s="164"/>
      <c r="B1747" s="233" t="s">
        <v>180</v>
      </c>
      <c r="C1747" s="166">
        <v>45000</v>
      </c>
      <c r="D1747" s="167">
        <f t="shared" si="229"/>
        <v>45000</v>
      </c>
      <c r="E1747" s="167">
        <f t="shared" si="230"/>
        <v>22500</v>
      </c>
      <c r="F1747" s="468">
        <f t="shared" si="226"/>
        <v>50</v>
      </c>
      <c r="G1747" s="324"/>
      <c r="H1747" s="167"/>
      <c r="I1747" s="442"/>
      <c r="J1747" s="168"/>
      <c r="K1747" s="167"/>
      <c r="L1747" s="391"/>
      <c r="M1747" s="167">
        <v>45000</v>
      </c>
      <c r="N1747" s="167">
        <f>11250+11250-11250+11250</f>
        <v>22500</v>
      </c>
      <c r="O1747" s="442">
        <f t="shared" si="228"/>
        <v>50</v>
      </c>
      <c r="P1747" s="167"/>
      <c r="Q1747" s="167"/>
      <c r="R1747" s="369"/>
    </row>
    <row r="1748" spans="1:18" s="118" customFormat="1" ht="108" hidden="1">
      <c r="A1748" s="158">
        <v>6220</v>
      </c>
      <c r="B1748" s="128" t="s">
        <v>337</v>
      </c>
      <c r="C1748" s="160"/>
      <c r="D1748" s="161">
        <f t="shared" si="229"/>
        <v>0</v>
      </c>
      <c r="E1748" s="155">
        <f>SUM(H1748+K1748+N1748+Q1748)</f>
        <v>0</v>
      </c>
      <c r="F1748" s="469" t="e">
        <f t="shared" si="226"/>
        <v>#DIV/0!</v>
      </c>
      <c r="G1748" s="254"/>
      <c r="H1748" s="155"/>
      <c r="I1748" s="442" t="e">
        <f>H1748/G1748*100</f>
        <v>#DIV/0!</v>
      </c>
      <c r="J1748" s="162"/>
      <c r="K1748" s="155"/>
      <c r="L1748" s="415"/>
      <c r="M1748" s="155"/>
      <c r="N1748" s="155"/>
      <c r="O1748" s="442" t="e">
        <f t="shared" si="228"/>
        <v>#DIV/0!</v>
      </c>
      <c r="P1748" s="155"/>
      <c r="Q1748" s="155"/>
      <c r="R1748" s="366"/>
    </row>
    <row r="1749" spans="1:18" s="118" customFormat="1" ht="18.75" customHeight="1">
      <c r="A1749" s="119">
        <v>92118</v>
      </c>
      <c r="B1749" s="185" t="s">
        <v>181</v>
      </c>
      <c r="C1749" s="121">
        <f>SUM(C1750)+C1759+C1764+C1766+C1765</f>
        <v>2014200</v>
      </c>
      <c r="D1749" s="95">
        <f t="shared" si="229"/>
        <v>2674850</v>
      </c>
      <c r="E1749" s="84">
        <f>H1749+K1749+Q1749+N1749</f>
        <v>1395780</v>
      </c>
      <c r="F1749" s="467">
        <f t="shared" si="226"/>
        <v>52.18161766080341</v>
      </c>
      <c r="G1749" s="281"/>
      <c r="H1749" s="84"/>
      <c r="I1749" s="448"/>
      <c r="J1749" s="123"/>
      <c r="K1749" s="84"/>
      <c r="L1749" s="417"/>
      <c r="M1749" s="84">
        <f>SUM(M1750)+M1759+M1764+M1766+M1765</f>
        <v>2674850</v>
      </c>
      <c r="N1749" s="84">
        <f>SUM(N1750)+N1759+N1764+N1766+N1765</f>
        <v>1395780</v>
      </c>
      <c r="O1749" s="448">
        <f t="shared" si="228"/>
        <v>52.18161766080341</v>
      </c>
      <c r="P1749" s="84"/>
      <c r="Q1749" s="84"/>
      <c r="R1749" s="372"/>
    </row>
    <row r="1750" spans="1:18" s="118" customFormat="1" ht="48">
      <c r="A1750" s="108">
        <v>2480</v>
      </c>
      <c r="B1750" s="199" t="s">
        <v>166</v>
      </c>
      <c r="C1750" s="90">
        <f>SUM(C1751:C1758)</f>
        <v>1794200</v>
      </c>
      <c r="D1750" s="103">
        <f t="shared" si="229"/>
        <v>1851850</v>
      </c>
      <c r="E1750" s="104">
        <f>SUM(H1750+K1750+N1750+Q1750)</f>
        <v>855061</v>
      </c>
      <c r="F1750" s="470">
        <f t="shared" si="226"/>
        <v>46.17334017334017</v>
      </c>
      <c r="G1750" s="88"/>
      <c r="H1750" s="74"/>
      <c r="I1750" s="464"/>
      <c r="J1750" s="126"/>
      <c r="K1750" s="89"/>
      <c r="L1750" s="391"/>
      <c r="M1750" s="90">
        <f>SUM(M1751:M1758)</f>
        <v>1851850</v>
      </c>
      <c r="N1750" s="89">
        <f>SUM(N1751:N1758)</f>
        <v>855061</v>
      </c>
      <c r="O1750" s="442">
        <f t="shared" si="228"/>
        <v>46.17334017334017</v>
      </c>
      <c r="P1750" s="89"/>
      <c r="Q1750" s="89"/>
      <c r="R1750" s="362"/>
    </row>
    <row r="1751" spans="1:18" s="279" customFormat="1" ht="12.75">
      <c r="A1751" s="164"/>
      <c r="B1751" s="233" t="s">
        <v>167</v>
      </c>
      <c r="C1751" s="166">
        <f>1523200+83000</f>
        <v>1606200</v>
      </c>
      <c r="D1751" s="167">
        <f t="shared" si="229"/>
        <v>1606200</v>
      </c>
      <c r="E1751" s="167">
        <f aca="true" t="shared" si="231" ref="E1751:E1760">SUM(H1751+K1751+N1751+Q1751)</f>
        <v>803098</v>
      </c>
      <c r="F1751" s="468">
        <f t="shared" si="226"/>
        <v>49.99987548250529</v>
      </c>
      <c r="G1751" s="166"/>
      <c r="H1751" s="167"/>
      <c r="I1751" s="442"/>
      <c r="J1751" s="168"/>
      <c r="K1751" s="167"/>
      <c r="L1751" s="391"/>
      <c r="M1751" s="166">
        <f>1523200+83000</f>
        <v>1606200</v>
      </c>
      <c r="N1751" s="167">
        <f>126933+126933+13832+133850+133850+101000+133850-101000+133850</f>
        <v>803098</v>
      </c>
      <c r="O1751" s="442">
        <f t="shared" si="228"/>
        <v>49.99987548250529</v>
      </c>
      <c r="P1751" s="167"/>
      <c r="Q1751" s="167"/>
      <c r="R1751" s="369"/>
    </row>
    <row r="1752" spans="1:18" s="279" customFormat="1" ht="24">
      <c r="A1752" s="164"/>
      <c r="B1752" s="233" t="s">
        <v>394</v>
      </c>
      <c r="C1752" s="166">
        <v>48000</v>
      </c>
      <c r="D1752" s="167">
        <f t="shared" si="229"/>
        <v>48000</v>
      </c>
      <c r="E1752" s="167">
        <f t="shared" si="231"/>
        <v>10649</v>
      </c>
      <c r="F1752" s="468">
        <f t="shared" si="226"/>
        <v>22.185416666666665</v>
      </c>
      <c r="G1752" s="166"/>
      <c r="H1752" s="167"/>
      <c r="I1752" s="442"/>
      <c r="J1752" s="168"/>
      <c r="K1752" s="167"/>
      <c r="L1752" s="391"/>
      <c r="M1752" s="166">
        <v>48000</v>
      </c>
      <c r="N1752" s="167">
        <v>10649</v>
      </c>
      <c r="O1752" s="442">
        <f t="shared" si="228"/>
        <v>22.185416666666665</v>
      </c>
      <c r="P1752" s="167"/>
      <c r="Q1752" s="167"/>
      <c r="R1752" s="369"/>
    </row>
    <row r="1753" spans="1:18" s="279" customFormat="1" ht="12.75">
      <c r="A1753" s="164"/>
      <c r="B1753" s="233" t="s">
        <v>432</v>
      </c>
      <c r="C1753" s="166"/>
      <c r="D1753" s="167">
        <f>G1753+J1753+P1753+M1753</f>
        <v>5650</v>
      </c>
      <c r="E1753" s="167">
        <f>SUM(H1753+K1753+N1753+Q1753)</f>
        <v>5650</v>
      </c>
      <c r="F1753" s="468">
        <f>E1753/D1753*100</f>
        <v>100</v>
      </c>
      <c r="G1753" s="166"/>
      <c r="H1753" s="167"/>
      <c r="I1753" s="442"/>
      <c r="J1753" s="168"/>
      <c r="K1753" s="167"/>
      <c r="L1753" s="391"/>
      <c r="M1753" s="166">
        <v>5650</v>
      </c>
      <c r="N1753" s="167">
        <v>5650</v>
      </c>
      <c r="O1753" s="442">
        <f t="shared" si="228"/>
        <v>100</v>
      </c>
      <c r="P1753" s="167"/>
      <c r="Q1753" s="167"/>
      <c r="R1753" s="369"/>
    </row>
    <row r="1754" spans="1:18" s="279" customFormat="1" ht="24">
      <c r="A1754" s="164"/>
      <c r="B1754" s="233" t="s">
        <v>409</v>
      </c>
      <c r="C1754" s="166"/>
      <c r="D1754" s="167">
        <f t="shared" si="229"/>
        <v>12000</v>
      </c>
      <c r="E1754" s="167">
        <f t="shared" si="231"/>
        <v>0</v>
      </c>
      <c r="F1754" s="468">
        <f t="shared" si="226"/>
        <v>0</v>
      </c>
      <c r="G1754" s="166"/>
      <c r="H1754" s="167"/>
      <c r="I1754" s="442"/>
      <c r="J1754" s="168"/>
      <c r="K1754" s="167"/>
      <c r="L1754" s="391"/>
      <c r="M1754" s="166">
        <v>12000</v>
      </c>
      <c r="N1754" s="167"/>
      <c r="O1754" s="442">
        <f t="shared" si="228"/>
        <v>0</v>
      </c>
      <c r="P1754" s="167"/>
      <c r="Q1754" s="167"/>
      <c r="R1754" s="369"/>
    </row>
    <row r="1755" spans="1:18" s="279" customFormat="1" ht="24">
      <c r="A1755" s="164"/>
      <c r="B1755" s="233" t="s">
        <v>342</v>
      </c>
      <c r="C1755" s="166">
        <v>25000</v>
      </c>
      <c r="D1755" s="167">
        <f t="shared" si="229"/>
        <v>25000</v>
      </c>
      <c r="E1755" s="167">
        <f t="shared" si="231"/>
        <v>25000</v>
      </c>
      <c r="F1755" s="468">
        <f t="shared" si="226"/>
        <v>100</v>
      </c>
      <c r="G1755" s="166"/>
      <c r="H1755" s="167"/>
      <c r="I1755" s="442"/>
      <c r="J1755" s="168"/>
      <c r="K1755" s="167"/>
      <c r="L1755" s="391"/>
      <c r="M1755" s="166">
        <v>25000</v>
      </c>
      <c r="N1755" s="167">
        <v>25000</v>
      </c>
      <c r="O1755" s="442">
        <f t="shared" si="228"/>
        <v>100</v>
      </c>
      <c r="P1755" s="167"/>
      <c r="Q1755" s="167"/>
      <c r="R1755" s="369"/>
    </row>
    <row r="1756" spans="1:18" s="279" customFormat="1" ht="36">
      <c r="A1756" s="164"/>
      <c r="B1756" s="233" t="s">
        <v>390</v>
      </c>
      <c r="C1756" s="166">
        <v>100000</v>
      </c>
      <c r="D1756" s="167">
        <f t="shared" si="229"/>
        <v>100000</v>
      </c>
      <c r="E1756" s="167">
        <f t="shared" si="231"/>
        <v>10664</v>
      </c>
      <c r="F1756" s="468">
        <f t="shared" si="226"/>
        <v>10.664</v>
      </c>
      <c r="G1756" s="166"/>
      <c r="H1756" s="167"/>
      <c r="I1756" s="224"/>
      <c r="J1756" s="168"/>
      <c r="K1756" s="167"/>
      <c r="L1756" s="391"/>
      <c r="M1756" s="166">
        <v>100000</v>
      </c>
      <c r="N1756" s="167">
        <v>10664</v>
      </c>
      <c r="O1756" s="442">
        <f t="shared" si="228"/>
        <v>10.664</v>
      </c>
      <c r="P1756" s="167"/>
      <c r="Q1756" s="167"/>
      <c r="R1756" s="369"/>
    </row>
    <row r="1757" spans="1:18" s="279" customFormat="1" ht="36">
      <c r="A1757" s="164"/>
      <c r="B1757" s="233" t="s">
        <v>375</v>
      </c>
      <c r="C1757" s="166"/>
      <c r="D1757" s="167">
        <f t="shared" si="229"/>
        <v>40000</v>
      </c>
      <c r="E1757" s="167">
        <f t="shared" si="231"/>
        <v>0</v>
      </c>
      <c r="F1757" s="468">
        <f t="shared" si="226"/>
        <v>0</v>
      </c>
      <c r="G1757" s="166"/>
      <c r="H1757" s="167"/>
      <c r="I1757" s="224"/>
      <c r="J1757" s="168"/>
      <c r="K1757" s="167"/>
      <c r="L1757" s="391"/>
      <c r="M1757" s="166">
        <v>40000</v>
      </c>
      <c r="N1757" s="167"/>
      <c r="O1757" s="442">
        <f t="shared" si="228"/>
        <v>0</v>
      </c>
      <c r="P1757" s="167"/>
      <c r="Q1757" s="167"/>
      <c r="R1757" s="369"/>
    </row>
    <row r="1758" spans="1:18" s="279" customFormat="1" ht="36">
      <c r="A1758" s="443"/>
      <c r="B1758" s="444" t="s">
        <v>217</v>
      </c>
      <c r="C1758" s="445">
        <v>15000</v>
      </c>
      <c r="D1758" s="446">
        <f t="shared" si="229"/>
        <v>15000</v>
      </c>
      <c r="E1758" s="446">
        <f t="shared" si="231"/>
        <v>0</v>
      </c>
      <c r="F1758" s="469">
        <f t="shared" si="226"/>
        <v>0</v>
      </c>
      <c r="G1758" s="445"/>
      <c r="H1758" s="446"/>
      <c r="I1758" s="274"/>
      <c r="J1758" s="447"/>
      <c r="K1758" s="446"/>
      <c r="L1758" s="415"/>
      <c r="M1758" s="445">
        <v>15000</v>
      </c>
      <c r="N1758" s="446"/>
      <c r="O1758" s="462">
        <f t="shared" si="228"/>
        <v>0</v>
      </c>
      <c r="P1758" s="446"/>
      <c r="Q1758" s="446"/>
      <c r="R1758" s="431"/>
    </row>
    <row r="1759" spans="1:18" s="118" customFormat="1" ht="96">
      <c r="A1759" s="124">
        <v>6220</v>
      </c>
      <c r="B1759" s="128" t="s">
        <v>173</v>
      </c>
      <c r="C1759" s="88"/>
      <c r="D1759" s="74">
        <f t="shared" si="229"/>
        <v>303000</v>
      </c>
      <c r="E1759" s="89">
        <f t="shared" si="231"/>
        <v>303000</v>
      </c>
      <c r="F1759" s="468">
        <f t="shared" si="226"/>
        <v>100</v>
      </c>
      <c r="G1759" s="88"/>
      <c r="H1759" s="74"/>
      <c r="I1759" s="224"/>
      <c r="J1759" s="126"/>
      <c r="K1759" s="89"/>
      <c r="L1759" s="391"/>
      <c r="M1759" s="126">
        <f>SUM(M1760:M1763)</f>
        <v>303000</v>
      </c>
      <c r="N1759" s="89">
        <f>SUM(N1760:N1763)</f>
        <v>303000</v>
      </c>
      <c r="O1759" s="442">
        <f>N1759/M1759*100</f>
        <v>100</v>
      </c>
      <c r="P1759" s="89"/>
      <c r="Q1759" s="89"/>
      <c r="R1759" s="362"/>
    </row>
    <row r="1760" spans="1:18" s="279" customFormat="1" ht="12.75">
      <c r="A1760" s="164"/>
      <c r="B1760" s="233" t="s">
        <v>349</v>
      </c>
      <c r="C1760" s="166"/>
      <c r="D1760" s="167">
        <f t="shared" si="229"/>
        <v>303000</v>
      </c>
      <c r="E1760" s="167">
        <f t="shared" si="231"/>
        <v>303000</v>
      </c>
      <c r="F1760" s="468">
        <f t="shared" si="226"/>
        <v>100</v>
      </c>
      <c r="G1760" s="166"/>
      <c r="H1760" s="167"/>
      <c r="I1760" s="224"/>
      <c r="J1760" s="168"/>
      <c r="K1760" s="167"/>
      <c r="L1760" s="391"/>
      <c r="M1760" s="168">
        <v>303000</v>
      </c>
      <c r="N1760" s="167">
        <f>101000+202000</f>
        <v>303000</v>
      </c>
      <c r="O1760" s="442">
        <f>N1760/M1760*100</f>
        <v>100</v>
      </c>
      <c r="P1760" s="167"/>
      <c r="Q1760" s="167"/>
      <c r="R1760" s="369"/>
    </row>
    <row r="1761" spans="1:18" s="279" customFormat="1" ht="36" hidden="1">
      <c r="A1761" s="164"/>
      <c r="B1761" s="233" t="s">
        <v>339</v>
      </c>
      <c r="C1761" s="166"/>
      <c r="D1761" s="167">
        <f>G1761+J1761+P1761+M1761</f>
        <v>0</v>
      </c>
      <c r="E1761" s="167">
        <f>SUM(H1761+K1761+N1761+Q1761)</f>
        <v>0</v>
      </c>
      <c r="F1761" s="468" t="e">
        <f>E1761/D1761*100</f>
        <v>#DIV/0!</v>
      </c>
      <c r="G1761" s="166"/>
      <c r="H1761" s="167"/>
      <c r="I1761" s="224"/>
      <c r="J1761" s="168"/>
      <c r="K1761" s="167"/>
      <c r="L1761" s="391"/>
      <c r="M1761" s="168"/>
      <c r="N1761" s="167"/>
      <c r="O1761" s="442" t="e">
        <f>N1761/M1761*100</f>
        <v>#DIV/0!</v>
      </c>
      <c r="P1761" s="167"/>
      <c r="Q1761" s="167"/>
      <c r="R1761" s="369"/>
    </row>
    <row r="1762" spans="1:18" s="279" customFormat="1" ht="48" hidden="1">
      <c r="A1762" s="164"/>
      <c r="B1762" s="233" t="s">
        <v>452</v>
      </c>
      <c r="C1762" s="166"/>
      <c r="D1762" s="167">
        <f>G1762+J1762+P1762+M1762</f>
        <v>0</v>
      </c>
      <c r="E1762" s="167">
        <f>SUM(H1762+K1762+N1762+Q1762)</f>
        <v>0</v>
      </c>
      <c r="F1762" s="468" t="e">
        <f>E1762/D1762*100</f>
        <v>#DIV/0!</v>
      </c>
      <c r="G1762" s="166"/>
      <c r="H1762" s="167"/>
      <c r="I1762" s="224"/>
      <c r="J1762" s="168"/>
      <c r="K1762" s="167"/>
      <c r="L1762" s="391"/>
      <c r="M1762" s="168"/>
      <c r="N1762" s="167"/>
      <c r="O1762" s="442" t="e">
        <f>N1762/M1762*100</f>
        <v>#DIV/0!</v>
      </c>
      <c r="P1762" s="167"/>
      <c r="Q1762" s="167"/>
      <c r="R1762" s="369"/>
    </row>
    <row r="1763" spans="1:18" s="279" customFormat="1" ht="24" hidden="1">
      <c r="A1763" s="164"/>
      <c r="B1763" s="233" t="s">
        <v>314</v>
      </c>
      <c r="C1763" s="166"/>
      <c r="D1763" s="167">
        <f>G1763+J1763+P1763+M1763</f>
        <v>0</v>
      </c>
      <c r="E1763" s="167">
        <f>SUM(H1763+K1763+N1763+Q1763)</f>
        <v>0</v>
      </c>
      <c r="F1763" s="468" t="e">
        <f>E1763/D1763*100</f>
        <v>#DIV/0!</v>
      </c>
      <c r="G1763" s="166"/>
      <c r="H1763" s="167"/>
      <c r="I1763" s="224"/>
      <c r="J1763" s="168"/>
      <c r="K1763" s="167"/>
      <c r="L1763" s="391"/>
      <c r="M1763" s="168"/>
      <c r="N1763" s="167"/>
      <c r="O1763" s="442"/>
      <c r="P1763" s="167"/>
      <c r="Q1763" s="167"/>
      <c r="R1763" s="369"/>
    </row>
    <row r="1764" spans="1:18" s="118" customFormat="1" ht="36">
      <c r="A1764" s="124">
        <v>6050</v>
      </c>
      <c r="B1764" s="128" t="s">
        <v>343</v>
      </c>
      <c r="C1764" s="88">
        <v>220000</v>
      </c>
      <c r="D1764" s="74">
        <f t="shared" si="229"/>
        <v>520000</v>
      </c>
      <c r="E1764" s="74">
        <f>H1764+K1764+Q1764+N1764</f>
        <v>237719</v>
      </c>
      <c r="F1764" s="468">
        <f t="shared" si="226"/>
        <v>45.71519230769231</v>
      </c>
      <c r="G1764" s="88"/>
      <c r="H1764" s="74"/>
      <c r="I1764" s="224"/>
      <c r="J1764" s="126"/>
      <c r="K1764" s="89"/>
      <c r="L1764" s="391"/>
      <c r="M1764" s="88">
        <f>220000+300000</f>
        <v>520000</v>
      </c>
      <c r="N1764" s="89">
        <f>237719+1-1</f>
        <v>237719</v>
      </c>
      <c r="O1764" s="442">
        <f t="shared" si="228"/>
        <v>45.71519230769231</v>
      </c>
      <c r="P1764" s="89"/>
      <c r="Q1764" s="89"/>
      <c r="R1764" s="362"/>
    </row>
    <row r="1765" spans="1:18" s="118" customFormat="1" ht="24" hidden="1">
      <c r="A1765" s="124">
        <v>6058</v>
      </c>
      <c r="B1765" s="128" t="s">
        <v>574</v>
      </c>
      <c r="C1765" s="88"/>
      <c r="D1765" s="74">
        <f t="shared" si="229"/>
        <v>0</v>
      </c>
      <c r="E1765" s="74">
        <f>H1765+K1765+Q1765+N1765</f>
        <v>0</v>
      </c>
      <c r="F1765" s="468" t="e">
        <f t="shared" si="226"/>
        <v>#DIV/0!</v>
      </c>
      <c r="G1765" s="88"/>
      <c r="H1765" s="74"/>
      <c r="I1765" s="224"/>
      <c r="J1765" s="126"/>
      <c r="K1765" s="89"/>
      <c r="L1765" s="391"/>
      <c r="M1765" s="88"/>
      <c r="N1765" s="89"/>
      <c r="O1765" s="224" t="e">
        <f t="shared" si="228"/>
        <v>#DIV/0!</v>
      </c>
      <c r="P1765" s="89"/>
      <c r="Q1765" s="89"/>
      <c r="R1765" s="362"/>
    </row>
    <row r="1766" spans="1:18" s="118" customFormat="1" ht="24" hidden="1">
      <c r="A1766" s="124">
        <v>6059</v>
      </c>
      <c r="B1766" s="128" t="s">
        <v>574</v>
      </c>
      <c r="C1766" s="88"/>
      <c r="D1766" s="74">
        <f t="shared" si="229"/>
        <v>0</v>
      </c>
      <c r="E1766" s="89">
        <f>SUM(H1766+K1766+N1766+Q1766)</f>
        <v>0</v>
      </c>
      <c r="F1766" s="468" t="e">
        <f>E1766/D1766*100</f>
        <v>#DIV/0!</v>
      </c>
      <c r="G1766" s="88"/>
      <c r="H1766" s="74"/>
      <c r="I1766" s="274"/>
      <c r="J1766" s="126"/>
      <c r="K1766" s="89"/>
      <c r="L1766" s="391"/>
      <c r="M1766" s="88"/>
      <c r="N1766" s="89"/>
      <c r="O1766" s="224" t="e">
        <f t="shared" si="228"/>
        <v>#DIV/0!</v>
      </c>
      <c r="P1766" s="89"/>
      <c r="Q1766" s="89"/>
      <c r="R1766" s="362"/>
    </row>
    <row r="1767" spans="1:18" ht="24.75" customHeight="1">
      <c r="A1767" s="119">
        <v>92120</v>
      </c>
      <c r="B1767" s="185" t="s">
        <v>182</v>
      </c>
      <c r="C1767" s="121">
        <f>SUM(C1769:C1773)</f>
        <v>637000</v>
      </c>
      <c r="D1767" s="95">
        <f t="shared" si="229"/>
        <v>637000</v>
      </c>
      <c r="E1767" s="84">
        <f>H1767+K1767+Q1767+N1767</f>
        <v>138</v>
      </c>
      <c r="F1767" s="467">
        <f t="shared" si="226"/>
        <v>0.021664050235478807</v>
      </c>
      <c r="G1767" s="121">
        <f>SUM(G1768:G1773)</f>
        <v>637000</v>
      </c>
      <c r="H1767" s="84">
        <f>SUM(H1768:H1773)</f>
        <v>138</v>
      </c>
      <c r="I1767" s="316">
        <f aca="true" t="shared" si="232" ref="I1767:I1775">H1767/G1767*100</f>
        <v>0.021664050235478807</v>
      </c>
      <c r="J1767" s="123"/>
      <c r="K1767" s="84"/>
      <c r="L1767" s="417"/>
      <c r="M1767" s="84"/>
      <c r="N1767" s="84"/>
      <c r="O1767" s="381"/>
      <c r="P1767" s="84"/>
      <c r="Q1767" s="84"/>
      <c r="R1767" s="372"/>
    </row>
    <row r="1768" spans="1:18" s="12" customFormat="1" ht="72" hidden="1">
      <c r="A1768" s="194">
        <v>2820</v>
      </c>
      <c r="B1768" s="195" t="s">
        <v>119</v>
      </c>
      <c r="C1768" s="102"/>
      <c r="D1768" s="74">
        <f t="shared" si="229"/>
        <v>0</v>
      </c>
      <c r="E1768" s="89">
        <f aca="true" t="shared" si="233" ref="E1768:E1774">SUM(H1768+K1768+N1768+Q1768)</f>
        <v>0</v>
      </c>
      <c r="F1768" s="468" t="e">
        <f t="shared" si="226"/>
        <v>#DIV/0!</v>
      </c>
      <c r="G1768" s="102"/>
      <c r="H1768" s="103"/>
      <c r="I1768" s="224" t="e">
        <f t="shared" si="232"/>
        <v>#DIV/0!</v>
      </c>
      <c r="J1768" s="196"/>
      <c r="K1768" s="103"/>
      <c r="L1768" s="414"/>
      <c r="M1768" s="103"/>
      <c r="N1768" s="103"/>
      <c r="O1768" s="388"/>
      <c r="P1768" s="103"/>
      <c r="Q1768" s="103"/>
      <c r="R1768" s="365"/>
    </row>
    <row r="1769" spans="1:18" s="12" customFormat="1" ht="24">
      <c r="A1769" s="172">
        <v>4170</v>
      </c>
      <c r="B1769" s="206" t="s">
        <v>536</v>
      </c>
      <c r="C1769" s="174">
        <v>15000</v>
      </c>
      <c r="D1769" s="74">
        <f t="shared" si="229"/>
        <v>15000</v>
      </c>
      <c r="E1769" s="89">
        <f t="shared" si="233"/>
        <v>0</v>
      </c>
      <c r="F1769" s="468">
        <f t="shared" si="226"/>
        <v>0</v>
      </c>
      <c r="G1769" s="174">
        <v>15000</v>
      </c>
      <c r="H1769" s="74"/>
      <c r="I1769" s="224">
        <f t="shared" si="232"/>
        <v>0</v>
      </c>
      <c r="J1769" s="175"/>
      <c r="K1769" s="74"/>
      <c r="L1769" s="391"/>
      <c r="M1769" s="74"/>
      <c r="N1769" s="74"/>
      <c r="O1769" s="368"/>
      <c r="P1769" s="74"/>
      <c r="Q1769" s="74"/>
      <c r="R1769" s="362"/>
    </row>
    <row r="1770" spans="1:18" s="118" customFormat="1" ht="25.5" customHeight="1" hidden="1">
      <c r="A1770" s="124">
        <v>4270</v>
      </c>
      <c r="B1770" s="128" t="s">
        <v>183</v>
      </c>
      <c r="C1770" s="88"/>
      <c r="D1770" s="74">
        <f>G1770+J1770+P1770+M1770</f>
        <v>0</v>
      </c>
      <c r="E1770" s="89">
        <f>SUM(H1770+K1770+N1770+Q1770)</f>
        <v>0</v>
      </c>
      <c r="F1770" s="468"/>
      <c r="G1770" s="88"/>
      <c r="H1770" s="89"/>
      <c r="I1770" s="224"/>
      <c r="J1770" s="126"/>
      <c r="K1770" s="89"/>
      <c r="L1770" s="391"/>
      <c r="M1770" s="89"/>
      <c r="N1770" s="89"/>
      <c r="O1770" s="368"/>
      <c r="P1770" s="89"/>
      <c r="Q1770" s="89"/>
      <c r="R1770" s="362"/>
    </row>
    <row r="1771" spans="1:18" s="118" customFormat="1" ht="24">
      <c r="A1771" s="124">
        <v>4300</v>
      </c>
      <c r="B1771" s="128" t="s">
        <v>510</v>
      </c>
      <c r="C1771" s="88">
        <v>12000</v>
      </c>
      <c r="D1771" s="74">
        <f>G1771+J1771+P1771+M1771</f>
        <v>12000</v>
      </c>
      <c r="E1771" s="89">
        <f>SUM(H1771+K1771+N1771+Q1771)</f>
        <v>138</v>
      </c>
      <c r="F1771" s="468">
        <f>E1771/D1771*100</f>
        <v>1.15</v>
      </c>
      <c r="G1771" s="88">
        <v>12000</v>
      </c>
      <c r="H1771" s="89">
        <v>138</v>
      </c>
      <c r="I1771" s="224">
        <f>H1771/G1771*100</f>
        <v>1.15</v>
      </c>
      <c r="J1771" s="220"/>
      <c r="K1771" s="89"/>
      <c r="L1771" s="391"/>
      <c r="M1771" s="89"/>
      <c r="N1771" s="89"/>
      <c r="O1771" s="368"/>
      <c r="P1771" s="89"/>
      <c r="Q1771" s="89"/>
      <c r="R1771" s="362"/>
    </row>
    <row r="1772" spans="1:18" s="118" customFormat="1" ht="72">
      <c r="A1772" s="124">
        <v>4340</v>
      </c>
      <c r="B1772" s="128" t="s">
        <v>323</v>
      </c>
      <c r="C1772" s="88">
        <v>610000</v>
      </c>
      <c r="D1772" s="74">
        <f t="shared" si="229"/>
        <v>610000</v>
      </c>
      <c r="E1772" s="89">
        <f t="shared" si="233"/>
        <v>0</v>
      </c>
      <c r="F1772" s="468">
        <f t="shared" si="226"/>
        <v>0</v>
      </c>
      <c r="G1772" s="88">
        <v>610000</v>
      </c>
      <c r="H1772" s="89"/>
      <c r="I1772" s="224">
        <f t="shared" si="232"/>
        <v>0</v>
      </c>
      <c r="J1772" s="220"/>
      <c r="K1772" s="89"/>
      <c r="L1772" s="391"/>
      <c r="M1772" s="89"/>
      <c r="N1772" s="89"/>
      <c r="O1772" s="368"/>
      <c r="P1772" s="89"/>
      <c r="Q1772" s="89"/>
      <c r="R1772" s="362"/>
    </row>
    <row r="1773" spans="1:18" s="118" customFormat="1" ht="36" hidden="1">
      <c r="A1773" s="158">
        <v>6060</v>
      </c>
      <c r="B1773" s="159" t="s">
        <v>49</v>
      </c>
      <c r="C1773" s="160"/>
      <c r="D1773" s="161">
        <f t="shared" si="229"/>
        <v>0</v>
      </c>
      <c r="E1773" s="155">
        <f t="shared" si="233"/>
        <v>0</v>
      </c>
      <c r="F1773" s="469" t="e">
        <f t="shared" si="226"/>
        <v>#DIV/0!</v>
      </c>
      <c r="G1773" s="160"/>
      <c r="H1773" s="155"/>
      <c r="I1773" s="274" t="e">
        <f t="shared" si="232"/>
        <v>#DIV/0!</v>
      </c>
      <c r="J1773" s="244"/>
      <c r="K1773" s="155"/>
      <c r="L1773" s="415"/>
      <c r="M1773" s="155"/>
      <c r="N1773" s="155"/>
      <c r="O1773" s="387"/>
      <c r="P1773" s="155"/>
      <c r="Q1773" s="155"/>
      <c r="R1773" s="366"/>
    </row>
    <row r="1774" spans="1:18" s="143" customFormat="1" ht="17.25" customHeight="1">
      <c r="A1774" s="150">
        <v>92195</v>
      </c>
      <c r="B1774" s="187" t="s">
        <v>529</v>
      </c>
      <c r="C1774" s="94">
        <f>SUM(C1775:C1781)</f>
        <v>33500</v>
      </c>
      <c r="D1774" s="95">
        <f t="shared" si="229"/>
        <v>33500</v>
      </c>
      <c r="E1774" s="95">
        <f t="shared" si="233"/>
        <v>4756</v>
      </c>
      <c r="F1774" s="467">
        <f t="shared" si="226"/>
        <v>14.197014925373134</v>
      </c>
      <c r="G1774" s="94">
        <f>SUM(G1775:G1783)</f>
        <v>33500</v>
      </c>
      <c r="H1774" s="95">
        <f>SUM(H1775:H1783)</f>
        <v>4756</v>
      </c>
      <c r="I1774" s="316">
        <f t="shared" si="232"/>
        <v>14.197014925373134</v>
      </c>
      <c r="J1774" s="219"/>
      <c r="K1774" s="95"/>
      <c r="L1774" s="417"/>
      <c r="M1774" s="95"/>
      <c r="N1774" s="95"/>
      <c r="O1774" s="402"/>
      <c r="P1774" s="95"/>
      <c r="Q1774" s="95"/>
      <c r="R1774" s="370"/>
    </row>
    <row r="1775" spans="1:18" s="12" customFormat="1" ht="61.5" customHeight="1" hidden="1">
      <c r="A1775" s="172">
        <v>2820</v>
      </c>
      <c r="B1775" s="206" t="s">
        <v>87</v>
      </c>
      <c r="C1775" s="174"/>
      <c r="D1775" s="74">
        <f t="shared" si="229"/>
        <v>0</v>
      </c>
      <c r="E1775" s="74">
        <f>H1775+K1775+Q1775+N1775</f>
        <v>0</v>
      </c>
      <c r="F1775" s="468" t="e">
        <f t="shared" si="226"/>
        <v>#DIV/0!</v>
      </c>
      <c r="G1775" s="174"/>
      <c r="H1775" s="74"/>
      <c r="I1775" s="224" t="e">
        <f t="shared" si="232"/>
        <v>#DIV/0!</v>
      </c>
      <c r="J1775" s="223"/>
      <c r="K1775" s="74"/>
      <c r="L1775" s="391"/>
      <c r="M1775" s="74"/>
      <c r="N1775" s="74"/>
      <c r="O1775" s="368"/>
      <c r="P1775" s="74"/>
      <c r="Q1775" s="74"/>
      <c r="R1775" s="362"/>
    </row>
    <row r="1776" spans="1:18" s="12" customFormat="1" ht="72" hidden="1">
      <c r="A1776" s="172">
        <v>2550</v>
      </c>
      <c r="B1776" s="206" t="s">
        <v>184</v>
      </c>
      <c r="C1776" s="174"/>
      <c r="D1776" s="74">
        <f t="shared" si="229"/>
        <v>0</v>
      </c>
      <c r="E1776" s="89">
        <f aca="true" t="shared" si="234" ref="E1776:E1802">SUM(H1776+K1776+N1776+Q1776)</f>
        <v>0</v>
      </c>
      <c r="F1776" s="468"/>
      <c r="G1776" s="174"/>
      <c r="H1776" s="74"/>
      <c r="I1776" s="224"/>
      <c r="J1776" s="223"/>
      <c r="K1776" s="74"/>
      <c r="L1776" s="391"/>
      <c r="M1776" s="74"/>
      <c r="N1776" s="74"/>
      <c r="O1776" s="368"/>
      <c r="P1776" s="74"/>
      <c r="Q1776" s="74"/>
      <c r="R1776" s="362"/>
    </row>
    <row r="1777" spans="1:18" s="118" customFormat="1" ht="48" hidden="1">
      <c r="A1777" s="124">
        <v>3040</v>
      </c>
      <c r="B1777" s="128" t="s">
        <v>185</v>
      </c>
      <c r="C1777" s="88"/>
      <c r="D1777" s="74">
        <f t="shared" si="229"/>
        <v>0</v>
      </c>
      <c r="E1777" s="89">
        <f t="shared" si="234"/>
        <v>0</v>
      </c>
      <c r="F1777" s="468" t="e">
        <f t="shared" si="226"/>
        <v>#DIV/0!</v>
      </c>
      <c r="G1777" s="88">
        <f>1500-1500</f>
        <v>0</v>
      </c>
      <c r="H1777" s="89"/>
      <c r="I1777" s="224" t="e">
        <f aca="true" t="shared" si="235" ref="I1777:I1817">H1777/G1777*100</f>
        <v>#DIV/0!</v>
      </c>
      <c r="J1777" s="220"/>
      <c r="K1777" s="89"/>
      <c r="L1777" s="391"/>
      <c r="M1777" s="89"/>
      <c r="N1777" s="89"/>
      <c r="O1777" s="368"/>
      <c r="P1777" s="89"/>
      <c r="Q1777" s="89"/>
      <c r="R1777" s="362"/>
    </row>
    <row r="1778" spans="1:18" s="118" customFormat="1" ht="28.5" customHeight="1">
      <c r="A1778" s="124">
        <v>4210</v>
      </c>
      <c r="B1778" s="128" t="s">
        <v>186</v>
      </c>
      <c r="C1778" s="88">
        <v>25300</v>
      </c>
      <c r="D1778" s="74">
        <f t="shared" si="229"/>
        <v>22206</v>
      </c>
      <c r="E1778" s="89">
        <f t="shared" si="234"/>
        <v>3738</v>
      </c>
      <c r="F1778" s="468">
        <f t="shared" si="226"/>
        <v>16.833288300459333</v>
      </c>
      <c r="G1778" s="88">
        <f>25300-94-3000</f>
        <v>22206</v>
      </c>
      <c r="H1778" s="89">
        <v>3738</v>
      </c>
      <c r="I1778" s="442">
        <f t="shared" si="235"/>
        <v>16.833288300459333</v>
      </c>
      <c r="J1778" s="220"/>
      <c r="K1778" s="89"/>
      <c r="L1778" s="391"/>
      <c r="M1778" s="89"/>
      <c r="N1778" s="89"/>
      <c r="O1778" s="368"/>
      <c r="P1778" s="89"/>
      <c r="Q1778" s="89"/>
      <c r="R1778" s="362"/>
    </row>
    <row r="1779" spans="1:18" s="118" customFormat="1" ht="24" hidden="1">
      <c r="A1779" s="124">
        <v>4300</v>
      </c>
      <c r="B1779" s="128" t="s">
        <v>187</v>
      </c>
      <c r="C1779" s="88"/>
      <c r="D1779" s="74">
        <f t="shared" si="229"/>
        <v>0</v>
      </c>
      <c r="E1779" s="89">
        <f t="shared" si="234"/>
        <v>0</v>
      </c>
      <c r="F1779" s="468" t="e">
        <f t="shared" si="226"/>
        <v>#DIV/0!</v>
      </c>
      <c r="G1779" s="88"/>
      <c r="H1779" s="89"/>
      <c r="I1779" s="442" t="e">
        <f t="shared" si="235"/>
        <v>#DIV/0!</v>
      </c>
      <c r="J1779" s="220"/>
      <c r="K1779" s="89"/>
      <c r="L1779" s="391"/>
      <c r="M1779" s="89"/>
      <c r="N1779" s="89"/>
      <c r="O1779" s="368"/>
      <c r="P1779" s="89"/>
      <c r="Q1779" s="89"/>
      <c r="R1779" s="362"/>
    </row>
    <row r="1780" spans="1:18" s="118" customFormat="1" ht="24">
      <c r="A1780" s="124">
        <v>4300</v>
      </c>
      <c r="B1780" s="128" t="s">
        <v>120</v>
      </c>
      <c r="C1780" s="88">
        <v>8000</v>
      </c>
      <c r="D1780" s="74">
        <f t="shared" si="229"/>
        <v>11000</v>
      </c>
      <c r="E1780" s="89">
        <f t="shared" si="234"/>
        <v>924</v>
      </c>
      <c r="F1780" s="468">
        <f t="shared" si="226"/>
        <v>8.4</v>
      </c>
      <c r="G1780" s="88">
        <f>8000+3000</f>
        <v>11000</v>
      </c>
      <c r="H1780" s="89">
        <v>924</v>
      </c>
      <c r="I1780" s="442">
        <f t="shared" si="235"/>
        <v>8.4</v>
      </c>
      <c r="J1780" s="220"/>
      <c r="K1780" s="89"/>
      <c r="L1780" s="391"/>
      <c r="M1780" s="89"/>
      <c r="N1780" s="89"/>
      <c r="O1780" s="368"/>
      <c r="P1780" s="89"/>
      <c r="Q1780" s="89"/>
      <c r="R1780" s="362"/>
    </row>
    <row r="1781" spans="1:18" s="118" customFormat="1" ht="27" customHeight="1">
      <c r="A1781" s="124">
        <v>4430</v>
      </c>
      <c r="B1781" s="128" t="s">
        <v>188</v>
      </c>
      <c r="C1781" s="88">
        <v>200</v>
      </c>
      <c r="D1781" s="74">
        <f t="shared" si="229"/>
        <v>200</v>
      </c>
      <c r="E1781" s="89">
        <f t="shared" si="234"/>
        <v>0</v>
      </c>
      <c r="F1781" s="468">
        <f t="shared" si="226"/>
        <v>0</v>
      </c>
      <c r="G1781" s="88">
        <v>200</v>
      </c>
      <c r="H1781" s="89"/>
      <c r="I1781" s="442">
        <f t="shared" si="235"/>
        <v>0</v>
      </c>
      <c r="J1781" s="220"/>
      <c r="K1781" s="89"/>
      <c r="L1781" s="391"/>
      <c r="M1781" s="89"/>
      <c r="N1781" s="89"/>
      <c r="O1781" s="368"/>
      <c r="P1781" s="89"/>
      <c r="Q1781" s="89"/>
      <c r="R1781" s="362"/>
    </row>
    <row r="1782" spans="1:18" s="118" customFormat="1" ht="60.75" thickBot="1">
      <c r="A1782" s="124">
        <v>4740</v>
      </c>
      <c r="B1782" s="128" t="s">
        <v>345</v>
      </c>
      <c r="C1782" s="88"/>
      <c r="D1782" s="74">
        <f>G1782+J1782+P1782+M1782</f>
        <v>94</v>
      </c>
      <c r="E1782" s="89">
        <f>SUM(H1782+K1782+N1782+Q1782)</f>
        <v>94</v>
      </c>
      <c r="F1782" s="468">
        <f>E1782/D1782*100</f>
        <v>100</v>
      </c>
      <c r="G1782" s="88">
        <v>94</v>
      </c>
      <c r="H1782" s="89">
        <v>94</v>
      </c>
      <c r="I1782" s="442">
        <f t="shared" si="235"/>
        <v>100</v>
      </c>
      <c r="J1782" s="220"/>
      <c r="K1782" s="89"/>
      <c r="L1782" s="391"/>
      <c r="M1782" s="89"/>
      <c r="N1782" s="89"/>
      <c r="O1782" s="368"/>
      <c r="P1782" s="89"/>
      <c r="Q1782" s="89"/>
      <c r="R1782" s="362"/>
    </row>
    <row r="1783" spans="1:18" s="143" customFormat="1" ht="48" hidden="1">
      <c r="A1783" s="135"/>
      <c r="B1783" s="136" t="s">
        <v>319</v>
      </c>
      <c r="C1783" s="137"/>
      <c r="D1783" s="139">
        <f t="shared" si="229"/>
        <v>0</v>
      </c>
      <c r="E1783" s="139">
        <f t="shared" si="234"/>
        <v>0</v>
      </c>
      <c r="F1783" s="477" t="e">
        <f t="shared" si="226"/>
        <v>#DIV/0!</v>
      </c>
      <c r="G1783" s="137">
        <f>SUM(G1784:G1802)</f>
        <v>0</v>
      </c>
      <c r="H1783" s="139">
        <f>SUM(H1784:H1802)</f>
        <v>0</v>
      </c>
      <c r="I1783" s="442" t="e">
        <f t="shared" si="235"/>
        <v>#DIV/0!</v>
      </c>
      <c r="J1783" s="338"/>
      <c r="K1783" s="139"/>
      <c r="L1783" s="403"/>
      <c r="M1783" s="139"/>
      <c r="N1783" s="139"/>
      <c r="O1783" s="399"/>
      <c r="P1783" s="139"/>
      <c r="Q1783" s="139"/>
      <c r="R1783" s="364"/>
    </row>
    <row r="1784" spans="1:18" s="12" customFormat="1" ht="24" hidden="1">
      <c r="A1784" s="172">
        <v>4110</v>
      </c>
      <c r="B1784" s="277" t="s">
        <v>498</v>
      </c>
      <c r="C1784" s="174"/>
      <c r="D1784" s="74">
        <f t="shared" si="229"/>
        <v>0</v>
      </c>
      <c r="E1784" s="89">
        <f t="shared" si="234"/>
        <v>0</v>
      </c>
      <c r="F1784" s="468" t="e">
        <f t="shared" si="226"/>
        <v>#DIV/0!</v>
      </c>
      <c r="G1784" s="174"/>
      <c r="H1784" s="74"/>
      <c r="I1784" s="442" t="e">
        <f t="shared" si="235"/>
        <v>#DIV/0!</v>
      </c>
      <c r="J1784" s="223"/>
      <c r="K1784" s="74"/>
      <c r="L1784" s="391"/>
      <c r="M1784" s="74"/>
      <c r="N1784" s="74"/>
      <c r="O1784" s="368"/>
      <c r="P1784" s="74"/>
      <c r="Q1784" s="74"/>
      <c r="R1784" s="362"/>
    </row>
    <row r="1785" spans="1:18" s="12" customFormat="1" ht="24" hidden="1">
      <c r="A1785" s="172">
        <v>4118</v>
      </c>
      <c r="B1785" s="277" t="s">
        <v>498</v>
      </c>
      <c r="C1785" s="174"/>
      <c r="D1785" s="74">
        <f>G1785+J1785+P1785+M1785</f>
        <v>0</v>
      </c>
      <c r="E1785" s="89">
        <f>SUM(H1785+K1785+N1785+Q1785)</f>
        <v>0</v>
      </c>
      <c r="F1785" s="468" t="e">
        <f>E1785/D1785*100</f>
        <v>#DIV/0!</v>
      </c>
      <c r="G1785" s="174"/>
      <c r="H1785" s="74"/>
      <c r="I1785" s="442" t="e">
        <f t="shared" si="235"/>
        <v>#DIV/0!</v>
      </c>
      <c r="J1785" s="223"/>
      <c r="K1785" s="74"/>
      <c r="L1785" s="391"/>
      <c r="M1785" s="74"/>
      <c r="N1785" s="74"/>
      <c r="O1785" s="368"/>
      <c r="P1785" s="74"/>
      <c r="Q1785" s="74"/>
      <c r="R1785" s="362"/>
    </row>
    <row r="1786" spans="1:18" s="12" customFormat="1" ht="24.75" hidden="1" thickBot="1">
      <c r="A1786" s="172">
        <v>4119</v>
      </c>
      <c r="B1786" s="277" t="s">
        <v>498</v>
      </c>
      <c r="C1786" s="174"/>
      <c r="D1786" s="74">
        <f t="shared" si="229"/>
        <v>0</v>
      </c>
      <c r="E1786" s="89">
        <f t="shared" si="234"/>
        <v>0</v>
      </c>
      <c r="F1786" s="468" t="e">
        <f t="shared" si="226"/>
        <v>#DIV/0!</v>
      </c>
      <c r="G1786" s="174"/>
      <c r="H1786" s="74"/>
      <c r="I1786" s="442" t="e">
        <f t="shared" si="235"/>
        <v>#DIV/0!</v>
      </c>
      <c r="J1786" s="223"/>
      <c r="K1786" s="74"/>
      <c r="L1786" s="391"/>
      <c r="M1786" s="74"/>
      <c r="N1786" s="74"/>
      <c r="O1786" s="368"/>
      <c r="P1786" s="74"/>
      <c r="Q1786" s="74"/>
      <c r="R1786" s="362"/>
    </row>
    <row r="1787" spans="1:18" s="12" customFormat="1" ht="12.75" hidden="1">
      <c r="A1787" s="172">
        <v>4120</v>
      </c>
      <c r="B1787" s="277" t="s">
        <v>571</v>
      </c>
      <c r="C1787" s="174"/>
      <c r="D1787" s="74">
        <f t="shared" si="229"/>
        <v>0</v>
      </c>
      <c r="E1787" s="89">
        <f t="shared" si="234"/>
        <v>0</v>
      </c>
      <c r="F1787" s="468" t="e">
        <f t="shared" si="226"/>
        <v>#DIV/0!</v>
      </c>
      <c r="G1787" s="174"/>
      <c r="H1787" s="74"/>
      <c r="I1787" s="442" t="e">
        <f t="shared" si="235"/>
        <v>#DIV/0!</v>
      </c>
      <c r="J1787" s="223"/>
      <c r="K1787" s="74"/>
      <c r="L1787" s="391"/>
      <c r="M1787" s="74"/>
      <c r="N1787" s="74"/>
      <c r="O1787" s="368"/>
      <c r="P1787" s="74"/>
      <c r="Q1787" s="74"/>
      <c r="R1787" s="362"/>
    </row>
    <row r="1788" spans="1:18" s="12" customFormat="1" ht="12.75" hidden="1">
      <c r="A1788" s="172">
        <v>4128</v>
      </c>
      <c r="B1788" s="277" t="s">
        <v>571</v>
      </c>
      <c r="C1788" s="174"/>
      <c r="D1788" s="74">
        <f>G1788+J1788+P1788+M1788</f>
        <v>0</v>
      </c>
      <c r="E1788" s="89">
        <f>SUM(H1788+K1788+N1788+Q1788)</f>
        <v>0</v>
      </c>
      <c r="F1788" s="468" t="e">
        <f>E1788/D1788*100</f>
        <v>#DIV/0!</v>
      </c>
      <c r="G1788" s="174"/>
      <c r="H1788" s="74"/>
      <c r="I1788" s="442" t="e">
        <f t="shared" si="235"/>
        <v>#DIV/0!</v>
      </c>
      <c r="J1788" s="223"/>
      <c r="K1788" s="74"/>
      <c r="L1788" s="391"/>
      <c r="M1788" s="74"/>
      <c r="N1788" s="74"/>
      <c r="O1788" s="368"/>
      <c r="P1788" s="74"/>
      <c r="Q1788" s="74"/>
      <c r="R1788" s="362"/>
    </row>
    <row r="1789" spans="1:18" s="12" customFormat="1" ht="12.75" hidden="1">
      <c r="A1789" s="172">
        <v>4129</v>
      </c>
      <c r="B1789" s="277" t="s">
        <v>571</v>
      </c>
      <c r="C1789" s="174"/>
      <c r="D1789" s="74">
        <f t="shared" si="229"/>
        <v>0</v>
      </c>
      <c r="E1789" s="89">
        <f t="shared" si="234"/>
        <v>0</v>
      </c>
      <c r="F1789" s="468" t="e">
        <f t="shared" si="226"/>
        <v>#DIV/0!</v>
      </c>
      <c r="G1789" s="174"/>
      <c r="H1789" s="74"/>
      <c r="I1789" s="442" t="e">
        <f t="shared" si="235"/>
        <v>#DIV/0!</v>
      </c>
      <c r="J1789" s="223"/>
      <c r="K1789" s="74"/>
      <c r="L1789" s="391"/>
      <c r="M1789" s="74"/>
      <c r="N1789" s="74"/>
      <c r="O1789" s="368"/>
      <c r="P1789" s="74"/>
      <c r="Q1789" s="74"/>
      <c r="R1789" s="362"/>
    </row>
    <row r="1790" spans="1:18" s="12" customFormat="1" ht="24" hidden="1">
      <c r="A1790" s="124">
        <v>4178</v>
      </c>
      <c r="B1790" s="128" t="s">
        <v>312</v>
      </c>
      <c r="C1790" s="174"/>
      <c r="D1790" s="74">
        <f t="shared" si="229"/>
        <v>0</v>
      </c>
      <c r="E1790" s="89">
        <f t="shared" si="234"/>
        <v>0</v>
      </c>
      <c r="F1790" s="468" t="e">
        <f t="shared" si="226"/>
        <v>#DIV/0!</v>
      </c>
      <c r="G1790" s="174"/>
      <c r="H1790" s="74"/>
      <c r="I1790" s="442" t="e">
        <f t="shared" si="235"/>
        <v>#DIV/0!</v>
      </c>
      <c r="J1790" s="223"/>
      <c r="K1790" s="74"/>
      <c r="L1790" s="391"/>
      <c r="M1790" s="74"/>
      <c r="N1790" s="74"/>
      <c r="O1790" s="368"/>
      <c r="P1790" s="74"/>
      <c r="Q1790" s="74"/>
      <c r="R1790" s="362"/>
    </row>
    <row r="1791" spans="1:18" s="12" customFormat="1" ht="24" hidden="1">
      <c r="A1791" s="172">
        <v>4179</v>
      </c>
      <c r="B1791" s="128" t="s">
        <v>312</v>
      </c>
      <c r="C1791" s="174"/>
      <c r="D1791" s="74">
        <f t="shared" si="229"/>
        <v>0</v>
      </c>
      <c r="E1791" s="89">
        <f t="shared" si="234"/>
        <v>0</v>
      </c>
      <c r="F1791" s="468" t="e">
        <f t="shared" si="226"/>
        <v>#DIV/0!</v>
      </c>
      <c r="G1791" s="174"/>
      <c r="H1791" s="74"/>
      <c r="I1791" s="442" t="e">
        <f t="shared" si="235"/>
        <v>#DIV/0!</v>
      </c>
      <c r="J1791" s="223"/>
      <c r="K1791" s="74"/>
      <c r="L1791" s="391"/>
      <c r="M1791" s="74"/>
      <c r="N1791" s="74"/>
      <c r="O1791" s="368"/>
      <c r="P1791" s="74"/>
      <c r="Q1791" s="74"/>
      <c r="R1791" s="362"/>
    </row>
    <row r="1792" spans="1:18" s="12" customFormat="1" ht="24" hidden="1">
      <c r="A1792" s="172">
        <v>4218</v>
      </c>
      <c r="B1792" s="128" t="s">
        <v>638</v>
      </c>
      <c r="C1792" s="174"/>
      <c r="D1792" s="74">
        <f t="shared" si="229"/>
        <v>0</v>
      </c>
      <c r="E1792" s="89">
        <f t="shared" si="234"/>
        <v>0</v>
      </c>
      <c r="F1792" s="468" t="e">
        <f t="shared" si="226"/>
        <v>#DIV/0!</v>
      </c>
      <c r="G1792" s="174"/>
      <c r="H1792" s="74"/>
      <c r="I1792" s="442" t="e">
        <f t="shared" si="235"/>
        <v>#DIV/0!</v>
      </c>
      <c r="J1792" s="223"/>
      <c r="K1792" s="74"/>
      <c r="L1792" s="391"/>
      <c r="M1792" s="74"/>
      <c r="N1792" s="74"/>
      <c r="O1792" s="368"/>
      <c r="P1792" s="74"/>
      <c r="Q1792" s="74"/>
      <c r="R1792" s="362"/>
    </row>
    <row r="1793" spans="1:18" s="12" customFormat="1" ht="24" hidden="1">
      <c r="A1793" s="172">
        <v>4219</v>
      </c>
      <c r="B1793" s="128" t="s">
        <v>638</v>
      </c>
      <c r="C1793" s="174"/>
      <c r="D1793" s="74">
        <f t="shared" si="229"/>
        <v>0</v>
      </c>
      <c r="E1793" s="89">
        <f t="shared" si="234"/>
        <v>0</v>
      </c>
      <c r="F1793" s="468" t="e">
        <f t="shared" si="226"/>
        <v>#DIV/0!</v>
      </c>
      <c r="G1793" s="174"/>
      <c r="H1793" s="74"/>
      <c r="I1793" s="442" t="e">
        <f t="shared" si="235"/>
        <v>#DIV/0!</v>
      </c>
      <c r="J1793" s="223"/>
      <c r="K1793" s="74"/>
      <c r="L1793" s="391"/>
      <c r="M1793" s="74"/>
      <c r="N1793" s="74"/>
      <c r="O1793" s="368"/>
      <c r="P1793" s="74"/>
      <c r="Q1793" s="74"/>
      <c r="R1793" s="362"/>
    </row>
    <row r="1794" spans="1:18" s="12" customFormat="1" ht="24" hidden="1">
      <c r="A1794" s="172">
        <v>4300</v>
      </c>
      <c r="B1794" s="128" t="s">
        <v>510</v>
      </c>
      <c r="C1794" s="174"/>
      <c r="D1794" s="74">
        <f>G1794+J1794+P1794+M1794</f>
        <v>0</v>
      </c>
      <c r="E1794" s="89">
        <f>SUM(H1794+K1794+N1794+Q1794)</f>
        <v>0</v>
      </c>
      <c r="F1794" s="468" t="e">
        <f>E1794/D1794*100</f>
        <v>#DIV/0!</v>
      </c>
      <c r="G1794" s="174"/>
      <c r="H1794" s="74"/>
      <c r="I1794" s="442" t="e">
        <f t="shared" si="235"/>
        <v>#DIV/0!</v>
      </c>
      <c r="J1794" s="223"/>
      <c r="K1794" s="74"/>
      <c r="L1794" s="391"/>
      <c r="M1794" s="74"/>
      <c r="N1794" s="74"/>
      <c r="O1794" s="368"/>
      <c r="P1794" s="74"/>
      <c r="Q1794" s="74"/>
      <c r="R1794" s="362"/>
    </row>
    <row r="1795" spans="1:18" s="12" customFormat="1" ht="24.75" hidden="1" thickBot="1">
      <c r="A1795" s="172">
        <v>4308</v>
      </c>
      <c r="B1795" s="128" t="s">
        <v>510</v>
      </c>
      <c r="C1795" s="174"/>
      <c r="D1795" s="74">
        <f t="shared" si="229"/>
        <v>0</v>
      </c>
      <c r="E1795" s="89">
        <f t="shared" si="234"/>
        <v>0</v>
      </c>
      <c r="F1795" s="468" t="e">
        <f t="shared" si="226"/>
        <v>#DIV/0!</v>
      </c>
      <c r="G1795" s="174"/>
      <c r="H1795" s="74"/>
      <c r="I1795" s="442" t="e">
        <f t="shared" si="235"/>
        <v>#DIV/0!</v>
      </c>
      <c r="J1795" s="223"/>
      <c r="K1795" s="74"/>
      <c r="L1795" s="391"/>
      <c r="M1795" s="74"/>
      <c r="N1795" s="74"/>
      <c r="O1795" s="368"/>
      <c r="P1795" s="74"/>
      <c r="Q1795" s="74"/>
      <c r="R1795" s="362"/>
    </row>
    <row r="1796" spans="1:18" s="12" customFormat="1" ht="24" hidden="1">
      <c r="A1796" s="172">
        <v>4309</v>
      </c>
      <c r="B1796" s="128" t="s">
        <v>510</v>
      </c>
      <c r="C1796" s="174"/>
      <c r="D1796" s="74">
        <f t="shared" si="229"/>
        <v>0</v>
      </c>
      <c r="E1796" s="89">
        <f t="shared" si="234"/>
        <v>0</v>
      </c>
      <c r="F1796" s="468" t="e">
        <f t="shared" si="226"/>
        <v>#DIV/0!</v>
      </c>
      <c r="G1796" s="174"/>
      <c r="H1796" s="74"/>
      <c r="I1796" s="442" t="e">
        <f t="shared" si="235"/>
        <v>#DIV/0!</v>
      </c>
      <c r="J1796" s="223"/>
      <c r="K1796" s="74"/>
      <c r="L1796" s="391"/>
      <c r="M1796" s="74"/>
      <c r="N1796" s="74"/>
      <c r="O1796" s="368"/>
      <c r="P1796" s="74"/>
      <c r="Q1796" s="74"/>
      <c r="R1796" s="362"/>
    </row>
    <row r="1797" spans="1:18" s="12" customFormat="1" ht="36" hidden="1">
      <c r="A1797" s="124">
        <v>4380</v>
      </c>
      <c r="B1797" s="128" t="s">
        <v>299</v>
      </c>
      <c r="C1797" s="174"/>
      <c r="D1797" s="74">
        <f>G1797+J1797+P1797+M1797</f>
        <v>0</v>
      </c>
      <c r="E1797" s="89">
        <f>SUM(H1797+K1797+N1797+Q1797)</f>
        <v>0</v>
      </c>
      <c r="F1797" s="468" t="e">
        <f>E1797/D1797*100</f>
        <v>#DIV/0!</v>
      </c>
      <c r="G1797" s="174"/>
      <c r="H1797" s="74"/>
      <c r="I1797" s="442" t="e">
        <f t="shared" si="235"/>
        <v>#DIV/0!</v>
      </c>
      <c r="J1797" s="223"/>
      <c r="K1797" s="74"/>
      <c r="L1797" s="391"/>
      <c r="M1797" s="74"/>
      <c r="N1797" s="74"/>
      <c r="O1797" s="368"/>
      <c r="P1797" s="74"/>
      <c r="Q1797" s="74"/>
      <c r="R1797" s="362"/>
    </row>
    <row r="1798" spans="1:18" s="118" customFormat="1" ht="36" hidden="1">
      <c r="A1798" s="124">
        <v>4388</v>
      </c>
      <c r="B1798" s="128" t="s">
        <v>299</v>
      </c>
      <c r="C1798" s="88"/>
      <c r="D1798" s="74">
        <f t="shared" si="229"/>
        <v>0</v>
      </c>
      <c r="E1798" s="89">
        <f t="shared" si="234"/>
        <v>0</v>
      </c>
      <c r="F1798" s="468" t="e">
        <f t="shared" si="226"/>
        <v>#DIV/0!</v>
      </c>
      <c r="G1798" s="88"/>
      <c r="H1798" s="89"/>
      <c r="I1798" s="442" t="e">
        <f t="shared" si="235"/>
        <v>#DIV/0!</v>
      </c>
      <c r="J1798" s="220"/>
      <c r="K1798" s="89"/>
      <c r="L1798" s="391"/>
      <c r="M1798" s="89"/>
      <c r="N1798" s="89"/>
      <c r="O1798" s="368"/>
      <c r="P1798" s="89"/>
      <c r="Q1798" s="89"/>
      <c r="R1798" s="362"/>
    </row>
    <row r="1799" spans="1:18" s="118" customFormat="1" ht="36" hidden="1">
      <c r="A1799" s="124">
        <v>4389</v>
      </c>
      <c r="B1799" s="128" t="s">
        <v>299</v>
      </c>
      <c r="C1799" s="88"/>
      <c r="D1799" s="74">
        <f>G1799+J1799+P1799+M1799</f>
        <v>0</v>
      </c>
      <c r="E1799" s="89">
        <f>SUM(H1799+K1799+N1799+Q1799)</f>
        <v>0</v>
      </c>
      <c r="F1799" s="468" t="e">
        <f>E1799/D1799*100</f>
        <v>#DIV/0!</v>
      </c>
      <c r="G1799" s="88"/>
      <c r="H1799" s="89"/>
      <c r="I1799" s="442" t="e">
        <f t="shared" si="235"/>
        <v>#DIV/0!</v>
      </c>
      <c r="J1799" s="220"/>
      <c r="K1799" s="89"/>
      <c r="L1799" s="391"/>
      <c r="M1799" s="89"/>
      <c r="N1799" s="89"/>
      <c r="O1799" s="368"/>
      <c r="P1799" s="89"/>
      <c r="Q1799" s="89"/>
      <c r="R1799" s="362"/>
    </row>
    <row r="1800" spans="1:18" s="118" customFormat="1" ht="12.75" hidden="1">
      <c r="A1800" s="124">
        <v>4430</v>
      </c>
      <c r="B1800" s="128" t="s">
        <v>512</v>
      </c>
      <c r="C1800" s="88"/>
      <c r="D1800" s="74">
        <f>G1800+J1800+P1800+M1800</f>
        <v>0</v>
      </c>
      <c r="E1800" s="89">
        <f>SUM(H1800+K1800+N1800+Q1800)</f>
        <v>0</v>
      </c>
      <c r="F1800" s="468" t="e">
        <f>E1800/D1800*100</f>
        <v>#DIV/0!</v>
      </c>
      <c r="G1800" s="88"/>
      <c r="H1800" s="89"/>
      <c r="I1800" s="442" t="e">
        <f t="shared" si="235"/>
        <v>#DIV/0!</v>
      </c>
      <c r="J1800" s="220"/>
      <c r="K1800" s="89"/>
      <c r="L1800" s="391"/>
      <c r="M1800" s="89"/>
      <c r="N1800" s="89"/>
      <c r="O1800" s="368"/>
      <c r="P1800" s="89"/>
      <c r="Q1800" s="89"/>
      <c r="R1800" s="362"/>
    </row>
    <row r="1801" spans="1:18" s="118" customFormat="1" ht="12.75" hidden="1">
      <c r="A1801" s="124">
        <v>4438</v>
      </c>
      <c r="B1801" s="128" t="s">
        <v>512</v>
      </c>
      <c r="C1801" s="88"/>
      <c r="D1801" s="74">
        <f>G1801+J1801+P1801+M1801</f>
        <v>0</v>
      </c>
      <c r="E1801" s="89">
        <f>SUM(H1801+K1801+N1801+Q1801)</f>
        <v>0</v>
      </c>
      <c r="F1801" s="468" t="e">
        <f>E1801/D1801*100</f>
        <v>#DIV/0!</v>
      </c>
      <c r="G1801" s="88"/>
      <c r="H1801" s="89"/>
      <c r="I1801" s="442" t="e">
        <f t="shared" si="235"/>
        <v>#DIV/0!</v>
      </c>
      <c r="J1801" s="220"/>
      <c r="K1801" s="89"/>
      <c r="L1801" s="391"/>
      <c r="M1801" s="89"/>
      <c r="N1801" s="89"/>
      <c r="O1801" s="368"/>
      <c r="P1801" s="89"/>
      <c r="Q1801" s="89"/>
      <c r="R1801" s="362"/>
    </row>
    <row r="1802" spans="1:18" s="118" customFormat="1" ht="13.5" hidden="1" thickBot="1">
      <c r="A1802" s="124">
        <v>4439</v>
      </c>
      <c r="B1802" s="128" t="s">
        <v>512</v>
      </c>
      <c r="C1802" s="88"/>
      <c r="D1802" s="74">
        <f t="shared" si="229"/>
        <v>0</v>
      </c>
      <c r="E1802" s="89">
        <f t="shared" si="234"/>
        <v>0</v>
      </c>
      <c r="F1802" s="468" t="e">
        <f aca="true" t="shared" si="236" ref="F1802:F1820">E1802/D1802*100</f>
        <v>#DIV/0!</v>
      </c>
      <c r="G1802" s="88"/>
      <c r="H1802" s="89"/>
      <c r="I1802" s="442" t="e">
        <f t="shared" si="235"/>
        <v>#DIV/0!</v>
      </c>
      <c r="J1802" s="220"/>
      <c r="K1802" s="89"/>
      <c r="L1802" s="391"/>
      <c r="M1802" s="89"/>
      <c r="N1802" s="89"/>
      <c r="O1802" s="368"/>
      <c r="P1802" s="89"/>
      <c r="Q1802" s="89"/>
      <c r="R1802" s="362"/>
    </row>
    <row r="1803" spans="1:18" s="13" customFormat="1" ht="39" customHeight="1" thickBot="1" thickTop="1">
      <c r="A1803" s="293">
        <v>926</v>
      </c>
      <c r="B1803" s="294" t="s">
        <v>189</v>
      </c>
      <c r="C1803" s="133">
        <f>SUM(C1804+C1821+C1818)</f>
        <v>6631300</v>
      </c>
      <c r="D1803" s="59">
        <f t="shared" si="229"/>
        <v>7507800</v>
      </c>
      <c r="E1803" s="59">
        <f>H1803+K1803+Q1803+N1803</f>
        <v>2480014</v>
      </c>
      <c r="F1803" s="496">
        <f t="shared" si="236"/>
        <v>33.03249953381816</v>
      </c>
      <c r="G1803" s="133">
        <f>SUM(G1804+G1821+G1818)</f>
        <v>7507800</v>
      </c>
      <c r="H1803" s="59">
        <f>SUM(H1804+H1821+H1818)</f>
        <v>2480014</v>
      </c>
      <c r="I1803" s="354">
        <f t="shared" si="235"/>
        <v>33.03249953381816</v>
      </c>
      <c r="J1803" s="325"/>
      <c r="K1803" s="59"/>
      <c r="L1803" s="419"/>
      <c r="M1803" s="59"/>
      <c r="N1803" s="59"/>
      <c r="O1803" s="390"/>
      <c r="P1803" s="59"/>
      <c r="Q1803" s="59"/>
      <c r="R1803" s="373"/>
    </row>
    <row r="1804" spans="1:18" ht="21.75" customHeight="1" thickTop="1">
      <c r="A1804" s="255">
        <v>92601</v>
      </c>
      <c r="B1804" s="256" t="s">
        <v>190</v>
      </c>
      <c r="C1804" s="257">
        <f>SUM(C1805:C1809)+C1814</f>
        <v>3150000</v>
      </c>
      <c r="D1804" s="67">
        <f t="shared" si="229"/>
        <v>3636500</v>
      </c>
      <c r="E1804" s="186">
        <f>H1804+K1804+Q1804+N1804</f>
        <v>232837</v>
      </c>
      <c r="F1804" s="518">
        <f t="shared" si="236"/>
        <v>6.4027773958476555</v>
      </c>
      <c r="G1804" s="257">
        <f>SUM(G1805:G1809)+G1814</f>
        <v>3636500</v>
      </c>
      <c r="H1804" s="186">
        <f>SUM(H1805:H1809)+H1814</f>
        <v>232837</v>
      </c>
      <c r="I1804" s="355">
        <f t="shared" si="235"/>
        <v>6.4027773958476555</v>
      </c>
      <c r="J1804" s="269"/>
      <c r="K1804" s="186"/>
      <c r="L1804" s="420"/>
      <c r="M1804" s="186"/>
      <c r="N1804" s="186"/>
      <c r="O1804" s="412"/>
      <c r="P1804" s="186"/>
      <c r="Q1804" s="186"/>
      <c r="R1804" s="380"/>
    </row>
    <row r="1805" spans="1:18" ht="61.5" customHeight="1" hidden="1">
      <c r="A1805" s="108">
        <v>2820</v>
      </c>
      <c r="B1805" s="199" t="s">
        <v>119</v>
      </c>
      <c r="C1805" s="88"/>
      <c r="D1805" s="74">
        <f t="shared" si="229"/>
        <v>0</v>
      </c>
      <c r="E1805" s="89">
        <f>H1805+K1805+Q1805+N1805</f>
        <v>0</v>
      </c>
      <c r="F1805" s="468" t="e">
        <f t="shared" si="236"/>
        <v>#DIV/0!</v>
      </c>
      <c r="G1805" s="88"/>
      <c r="H1805" s="104"/>
      <c r="I1805" s="224" t="e">
        <f t="shared" si="235"/>
        <v>#DIV/0!</v>
      </c>
      <c r="J1805" s="200"/>
      <c r="K1805" s="104"/>
      <c r="L1805" s="414"/>
      <c r="M1805" s="104"/>
      <c r="N1805" s="104"/>
      <c r="O1805" s="388"/>
      <c r="P1805" s="104"/>
      <c r="Q1805" s="104"/>
      <c r="R1805" s="365"/>
    </row>
    <row r="1806" spans="1:18" ht="36">
      <c r="A1806" s="124">
        <v>4300</v>
      </c>
      <c r="B1806" s="128" t="s">
        <v>420</v>
      </c>
      <c r="C1806" s="88"/>
      <c r="D1806" s="74">
        <f t="shared" si="229"/>
        <v>215000</v>
      </c>
      <c r="E1806" s="89">
        <f>H1806+K1806+Q1806+N1806</f>
        <v>34832</v>
      </c>
      <c r="F1806" s="468">
        <f t="shared" si="236"/>
        <v>16.20093023255814</v>
      </c>
      <c r="G1806" s="88">
        <f>45000+170000-25000+25000</f>
        <v>215000</v>
      </c>
      <c r="H1806" s="89">
        <v>34832</v>
      </c>
      <c r="I1806" s="224">
        <f t="shared" si="235"/>
        <v>16.20093023255814</v>
      </c>
      <c r="J1806" s="126"/>
      <c r="K1806" s="89"/>
      <c r="L1806" s="391"/>
      <c r="M1806" s="89"/>
      <c r="N1806" s="89"/>
      <c r="O1806" s="368"/>
      <c r="P1806" s="89"/>
      <c r="Q1806" s="89"/>
      <c r="R1806" s="362"/>
    </row>
    <row r="1807" spans="1:18" ht="24" hidden="1">
      <c r="A1807" s="124">
        <v>4270</v>
      </c>
      <c r="B1807" s="128" t="s">
        <v>508</v>
      </c>
      <c r="C1807" s="88"/>
      <c r="D1807" s="74">
        <f t="shared" si="229"/>
        <v>0</v>
      </c>
      <c r="E1807" s="89">
        <f aca="true" t="shared" si="237" ref="E1807:E1813">SUM(H1807+K1807+N1807+Q1807)</f>
        <v>0</v>
      </c>
      <c r="F1807" s="468" t="e">
        <f t="shared" si="236"/>
        <v>#DIV/0!</v>
      </c>
      <c r="G1807" s="88"/>
      <c r="H1807" s="74"/>
      <c r="I1807" s="224" t="e">
        <f t="shared" si="235"/>
        <v>#DIV/0!</v>
      </c>
      <c r="J1807" s="126"/>
      <c r="K1807" s="89"/>
      <c r="L1807" s="391"/>
      <c r="M1807" s="89"/>
      <c r="N1807" s="89"/>
      <c r="O1807" s="368"/>
      <c r="P1807" s="89"/>
      <c r="Q1807" s="89"/>
      <c r="R1807" s="362"/>
    </row>
    <row r="1808" spans="1:18" ht="60">
      <c r="A1808" s="124">
        <v>6010</v>
      </c>
      <c r="B1808" s="128" t="s">
        <v>315</v>
      </c>
      <c r="C1808" s="88">
        <v>2000000</v>
      </c>
      <c r="D1808" s="74">
        <f t="shared" si="229"/>
        <v>2000000</v>
      </c>
      <c r="E1808" s="89">
        <f t="shared" si="237"/>
        <v>0</v>
      </c>
      <c r="F1808" s="468">
        <f t="shared" si="236"/>
        <v>0</v>
      </c>
      <c r="G1808" s="88">
        <v>2000000</v>
      </c>
      <c r="H1808" s="74"/>
      <c r="I1808" s="224">
        <f t="shared" si="235"/>
        <v>0</v>
      </c>
      <c r="J1808" s="126"/>
      <c r="K1808" s="89"/>
      <c r="L1808" s="391"/>
      <c r="M1808" s="89"/>
      <c r="N1808" s="89"/>
      <c r="O1808" s="368"/>
      <c r="P1808" s="89"/>
      <c r="Q1808" s="89"/>
      <c r="R1808" s="362"/>
    </row>
    <row r="1809" spans="1:18" ht="27.75" customHeight="1">
      <c r="A1809" s="124">
        <v>6050</v>
      </c>
      <c r="B1809" s="128" t="s">
        <v>574</v>
      </c>
      <c r="C1809" s="88">
        <f>SUM(C1810:C1813)</f>
        <v>1150000</v>
      </c>
      <c r="D1809" s="74">
        <f t="shared" si="229"/>
        <v>1421500</v>
      </c>
      <c r="E1809" s="89">
        <f t="shared" si="237"/>
        <v>198005</v>
      </c>
      <c r="F1809" s="468">
        <f t="shared" si="236"/>
        <v>13.92930003517411</v>
      </c>
      <c r="G1809" s="88">
        <f>SUM(G1810:G1813)</f>
        <v>1421500</v>
      </c>
      <c r="H1809" s="89">
        <f>SUM(H1810:H1813)</f>
        <v>198005</v>
      </c>
      <c r="I1809" s="224">
        <f t="shared" si="235"/>
        <v>13.92930003517411</v>
      </c>
      <c r="J1809" s="126"/>
      <c r="K1809" s="89"/>
      <c r="L1809" s="391"/>
      <c r="M1809" s="89"/>
      <c r="N1809" s="89"/>
      <c r="O1809" s="368"/>
      <c r="P1809" s="89"/>
      <c r="Q1809" s="89"/>
      <c r="R1809" s="362"/>
    </row>
    <row r="1810" spans="1:18" s="11" customFormat="1" ht="13.5" customHeight="1">
      <c r="A1810" s="164"/>
      <c r="B1810" s="233" t="s">
        <v>191</v>
      </c>
      <c r="C1810" s="234">
        <v>1000000</v>
      </c>
      <c r="D1810" s="236">
        <f t="shared" si="229"/>
        <v>1000000</v>
      </c>
      <c r="E1810" s="236">
        <f t="shared" si="237"/>
        <v>198005</v>
      </c>
      <c r="F1810" s="468">
        <f t="shared" si="236"/>
        <v>19.8005</v>
      </c>
      <c r="G1810" s="234">
        <v>1000000</v>
      </c>
      <c r="H1810" s="236">
        <f>98+57340+140567</f>
        <v>198005</v>
      </c>
      <c r="I1810" s="442">
        <f t="shared" si="235"/>
        <v>19.8005</v>
      </c>
      <c r="J1810" s="237"/>
      <c r="K1810" s="236"/>
      <c r="L1810" s="391"/>
      <c r="M1810" s="236"/>
      <c r="N1810" s="236"/>
      <c r="O1810" s="391"/>
      <c r="P1810" s="236"/>
      <c r="Q1810" s="236"/>
      <c r="R1810" s="369"/>
    </row>
    <row r="1811" spans="1:18" s="11" customFormat="1" ht="36">
      <c r="A1811" s="164"/>
      <c r="B1811" s="233" t="s">
        <v>316</v>
      </c>
      <c r="C1811" s="234">
        <v>50000</v>
      </c>
      <c r="D1811" s="236">
        <f>G1811+J1811+P1811+M1811</f>
        <v>50000</v>
      </c>
      <c r="E1811" s="236">
        <f>SUM(H1811+K1811+N1811+Q1811)</f>
        <v>0</v>
      </c>
      <c r="F1811" s="468">
        <f t="shared" si="236"/>
        <v>0</v>
      </c>
      <c r="G1811" s="234">
        <v>50000</v>
      </c>
      <c r="H1811" s="236"/>
      <c r="I1811" s="442"/>
      <c r="J1811" s="237"/>
      <c r="K1811" s="236"/>
      <c r="L1811" s="391"/>
      <c r="M1811" s="236"/>
      <c r="N1811" s="236"/>
      <c r="O1811" s="391"/>
      <c r="P1811" s="236"/>
      <c r="Q1811" s="236"/>
      <c r="R1811" s="369"/>
    </row>
    <row r="1812" spans="1:18" s="11" customFormat="1" ht="36" hidden="1">
      <c r="A1812" s="164"/>
      <c r="B1812" s="233" t="s">
        <v>348</v>
      </c>
      <c r="C1812" s="234"/>
      <c r="D1812" s="236">
        <f>G1812+J1812+P1812+M1812</f>
        <v>0</v>
      </c>
      <c r="E1812" s="236">
        <f>SUM(H1812+K1812+N1812+Q1812)</f>
        <v>0</v>
      </c>
      <c r="F1812" s="468" t="e">
        <f>E1812/D1812*100</f>
        <v>#DIV/0!</v>
      </c>
      <c r="G1812" s="234"/>
      <c r="H1812" s="236"/>
      <c r="I1812" s="442" t="e">
        <f t="shared" si="235"/>
        <v>#DIV/0!</v>
      </c>
      <c r="J1812" s="237"/>
      <c r="K1812" s="236"/>
      <c r="L1812" s="391"/>
      <c r="M1812" s="236"/>
      <c r="N1812" s="236"/>
      <c r="O1812" s="391"/>
      <c r="P1812" s="236"/>
      <c r="Q1812" s="236"/>
      <c r="R1812" s="369"/>
    </row>
    <row r="1813" spans="1:18" s="11" customFormat="1" ht="36">
      <c r="A1813" s="164"/>
      <c r="B1813" s="233" t="s">
        <v>218</v>
      </c>
      <c r="C1813" s="234">
        <v>100000</v>
      </c>
      <c r="D1813" s="236">
        <f t="shared" si="229"/>
        <v>371500</v>
      </c>
      <c r="E1813" s="236">
        <f t="shared" si="237"/>
        <v>0</v>
      </c>
      <c r="F1813" s="468">
        <f t="shared" si="236"/>
        <v>0</v>
      </c>
      <c r="G1813" s="234">
        <f>100000+271500</f>
        <v>371500</v>
      </c>
      <c r="H1813" s="236"/>
      <c r="I1813" s="442">
        <f t="shared" si="235"/>
        <v>0</v>
      </c>
      <c r="J1813" s="237"/>
      <c r="K1813" s="236"/>
      <c r="L1813" s="391"/>
      <c r="M1813" s="236"/>
      <c r="N1813" s="236"/>
      <c r="O1813" s="391"/>
      <c r="P1813" s="236"/>
      <c r="Q1813" s="236"/>
      <c r="R1813" s="369"/>
    </row>
    <row r="1814" spans="1:18" s="143" customFormat="1" ht="48" hidden="1">
      <c r="A1814" s="135"/>
      <c r="B1814" s="136" t="s">
        <v>228</v>
      </c>
      <c r="C1814" s="137">
        <f>SUM(C1815:C1817)</f>
        <v>0</v>
      </c>
      <c r="D1814" s="139">
        <f aca="true" t="shared" si="238" ref="D1814:E1818">G1814+J1814+P1814+M1814</f>
        <v>0</v>
      </c>
      <c r="E1814" s="139">
        <f t="shared" si="238"/>
        <v>0</v>
      </c>
      <c r="F1814" s="468" t="e">
        <f t="shared" si="236"/>
        <v>#DIV/0!</v>
      </c>
      <c r="G1814" s="137">
        <f>SUM(G1815:G1817)</f>
        <v>0</v>
      </c>
      <c r="H1814" s="139">
        <f>SUM(H1815:H1817)</f>
        <v>0</v>
      </c>
      <c r="I1814" s="442" t="e">
        <f t="shared" si="235"/>
        <v>#DIV/0!</v>
      </c>
      <c r="J1814" s="140"/>
      <c r="K1814" s="139"/>
      <c r="L1814" s="403"/>
      <c r="M1814" s="139"/>
      <c r="N1814" s="139"/>
      <c r="O1814" s="399"/>
      <c r="P1814" s="139"/>
      <c r="Q1814" s="139"/>
      <c r="R1814" s="364"/>
    </row>
    <row r="1815" spans="1:18" s="143" customFormat="1" ht="24" hidden="1">
      <c r="A1815" s="124">
        <v>6050</v>
      </c>
      <c r="B1815" s="128" t="s">
        <v>574</v>
      </c>
      <c r="C1815" s="174"/>
      <c r="D1815" s="74">
        <f t="shared" si="238"/>
        <v>0</v>
      </c>
      <c r="E1815" s="74">
        <f t="shared" si="238"/>
        <v>0</v>
      </c>
      <c r="F1815" s="468" t="e">
        <f t="shared" si="236"/>
        <v>#DIV/0!</v>
      </c>
      <c r="G1815" s="174"/>
      <c r="H1815" s="74"/>
      <c r="I1815" s="442" t="e">
        <f t="shared" si="235"/>
        <v>#DIV/0!</v>
      </c>
      <c r="J1815" s="140"/>
      <c r="K1815" s="139"/>
      <c r="L1815" s="403"/>
      <c r="M1815" s="139"/>
      <c r="N1815" s="139"/>
      <c r="O1815" s="399"/>
      <c r="P1815" s="139"/>
      <c r="Q1815" s="139"/>
      <c r="R1815" s="364"/>
    </row>
    <row r="1816" spans="1:18" ht="24" hidden="1">
      <c r="A1816" s="124">
        <v>6058</v>
      </c>
      <c r="B1816" s="128" t="s">
        <v>574</v>
      </c>
      <c r="C1816" s="174"/>
      <c r="D1816" s="74">
        <f t="shared" si="238"/>
        <v>0</v>
      </c>
      <c r="E1816" s="74">
        <f t="shared" si="238"/>
        <v>0</v>
      </c>
      <c r="F1816" s="468" t="e">
        <f t="shared" si="236"/>
        <v>#DIV/0!</v>
      </c>
      <c r="G1816" s="88"/>
      <c r="H1816" s="89"/>
      <c r="I1816" s="442" t="e">
        <f t="shared" si="235"/>
        <v>#DIV/0!</v>
      </c>
      <c r="J1816" s="126"/>
      <c r="K1816" s="89"/>
      <c r="L1816" s="391"/>
      <c r="M1816" s="89"/>
      <c r="N1816" s="89"/>
      <c r="O1816" s="368"/>
      <c r="P1816" s="89"/>
      <c r="Q1816" s="89"/>
      <c r="R1816" s="362"/>
    </row>
    <row r="1817" spans="1:18" ht="24" hidden="1">
      <c r="A1817" s="124">
        <v>6059</v>
      </c>
      <c r="B1817" s="128" t="s">
        <v>574</v>
      </c>
      <c r="C1817" s="174"/>
      <c r="D1817" s="74">
        <f t="shared" si="238"/>
        <v>0</v>
      </c>
      <c r="E1817" s="74">
        <f t="shared" si="238"/>
        <v>0</v>
      </c>
      <c r="F1817" s="468" t="e">
        <f t="shared" si="236"/>
        <v>#DIV/0!</v>
      </c>
      <c r="G1817" s="88"/>
      <c r="H1817" s="89"/>
      <c r="I1817" s="442" t="e">
        <f t="shared" si="235"/>
        <v>#DIV/0!</v>
      </c>
      <c r="J1817" s="126"/>
      <c r="K1817" s="89"/>
      <c r="L1817" s="391"/>
      <c r="M1817" s="89"/>
      <c r="N1817" s="89"/>
      <c r="O1817" s="368"/>
      <c r="P1817" s="89"/>
      <c r="Q1817" s="89"/>
      <c r="R1817" s="362"/>
    </row>
    <row r="1818" spans="1:18" s="118" customFormat="1" ht="36">
      <c r="A1818" s="119">
        <v>92605</v>
      </c>
      <c r="B1818" s="185" t="s">
        <v>192</v>
      </c>
      <c r="C1818" s="121">
        <f>SUM(C1819:C1819)</f>
        <v>3300000</v>
      </c>
      <c r="D1818" s="95">
        <f t="shared" si="238"/>
        <v>3640000</v>
      </c>
      <c r="E1818" s="84">
        <f t="shared" si="238"/>
        <v>2168380</v>
      </c>
      <c r="F1818" s="467">
        <f t="shared" si="236"/>
        <v>59.57087912087912</v>
      </c>
      <c r="G1818" s="121">
        <f>SUM(G1819:G1820)</f>
        <v>3640000</v>
      </c>
      <c r="H1818" s="84">
        <f>SUM(H1819:H1820)</f>
        <v>2168380</v>
      </c>
      <c r="I1818" s="448">
        <f>H1818/G1818*100</f>
        <v>59.57087912087912</v>
      </c>
      <c r="J1818" s="123"/>
      <c r="K1818" s="84"/>
      <c r="L1818" s="417"/>
      <c r="M1818" s="84"/>
      <c r="N1818" s="84"/>
      <c r="O1818" s="381"/>
      <c r="P1818" s="84"/>
      <c r="Q1818" s="84"/>
      <c r="R1818" s="372"/>
    </row>
    <row r="1819" spans="1:18" ht="63.75" customHeight="1">
      <c r="A1819" s="124">
        <v>2820</v>
      </c>
      <c r="B1819" s="128" t="s">
        <v>87</v>
      </c>
      <c r="C1819" s="88">
        <v>3300000</v>
      </c>
      <c r="D1819" s="74">
        <f>G1819+J1819+P1819+M1819</f>
        <v>3640000</v>
      </c>
      <c r="E1819" s="89">
        <f aca="true" t="shared" si="239" ref="E1819:E1833">SUM(H1819+K1819+N1819+Q1819)</f>
        <v>2168380</v>
      </c>
      <c r="F1819" s="468">
        <f t="shared" si="236"/>
        <v>59.57087912087912</v>
      </c>
      <c r="G1819" s="88">
        <f>3300000+70000+30000+240000</f>
        <v>3640000</v>
      </c>
      <c r="H1819" s="89">
        <f>2168379+1</f>
        <v>2168380</v>
      </c>
      <c r="I1819" s="464">
        <f>H1819/G1819*100</f>
        <v>59.57087912087912</v>
      </c>
      <c r="J1819" s="126"/>
      <c r="K1819" s="89"/>
      <c r="L1819" s="391"/>
      <c r="M1819" s="89"/>
      <c r="N1819" s="89"/>
      <c r="O1819" s="368"/>
      <c r="P1819" s="89"/>
      <c r="Q1819" s="89"/>
      <c r="R1819" s="362"/>
    </row>
    <row r="1820" spans="1:18" ht="27.75" customHeight="1" hidden="1">
      <c r="A1820" s="124">
        <v>4300</v>
      </c>
      <c r="B1820" s="128" t="s">
        <v>510</v>
      </c>
      <c r="C1820" s="88"/>
      <c r="D1820" s="74">
        <f>G1820+J1820+P1820+M1820</f>
        <v>0</v>
      </c>
      <c r="E1820" s="89">
        <f t="shared" si="239"/>
        <v>0</v>
      </c>
      <c r="F1820" s="468" t="e">
        <f t="shared" si="236"/>
        <v>#DIV/0!</v>
      </c>
      <c r="G1820" s="88"/>
      <c r="H1820" s="89"/>
      <c r="I1820" s="442" t="e">
        <f>H1820/G1820*100</f>
        <v>#DIV/0!</v>
      </c>
      <c r="J1820" s="126"/>
      <c r="K1820" s="89"/>
      <c r="L1820" s="391"/>
      <c r="M1820" s="89"/>
      <c r="N1820" s="89"/>
      <c r="O1820" s="368"/>
      <c r="P1820" s="89"/>
      <c r="Q1820" s="89"/>
      <c r="R1820" s="362"/>
    </row>
    <row r="1821" spans="1:18" ht="15.75" customHeight="1">
      <c r="A1821" s="119">
        <v>92695</v>
      </c>
      <c r="B1821" s="185" t="s">
        <v>193</v>
      </c>
      <c r="C1821" s="121">
        <f>SUM(C1823:C1833)</f>
        <v>181300</v>
      </c>
      <c r="D1821" s="95">
        <f>G1821+J1821+P1821+M1821</f>
        <v>231300</v>
      </c>
      <c r="E1821" s="84">
        <f>H1821+K1821+Q1821+N1821</f>
        <v>78797</v>
      </c>
      <c r="F1821" s="467">
        <f>E1821/D1821*100</f>
        <v>34.06701253782966</v>
      </c>
      <c r="G1821" s="121">
        <f>SUM(G1822:G1833)</f>
        <v>231300</v>
      </c>
      <c r="H1821" s="84">
        <f>SUM(H1822:H1833)</f>
        <v>78797</v>
      </c>
      <c r="I1821" s="448">
        <f>H1821/G1821*100</f>
        <v>34.06701253782966</v>
      </c>
      <c r="J1821" s="123"/>
      <c r="K1821" s="84"/>
      <c r="L1821" s="417"/>
      <c r="M1821" s="84"/>
      <c r="N1821" s="84"/>
      <c r="O1821" s="381"/>
      <c r="P1821" s="84"/>
      <c r="Q1821" s="84"/>
      <c r="R1821" s="372"/>
    </row>
    <row r="1822" spans="1:18" s="12" customFormat="1" ht="29.25" customHeight="1" hidden="1">
      <c r="A1822" s="172">
        <v>3240</v>
      </c>
      <c r="B1822" s="128" t="s">
        <v>194</v>
      </c>
      <c r="C1822" s="174"/>
      <c r="D1822" s="103"/>
      <c r="E1822" s="103"/>
      <c r="F1822" s="468"/>
      <c r="G1822" s="174"/>
      <c r="H1822" s="74"/>
      <c r="I1822" s="224"/>
      <c r="J1822" s="175"/>
      <c r="K1822" s="74"/>
      <c r="L1822" s="391"/>
      <c r="M1822" s="74"/>
      <c r="N1822" s="74"/>
      <c r="O1822" s="368"/>
      <c r="P1822" s="74"/>
      <c r="Q1822" s="74"/>
      <c r="R1822" s="362"/>
    </row>
    <row r="1823" spans="1:18" ht="27.75" customHeight="1" hidden="1">
      <c r="A1823" s="124">
        <v>3020</v>
      </c>
      <c r="B1823" s="128" t="s">
        <v>53</v>
      </c>
      <c r="C1823" s="88"/>
      <c r="D1823" s="74">
        <f aca="true" t="shared" si="240" ref="D1823:D1833">G1823+J1823+P1823+M1823</f>
        <v>0</v>
      </c>
      <c r="E1823" s="89">
        <f t="shared" si="239"/>
        <v>0</v>
      </c>
      <c r="F1823" s="468"/>
      <c r="G1823" s="88"/>
      <c r="H1823" s="89"/>
      <c r="I1823" s="224"/>
      <c r="J1823" s="126"/>
      <c r="K1823" s="89"/>
      <c r="L1823" s="391"/>
      <c r="M1823" s="89"/>
      <c r="N1823" s="89"/>
      <c r="O1823" s="368"/>
      <c r="P1823" s="89"/>
      <c r="Q1823" s="89"/>
      <c r="R1823" s="362"/>
    </row>
    <row r="1824" spans="1:18" ht="39.75" customHeight="1">
      <c r="A1824" s="124">
        <v>3040</v>
      </c>
      <c r="B1824" s="128" t="s">
        <v>78</v>
      </c>
      <c r="C1824" s="88">
        <v>36000</v>
      </c>
      <c r="D1824" s="74">
        <f t="shared" si="240"/>
        <v>61000</v>
      </c>
      <c r="E1824" s="89">
        <f t="shared" si="239"/>
        <v>20549</v>
      </c>
      <c r="F1824" s="468">
        <f aca="true" t="shared" si="241" ref="F1824:F1839">E1824/D1824*100</f>
        <v>33.686885245901635</v>
      </c>
      <c r="G1824" s="88">
        <f>36000+25000</f>
        <v>61000</v>
      </c>
      <c r="H1824" s="89">
        <v>20549</v>
      </c>
      <c r="I1824" s="442">
        <f aca="true" t="shared" si="242" ref="I1824:I1833">H1824/G1824*100</f>
        <v>33.686885245901635</v>
      </c>
      <c r="J1824" s="126"/>
      <c r="K1824" s="89"/>
      <c r="L1824" s="391"/>
      <c r="M1824" s="89"/>
      <c r="N1824" s="89"/>
      <c r="O1824" s="368"/>
      <c r="P1824" s="89"/>
      <c r="Q1824" s="89"/>
      <c r="R1824" s="362"/>
    </row>
    <row r="1825" spans="1:18" ht="12.75">
      <c r="A1825" s="124">
        <v>3250</v>
      </c>
      <c r="B1825" s="128" t="s">
        <v>301</v>
      </c>
      <c r="C1825" s="88">
        <v>61000</v>
      </c>
      <c r="D1825" s="74">
        <f>G1825+J1825+P1825+M1825</f>
        <v>61000</v>
      </c>
      <c r="E1825" s="89">
        <f>SUM(H1825+K1825+N1825+Q1825)</f>
        <v>29419</v>
      </c>
      <c r="F1825" s="468">
        <f>E1825/D1825*100</f>
        <v>48.22786885245902</v>
      </c>
      <c r="G1825" s="88">
        <v>61000</v>
      </c>
      <c r="H1825" s="89">
        <v>29419</v>
      </c>
      <c r="I1825" s="442">
        <f t="shared" si="242"/>
        <v>48.22786885245902</v>
      </c>
      <c r="J1825" s="126"/>
      <c r="K1825" s="89"/>
      <c r="L1825" s="391"/>
      <c r="M1825" s="89"/>
      <c r="N1825" s="89"/>
      <c r="O1825" s="368"/>
      <c r="P1825" s="89"/>
      <c r="Q1825" s="89"/>
      <c r="R1825" s="362"/>
    </row>
    <row r="1826" spans="1:18" ht="24">
      <c r="A1826" s="124">
        <v>4110</v>
      </c>
      <c r="B1826" s="277" t="s">
        <v>498</v>
      </c>
      <c r="C1826" s="88">
        <v>10700</v>
      </c>
      <c r="D1826" s="74">
        <f>G1826+J1826+P1826+M1826</f>
        <v>10700</v>
      </c>
      <c r="E1826" s="89">
        <f>SUM(H1826+K1826+N1826+Q1826)</f>
        <v>380</v>
      </c>
      <c r="F1826" s="468">
        <f>E1826/D1826*100</f>
        <v>3.551401869158879</v>
      </c>
      <c r="G1826" s="88">
        <v>10700</v>
      </c>
      <c r="H1826" s="89">
        <v>380</v>
      </c>
      <c r="I1826" s="442">
        <f t="shared" si="242"/>
        <v>3.551401869158879</v>
      </c>
      <c r="J1826" s="126"/>
      <c r="K1826" s="89"/>
      <c r="L1826" s="391"/>
      <c r="M1826" s="89"/>
      <c r="N1826" s="89"/>
      <c r="O1826" s="368"/>
      <c r="P1826" s="89"/>
      <c r="Q1826" s="89"/>
      <c r="R1826" s="362"/>
    </row>
    <row r="1827" spans="1:18" ht="12.75">
      <c r="A1827" s="124">
        <v>4120</v>
      </c>
      <c r="B1827" s="277" t="s">
        <v>571</v>
      </c>
      <c r="C1827" s="88">
        <v>1500</v>
      </c>
      <c r="D1827" s="74">
        <f>G1827+J1827+P1827+M1827</f>
        <v>1500</v>
      </c>
      <c r="E1827" s="89">
        <f>SUM(H1827+K1827+N1827+Q1827)</f>
        <v>61</v>
      </c>
      <c r="F1827" s="468">
        <f>E1827/D1827*100</f>
        <v>4.066666666666666</v>
      </c>
      <c r="G1827" s="88">
        <v>1500</v>
      </c>
      <c r="H1827" s="89">
        <v>61</v>
      </c>
      <c r="I1827" s="442">
        <f t="shared" si="242"/>
        <v>4.066666666666666</v>
      </c>
      <c r="J1827" s="126"/>
      <c r="K1827" s="89"/>
      <c r="L1827" s="391"/>
      <c r="M1827" s="89"/>
      <c r="N1827" s="89"/>
      <c r="O1827" s="368"/>
      <c r="P1827" s="89"/>
      <c r="Q1827" s="89"/>
      <c r="R1827" s="362"/>
    </row>
    <row r="1828" spans="1:18" ht="27" customHeight="1">
      <c r="A1828" s="124">
        <v>4210</v>
      </c>
      <c r="B1828" s="128" t="s">
        <v>638</v>
      </c>
      <c r="C1828" s="88">
        <v>26000</v>
      </c>
      <c r="D1828" s="74">
        <f t="shared" si="240"/>
        <v>26000</v>
      </c>
      <c r="E1828" s="89">
        <f t="shared" si="239"/>
        <v>13633</v>
      </c>
      <c r="F1828" s="468">
        <f t="shared" si="241"/>
        <v>52.43461538461538</v>
      </c>
      <c r="G1828" s="88">
        <v>26000</v>
      </c>
      <c r="H1828" s="89">
        <v>13633</v>
      </c>
      <c r="I1828" s="442">
        <f t="shared" si="242"/>
        <v>52.43461538461538</v>
      </c>
      <c r="J1828" s="126"/>
      <c r="K1828" s="89"/>
      <c r="L1828" s="391"/>
      <c r="M1828" s="89"/>
      <c r="N1828" s="89"/>
      <c r="O1828" s="368"/>
      <c r="P1828" s="89"/>
      <c r="Q1828" s="89"/>
      <c r="R1828" s="362"/>
    </row>
    <row r="1829" spans="1:18" ht="28.5" customHeight="1">
      <c r="A1829" s="124">
        <v>4210</v>
      </c>
      <c r="B1829" s="128" t="s">
        <v>195</v>
      </c>
      <c r="C1829" s="88">
        <v>24500</v>
      </c>
      <c r="D1829" s="74">
        <f t="shared" si="240"/>
        <v>20100</v>
      </c>
      <c r="E1829" s="89">
        <f t="shared" si="239"/>
        <v>7721</v>
      </c>
      <c r="F1829" s="468">
        <f t="shared" si="241"/>
        <v>38.41293532338309</v>
      </c>
      <c r="G1829" s="88">
        <f>24500-3400-300-700</f>
        <v>20100</v>
      </c>
      <c r="H1829" s="89">
        <v>7721</v>
      </c>
      <c r="I1829" s="442">
        <f t="shared" si="242"/>
        <v>38.41293532338309</v>
      </c>
      <c r="J1829" s="126"/>
      <c r="K1829" s="89"/>
      <c r="L1829" s="391"/>
      <c r="M1829" s="89"/>
      <c r="N1829" s="89"/>
      <c r="O1829" s="368"/>
      <c r="P1829" s="89"/>
      <c r="Q1829" s="89"/>
      <c r="R1829" s="362"/>
    </row>
    <row r="1830" spans="1:18" ht="28.5" customHeight="1">
      <c r="A1830" s="124">
        <v>4300</v>
      </c>
      <c r="B1830" s="128" t="s">
        <v>317</v>
      </c>
      <c r="C1830" s="88">
        <v>10340</v>
      </c>
      <c r="D1830" s="74">
        <f>G1830+J1830+P1830+M1830</f>
        <v>14740</v>
      </c>
      <c r="E1830" s="89">
        <f>SUM(H1830+K1830+N1830+Q1830)</f>
        <v>6950</v>
      </c>
      <c r="F1830" s="468">
        <f>E1830/D1830*100</f>
        <v>47.15061058344641</v>
      </c>
      <c r="G1830" s="88">
        <f>10340+3400+300+700</f>
        <v>14740</v>
      </c>
      <c r="H1830" s="89">
        <v>6950</v>
      </c>
      <c r="I1830" s="442">
        <f t="shared" si="242"/>
        <v>47.15061058344641</v>
      </c>
      <c r="J1830" s="126"/>
      <c r="K1830" s="89"/>
      <c r="L1830" s="391"/>
      <c r="M1830" s="89"/>
      <c r="N1830" s="89"/>
      <c r="O1830" s="368"/>
      <c r="P1830" s="89"/>
      <c r="Q1830" s="89"/>
      <c r="R1830" s="362"/>
    </row>
    <row r="1831" spans="1:18" ht="24">
      <c r="A1831" s="158">
        <v>4300</v>
      </c>
      <c r="B1831" s="159" t="s">
        <v>510</v>
      </c>
      <c r="C1831" s="160">
        <v>11000</v>
      </c>
      <c r="D1831" s="161">
        <f t="shared" si="240"/>
        <v>36000</v>
      </c>
      <c r="E1831" s="155">
        <f t="shared" si="239"/>
        <v>84</v>
      </c>
      <c r="F1831" s="469">
        <f t="shared" si="241"/>
        <v>0.23333333333333336</v>
      </c>
      <c r="G1831" s="160">
        <f>11000+20000+5000</f>
        <v>36000</v>
      </c>
      <c r="H1831" s="155">
        <v>84</v>
      </c>
      <c r="I1831" s="462">
        <f t="shared" si="242"/>
        <v>0.23333333333333336</v>
      </c>
      <c r="J1831" s="162"/>
      <c r="K1831" s="155"/>
      <c r="L1831" s="415"/>
      <c r="M1831" s="155"/>
      <c r="N1831" s="155"/>
      <c r="O1831" s="387"/>
      <c r="P1831" s="155"/>
      <c r="Q1831" s="155"/>
      <c r="R1831" s="366"/>
    </row>
    <row r="1832" spans="1:18" ht="60" hidden="1">
      <c r="A1832" s="172">
        <v>4740</v>
      </c>
      <c r="B1832" s="337" t="s">
        <v>462</v>
      </c>
      <c r="C1832" s="88"/>
      <c r="D1832" s="74">
        <f>G1832+J1832+P1832+M1832</f>
        <v>0</v>
      </c>
      <c r="E1832" s="89">
        <f>SUM(H1832+K1832+N1832+Q1832)</f>
        <v>0</v>
      </c>
      <c r="F1832" s="468" t="e">
        <f>E1832/D1832*100</f>
        <v>#DIV/0!</v>
      </c>
      <c r="G1832" s="88"/>
      <c r="H1832" s="89"/>
      <c r="I1832" s="442" t="e">
        <f t="shared" si="242"/>
        <v>#DIV/0!</v>
      </c>
      <c r="J1832" s="126"/>
      <c r="K1832" s="89"/>
      <c r="L1832" s="391"/>
      <c r="M1832" s="89"/>
      <c r="N1832" s="89"/>
      <c r="O1832" s="368"/>
      <c r="P1832" s="89"/>
      <c r="Q1832" s="89"/>
      <c r="R1832" s="362"/>
    </row>
    <row r="1833" spans="1:18" ht="24" customHeight="1" thickBot="1">
      <c r="A1833" s="124">
        <v>4430</v>
      </c>
      <c r="B1833" s="128" t="s">
        <v>196</v>
      </c>
      <c r="C1833" s="88">
        <v>260</v>
      </c>
      <c r="D1833" s="74">
        <f t="shared" si="240"/>
        <v>260</v>
      </c>
      <c r="E1833" s="89">
        <f t="shared" si="239"/>
        <v>0</v>
      </c>
      <c r="F1833" s="468">
        <f t="shared" si="241"/>
        <v>0</v>
      </c>
      <c r="G1833" s="88">
        <v>260</v>
      </c>
      <c r="H1833" s="89"/>
      <c r="I1833" s="442">
        <f t="shared" si="242"/>
        <v>0</v>
      </c>
      <c r="J1833" s="126"/>
      <c r="K1833" s="89"/>
      <c r="L1833" s="391"/>
      <c r="M1833" s="89"/>
      <c r="N1833" s="89"/>
      <c r="O1833" s="368"/>
      <c r="P1833" s="89"/>
      <c r="Q1833" s="89"/>
      <c r="R1833" s="362"/>
    </row>
    <row r="1834" spans="1:18" s="329" customFormat="1" ht="15" customHeight="1" thickTop="1">
      <c r="A1834" s="326"/>
      <c r="B1834" s="327" t="s">
        <v>197</v>
      </c>
      <c r="C1834" s="215">
        <f>C9+C36+C46+C39+C231+C1601+C194+C576+C948+C1657+C963+C1020+C1803+C166+C266+C450+C489+C563+C568+C1388+C543+C1342+C483</f>
        <v>329931255</v>
      </c>
      <c r="D1834" s="67">
        <f>G1834+J1834+P1834+M1834</f>
        <v>353916205.07</v>
      </c>
      <c r="E1834" s="67">
        <f>E9+E36+E46+E39+E231+E1601+E194+E576+E948+E1657+E963+E1020+E1803+E166+E266+E450+E489+E563+E568+E1388+E543+E1342+E483</f>
        <v>157317224.07</v>
      </c>
      <c r="F1834" s="535">
        <f t="shared" si="241"/>
        <v>44.45041561148202</v>
      </c>
      <c r="G1834" s="215">
        <f>G9+G36+G46+G39+G231+G1601+G194+G576+G948+G1657+G963+G1020+G1803+G166+G266+G450+G489+G563+G568+G1388+G1342+G543+G483</f>
        <v>221219321</v>
      </c>
      <c r="H1834" s="67">
        <f>H9+H36+H46+H39+H231+H1601+H194+H576+H948+H1657+H963+H1020+H1803+H166+H266+H450+H489+H563+H568+H1388+H543+H1342+H483</f>
        <v>90989869</v>
      </c>
      <c r="I1834" s="499">
        <f>H1834/G1834*100</f>
        <v>41.13106784194496</v>
      </c>
      <c r="J1834" s="216">
        <f>J9+J36+J46+J39+J231+J1601+J194+J576+J948+J1657+J963+J1020+J1803+J166+J266+J450+J489+J563+J568+J1388+J1342+J543+J483</f>
        <v>20891395.07</v>
      </c>
      <c r="K1834" s="67">
        <f>K9+K36+K46+K39+K231+K1601+K194+K576+K948+K1657+K963+K1020+K1803+K166+K266+K450+K489+K563+K568+K1388+K1342+K543+K483</f>
        <v>9947451.07</v>
      </c>
      <c r="L1834" s="433">
        <f>K1834/J1834*100</f>
        <v>47.61506369808936</v>
      </c>
      <c r="M1834" s="215">
        <f>M9+M36+M46+M39+M231+M1601+M194+M576+M948+M1657+M963+M1020+M1803+M166+M266+M450+M489+M563+M568+M1388+M1342+M543+M483</f>
        <v>101470934</v>
      </c>
      <c r="N1834" s="328">
        <f>N9+N36+N46+N39+N231+N1601+N194+N576+N948+N1657+N963+N1020+N1803+N166+N266+N450+N489+N563+N568+N1388+N543+N1342+N483</f>
        <v>51156859</v>
      </c>
      <c r="O1834" s="433">
        <f>N1834/M1834*100</f>
        <v>50.415283454471805</v>
      </c>
      <c r="P1834" s="217">
        <f>P9+P36+P46+P39+P231+P1601+P194+P576+P948+P1657+P963+P1020+P1803+P166+P266+P450+P489+P563+P568+P1388+P1342+P543+P483</f>
        <v>10334555</v>
      </c>
      <c r="Q1834" s="67">
        <f>Q9+Q36+Q46+Q39+Q231+Q1601+Q194+Q576+Q948+Q1657+Q963+Q1020+Q1803+Q166+Q266+Q450+Q489+Q563+Q568+Q1388+Q1342+Q543+Q483</f>
        <v>5223045</v>
      </c>
      <c r="R1834" s="355">
        <f>Q1834/P1834*100</f>
        <v>50.53962168666188</v>
      </c>
    </row>
    <row r="1835" spans="1:18" s="332" customFormat="1" ht="15" customHeight="1">
      <c r="A1835" s="330"/>
      <c r="B1835" s="331" t="s">
        <v>198</v>
      </c>
      <c r="C1835" s="227">
        <f>301369145+24600</f>
        <v>301393745</v>
      </c>
      <c r="D1835" s="228">
        <f>G1835+M1835</f>
        <v>322690255</v>
      </c>
      <c r="E1835" s="228">
        <f>H1835+N1835</f>
        <v>142146728</v>
      </c>
      <c r="F1835" s="477">
        <f t="shared" si="241"/>
        <v>44.0505177325544</v>
      </c>
      <c r="G1835" s="227">
        <f>G1834</f>
        <v>221219321</v>
      </c>
      <c r="H1835" s="228">
        <f>H1834</f>
        <v>90989869</v>
      </c>
      <c r="I1835" s="442">
        <f>H1835/G1835*100</f>
        <v>41.13106784194496</v>
      </c>
      <c r="J1835" s="511"/>
      <c r="K1835" s="228"/>
      <c r="L1835" s="440"/>
      <c r="M1835" s="227">
        <f>M1834</f>
        <v>101470934</v>
      </c>
      <c r="N1835" s="228">
        <f>N1834</f>
        <v>51156859</v>
      </c>
      <c r="O1835" s="224"/>
      <c r="P1835" s="229"/>
      <c r="Q1835" s="228"/>
      <c r="R1835" s="348"/>
    </row>
    <row r="1836" spans="1:18" s="11" customFormat="1" ht="12">
      <c r="A1836" s="343"/>
      <c r="B1836" s="344" t="s">
        <v>358</v>
      </c>
      <c r="C1836" s="234"/>
      <c r="D1836" s="236"/>
      <c r="E1836" s="236"/>
      <c r="F1836" s="468"/>
      <c r="G1836" s="345"/>
      <c r="H1836" s="236"/>
      <c r="I1836" s="442"/>
      <c r="J1836" s="345"/>
      <c r="K1836" s="236"/>
      <c r="L1836" s="439"/>
      <c r="M1836" s="345"/>
      <c r="N1836" s="236"/>
      <c r="O1836" s="280"/>
      <c r="P1836" s="237"/>
      <c r="Q1836" s="236"/>
      <c r="R1836" s="224"/>
    </row>
    <row r="1837" spans="1:18" s="11" customFormat="1" ht="48">
      <c r="A1837" s="343"/>
      <c r="B1837" s="560" t="s">
        <v>355</v>
      </c>
      <c r="C1837" s="234"/>
      <c r="D1837" s="236">
        <f>G1837+J1837+M1837+P1837</f>
        <v>2362368</v>
      </c>
      <c r="E1837" s="236">
        <f>H1837+K1837+N1837+Q1837</f>
        <v>1162945</v>
      </c>
      <c r="F1837" s="477">
        <f t="shared" si="241"/>
        <v>49.22793569841786</v>
      </c>
      <c r="G1837" s="345">
        <f>G48+G193+G1605</f>
        <v>153000</v>
      </c>
      <c r="H1837" s="236">
        <f>H48+H193+H1605</f>
        <v>0</v>
      </c>
      <c r="I1837" s="442">
        <f>H1837/G1837*100</f>
        <v>0</v>
      </c>
      <c r="J1837" s="345"/>
      <c r="K1837" s="236"/>
      <c r="L1837" s="439"/>
      <c r="M1837" s="345">
        <f>M278+M1022+M1173+M1738+M1348</f>
        <v>2209368</v>
      </c>
      <c r="N1837" s="236">
        <f>N278+N1022+N1173+N1738+N1348</f>
        <v>1162945</v>
      </c>
      <c r="O1837" s="224">
        <f>N1837/M1837*100</f>
        <v>52.636998453856485</v>
      </c>
      <c r="P1837" s="237"/>
      <c r="Q1837" s="236"/>
      <c r="R1837" s="224"/>
    </row>
    <row r="1838" spans="1:18" s="557" customFormat="1" ht="13.5">
      <c r="A1838" s="330"/>
      <c r="B1838" s="554" t="s">
        <v>199</v>
      </c>
      <c r="C1838" s="227">
        <v>28537510</v>
      </c>
      <c r="D1838" s="228">
        <f>G1838+J1838+M1838+P1838</f>
        <v>29674250.07</v>
      </c>
      <c r="E1838" s="228">
        <f>H1838+K1838+N1838+Q1838</f>
        <v>14245335.07</v>
      </c>
      <c r="F1838" s="477">
        <f t="shared" si="241"/>
        <v>48.00571214570209</v>
      </c>
      <c r="G1838" s="511"/>
      <c r="H1838" s="228"/>
      <c r="I1838" s="556"/>
      <c r="J1838" s="511">
        <f>J1834-J1839</f>
        <v>20862695.07</v>
      </c>
      <c r="K1838" s="228">
        <f>K1834-K1839</f>
        <v>9944391.07</v>
      </c>
      <c r="L1838" s="440">
        <f>K1838/J1838*100</f>
        <v>47.665898565040955</v>
      </c>
      <c r="M1838" s="511"/>
      <c r="N1838" s="228"/>
      <c r="O1838" s="555"/>
      <c r="P1838" s="229">
        <f>P1834-P1839</f>
        <v>8811555</v>
      </c>
      <c r="Q1838" s="228">
        <f>Q1834-Q1839</f>
        <v>4300944</v>
      </c>
      <c r="R1838" s="348">
        <f>Q1838/P1838*100</f>
        <v>48.810272420702134</v>
      </c>
    </row>
    <row r="1839" spans="1:18" s="332" customFormat="1" ht="44.25" customHeight="1" thickBot="1">
      <c r="A1839" s="340"/>
      <c r="B1839" s="558" t="s">
        <v>60</v>
      </c>
      <c r="C1839" s="341">
        <v>24600</v>
      </c>
      <c r="D1839" s="333">
        <f>J1839+P1839</f>
        <v>1551700</v>
      </c>
      <c r="E1839" s="333">
        <f>K1839+Q1839</f>
        <v>925161</v>
      </c>
      <c r="F1839" s="522">
        <f t="shared" si="241"/>
        <v>59.62241412644197</v>
      </c>
      <c r="G1839" s="341"/>
      <c r="H1839" s="333"/>
      <c r="I1839" s="434"/>
      <c r="J1839" s="559">
        <f>J261+J907+J1701</f>
        <v>28700</v>
      </c>
      <c r="K1839" s="333">
        <f>K261+K907+K1701</f>
        <v>3060</v>
      </c>
      <c r="L1839" s="441">
        <f>K1839/J1839*100</f>
        <v>10.662020905923345</v>
      </c>
      <c r="M1839" s="341"/>
      <c r="N1839" s="342"/>
      <c r="O1839" s="454"/>
      <c r="P1839" s="559">
        <f>P378+P375+P74</f>
        <v>1523000</v>
      </c>
      <c r="Q1839" s="333">
        <f>Q378+Q375+Q74</f>
        <v>922101</v>
      </c>
      <c r="R1839" s="456">
        <f>Q1839/P1839*100</f>
        <v>60.54504267892318</v>
      </c>
    </row>
    <row r="1840" spans="1:18" s="332" customFormat="1" ht="15" customHeight="1" thickTop="1">
      <c r="A1840" s="550"/>
      <c r="B1840" s="331"/>
      <c r="C1840" s="551"/>
      <c r="D1840" s="552"/>
      <c r="E1840" s="551"/>
      <c r="F1840" s="491"/>
      <c r="G1840" s="551"/>
      <c r="H1840" s="551"/>
      <c r="I1840" s="439"/>
      <c r="J1840" s="552"/>
      <c r="K1840" s="551"/>
      <c r="L1840" s="439"/>
      <c r="M1840" s="551"/>
      <c r="N1840" s="553"/>
      <c r="O1840" s="440"/>
      <c r="P1840" s="551"/>
      <c r="Q1840" s="551"/>
      <c r="R1840" s="440"/>
    </row>
    <row r="1841" spans="1:14" ht="12.75">
      <c r="A1841" s="589" t="s">
        <v>642</v>
      </c>
      <c r="M1841" s="9"/>
      <c r="N1841" s="9"/>
    </row>
    <row r="1842" ht="12.75">
      <c r="A1842" s="589" t="s">
        <v>643</v>
      </c>
    </row>
    <row r="1843" ht="12.75">
      <c r="A1843" s="589" t="s">
        <v>644</v>
      </c>
    </row>
  </sheetData>
  <printOptions horizontalCentered="1"/>
  <pageMargins left="0" right="0" top="0.5905511811023623" bottom="0.5905511811023623" header="0.31496062992125984" footer="0.31496062992125984"/>
  <pageSetup firstPageNumber="129" useFirstPageNumber="1" horizontalDpi="300" verticalDpi="300" orientation="landscape" paperSize="9" scale="85" r:id="rId1"/>
  <headerFooter alignWithMargins="0">
    <oddHeader>&amp;C&amp;"Times New Roman CE,Normalny"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Mioduszewska</cp:lastModifiedBy>
  <cp:lastPrinted>2008-10-13T10:53:51Z</cp:lastPrinted>
  <dcterms:created xsi:type="dcterms:W3CDTF">1997-02-26T13:46:56Z</dcterms:created>
  <dcterms:modified xsi:type="dcterms:W3CDTF">2008-10-13T10:53:52Z</dcterms:modified>
  <cp:category/>
  <cp:version/>
  <cp:contentType/>
  <cp:contentStatus/>
</cp:coreProperties>
</file>