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2"/>
  </bookViews>
  <sheets>
    <sheet name="DOCHODY" sheetId="1" r:id="rId1"/>
    <sheet name="WYDATKI" sheetId="2" r:id="rId2"/>
    <sheet name="Nadwyżka _Deficyt" sheetId="3" r:id="rId3"/>
  </sheets>
  <definedNames/>
  <calcPr fullCalcOnLoad="1"/>
</workbook>
</file>

<file path=xl/comments1.xml><?xml version="1.0" encoding="utf-8"?>
<comments xmlns="http://schemas.openxmlformats.org/spreadsheetml/2006/main">
  <authors>
    <author>szpak</author>
  </authors>
  <commentList>
    <comment ref="N14" authorId="0">
      <text>
        <r>
          <rPr>
            <b/>
            <sz val="8"/>
            <rFont val="Tahoma"/>
            <family val="0"/>
          </rPr>
          <t>szpak:</t>
        </r>
        <r>
          <rPr>
            <sz val="8"/>
            <rFont val="Tahoma"/>
            <family val="0"/>
          </rPr>
          <t xml:space="preserve">
wadium odzyskane od ubezpieczyciela z tytułu nie podpisania umowy</t>
        </r>
      </text>
    </comment>
    <comment ref="H114" authorId="0">
      <text>
        <r>
          <rPr>
            <b/>
            <sz val="8"/>
            <rFont val="Tahoma"/>
            <family val="0"/>
          </rPr>
          <t>szpak:
opłata planistyczna:</t>
        </r>
        <r>
          <rPr>
            <sz val="8"/>
            <rFont val="Tahoma"/>
            <family val="0"/>
          </rPr>
          <t xml:space="preserve">
plan 100.000
wykonanie 53.760
</t>
        </r>
        <r>
          <rPr>
            <b/>
            <sz val="8"/>
            <rFont val="Tahoma"/>
            <family val="2"/>
          </rPr>
          <t xml:space="preserve">opłata adiacencka:
</t>
        </r>
        <r>
          <rPr>
            <sz val="8"/>
            <rFont val="Tahoma"/>
            <family val="2"/>
          </rPr>
          <t>plan 356 000
wykonanie 430 163,3</t>
        </r>
      </text>
    </comment>
    <comment ref="H136" authorId="0">
      <text>
        <r>
          <rPr>
            <b/>
            <sz val="8"/>
            <rFont val="Tahoma"/>
            <family val="0"/>
          </rPr>
          <t>szpak:</t>
        </r>
        <r>
          <rPr>
            <sz val="8"/>
            <rFont val="Tahoma"/>
            <family val="0"/>
          </rPr>
          <t xml:space="preserve">
1) 34 tys - f-ra koryg ZDM,
2) zwroty ze stowarzyszeń
3)szkolenia które się nie odbyły
4) refundacje świadczeń
5) ok.. 11 tys szkoły za ZUS i US</t>
        </r>
      </text>
    </comment>
    <comment ref="H309" authorId="0">
      <text>
        <r>
          <rPr>
            <b/>
            <sz val="8"/>
            <rFont val="Tahoma"/>
            <family val="0"/>
          </rPr>
          <t>szpak: 
festiwal kulinarny..</t>
        </r>
        <r>
          <rPr>
            <sz val="8"/>
            <rFont val="Tahoma"/>
            <family val="0"/>
          </rPr>
          <t xml:space="preserve">
wyk. Na 16.09. § 2708 -
67.897,43</t>
        </r>
      </text>
    </comment>
  </commentList>
</comments>
</file>

<file path=xl/sharedStrings.xml><?xml version="1.0" encoding="utf-8"?>
<sst xmlns="http://schemas.openxmlformats.org/spreadsheetml/2006/main" count="2683" uniqueCount="1030">
  <si>
    <r>
      <t xml:space="preserve">Wydatki inwestycyjne jednostek budżetowych         </t>
    </r>
    <r>
      <rPr>
        <i/>
        <sz val="9"/>
        <rFont val="Times New Roman CE"/>
        <family val="1"/>
      </rPr>
      <t>(w tym: IK - 100,0 tys. zł - sala sport. przy gim. Nr6)</t>
    </r>
  </si>
  <si>
    <t>Gimnazja specjalne</t>
  </si>
  <si>
    <t>Zakup pomocy naukowych, dydakt. i książek</t>
  </si>
  <si>
    <t>Zespół Obsługi Ekonomiczno - Administracyjnej Szkół (Przedszkoli Miejskich)</t>
  </si>
  <si>
    <r>
      <t xml:space="preserve">Wydatki inwestycyjne jednostek budżetowych </t>
    </r>
    <r>
      <rPr>
        <i/>
        <sz val="9"/>
        <rFont val="Times New Roman CE"/>
        <family val="1"/>
      </rPr>
      <t xml:space="preserve">- modernizacja przedszkoli </t>
    </r>
  </si>
  <si>
    <t>Zakup usług remont. KS</t>
  </si>
  <si>
    <t>Licea profilowane</t>
  </si>
  <si>
    <t>Dotacja podmiotowa z budżetu dla publicznej jednostki systemu oświaty prowadzonej przez osobę prawną inną niż j.s.t. lub przez osobę fizyczną</t>
  </si>
  <si>
    <t>Zasądzone renty</t>
  </si>
  <si>
    <t>Wpłata na PFRON</t>
  </si>
  <si>
    <t>Szkoły pomaturalne i policealne</t>
  </si>
  <si>
    <t>Dotacja podmiotowa dla niepublicznej szkoły lub innej placówki oświatowo-wychowawczej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</si>
  <si>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</si>
  <si>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</si>
  <si>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</si>
  <si>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</si>
  <si>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>Dotacja podmiotowa dla zakładu budżetowego</t>
  </si>
  <si>
    <r>
      <t>Zakup usług pozostałych -</t>
    </r>
    <r>
      <rPr>
        <i/>
        <sz val="9"/>
        <rFont val="Times New Roman CE"/>
        <family val="1"/>
      </rPr>
      <t xml:space="preserve"> doskonalenie</t>
    </r>
  </si>
  <si>
    <r>
      <t xml:space="preserve">Składki na ubezpieczenia społeczne  </t>
    </r>
    <r>
      <rPr>
        <i/>
        <sz val="9"/>
        <rFont val="Times New Roman CE"/>
        <family val="1"/>
      </rPr>
      <t>- komisje ds. stypendiów szkolnych</t>
    </r>
  </si>
  <si>
    <r>
      <t xml:space="preserve">Składki na FP </t>
    </r>
    <r>
      <rPr>
        <i/>
        <sz val="9"/>
        <rFont val="Times New Roman CE"/>
        <family val="1"/>
      </rPr>
      <t>- komisje ds. stypendiów szkolnych</t>
    </r>
  </si>
  <si>
    <r>
      <t xml:space="preserve">Wynagrodzenia bezosobowe </t>
    </r>
    <r>
      <rPr>
        <i/>
        <sz val="9"/>
        <rFont val="Times New Roman CE"/>
        <family val="1"/>
      </rPr>
      <t>- komisje ds. stypendiów szkolnych</t>
    </r>
  </si>
  <si>
    <r>
      <t>Zakup materiałów i wyposażenia</t>
    </r>
    <r>
      <rPr>
        <i/>
        <sz val="9"/>
        <rFont val="Times New Roman CE"/>
        <family val="1"/>
      </rPr>
      <t xml:space="preserve"> - porozumienia</t>
    </r>
  </si>
  <si>
    <r>
      <t xml:space="preserve">Zakup usług remontowych - </t>
    </r>
    <r>
      <rPr>
        <i/>
        <sz val="9"/>
        <rFont val="Times New Roman CE"/>
        <family val="1"/>
      </rPr>
      <t>Rady Osiedli</t>
    </r>
  </si>
  <si>
    <t>Odpis na ZFŚS emerytów</t>
  </si>
  <si>
    <r>
      <t xml:space="preserve">Wydatki inwestycyjne jednostek budżetowych         </t>
    </r>
    <r>
      <rPr>
        <i/>
        <sz val="9"/>
        <rFont val="Times New Roman CE"/>
        <family val="1"/>
      </rPr>
      <t>(w tym: IK - 75,0 tys. zł - łącznik II LO)</t>
    </r>
  </si>
  <si>
    <r>
      <t xml:space="preserve">Wydatki inwestycyjne jednostek budżetowych </t>
    </r>
    <r>
      <rPr>
        <i/>
        <sz val="9"/>
        <rFont val="Times New Roman CE"/>
        <family val="1"/>
      </rPr>
      <t>- (dach na budynku warsztatów w ZS Nr 10 - 400,0 tys. zł; sala gimnast. ZS Nr 8 - 100,0 tys. zł)</t>
    </r>
  </si>
  <si>
    <r>
      <t xml:space="preserve">Wydatki na zakupy inwestycyjne jednostek budżetowych </t>
    </r>
    <r>
      <rPr>
        <i/>
        <sz val="9"/>
        <rFont val="Times New Roman CE"/>
        <family val="1"/>
      </rPr>
      <t xml:space="preserve">(ZS Nr 12) </t>
    </r>
  </si>
  <si>
    <t xml:space="preserve">Dotacje celowe z budżetu na finansowanie  lub dofinansowanie kosztów realizacji inwestycji i zakupów inwestycyjnych  innych jednostek sektora finansów publicznych </t>
  </si>
  <si>
    <r>
      <t>Dotacja podmiotowa z budżetu dla samorządowej instytucji kultury -</t>
    </r>
    <r>
      <rPr>
        <i/>
        <sz val="9"/>
        <rFont val="Times New Roman CE"/>
        <family val="1"/>
      </rPr>
      <t xml:space="preserve"> porozum.</t>
    </r>
  </si>
  <si>
    <r>
      <t xml:space="preserve">Dotacja podmiotowa z budżetu dla niepublicznej jednostki systemu oświaty </t>
    </r>
    <r>
      <rPr>
        <i/>
        <sz val="9"/>
        <rFont val="Times New Roman CE"/>
        <family val="1"/>
      </rPr>
      <t>- nauka pływania</t>
    </r>
  </si>
  <si>
    <t>Dotacja podmiotowa z budżetu dla pozostałych jednostek sektorafinansów publicznych</t>
  </si>
  <si>
    <t>Dotacja celowa z budżetu na finansowanie i dofinansowanie zadań zleconych do realizacji stowarzyszeniom OP</t>
  </si>
  <si>
    <t>"Śpiewająca Polska"</t>
  </si>
  <si>
    <t xml:space="preserve">Wynagrodzenia bezosobowe </t>
  </si>
  <si>
    <r>
      <t xml:space="preserve">Zakup materiałów i wyposażenia </t>
    </r>
    <r>
      <rPr>
        <b/>
        <sz val="9"/>
        <rFont val="Times New Roman CE"/>
        <family val="1"/>
      </rPr>
      <t>"Szkolne projekty Socrates Comenius 2005/2006"</t>
    </r>
  </si>
  <si>
    <t>"Program Comenius - Partnerskie projekty szkół 2007/2008"</t>
  </si>
  <si>
    <t>"Leonardo da Vinci" - Transfer Wiedzy Transfer Umiejętności - Aktywni Ustawicznie</t>
  </si>
  <si>
    <t>"Leonardo da Vinci" - Praktyka uczniów technikum samochodowego i mechanicznego w Niemczech szansą poznania rynku UE</t>
  </si>
  <si>
    <t xml:space="preserve">SZKOLNICTWO WYŻSZE </t>
  </si>
  <si>
    <t>Pomoc materialna dla studentów i doktorantów</t>
  </si>
  <si>
    <t>Stypendia różne</t>
  </si>
  <si>
    <t>Europejski fundusz stypendialny dla studentów w Koszalinie 2006/2007</t>
  </si>
  <si>
    <t>Stypendia i zasiłki dla studentów</t>
  </si>
  <si>
    <t>Nagrody o charakterze szczególnym niezaliczane do wynagrodzeń</t>
  </si>
  <si>
    <t>Dotacja podmiotowa z budżetu dla uczelni publicznej</t>
  </si>
  <si>
    <t>Dotacje celowe z budżetu ma finansowanie lub dofinansowanie kosztów realizacji inwestycji i zakupów inwestycyjnych iinych jednostek sektora finansów publicznych</t>
  </si>
  <si>
    <t>Szpitale ogólne</t>
  </si>
  <si>
    <t>Dotacja celowa z budżetu dla pozostałych jednostek zaliczanych do sektora finansow publicznych</t>
  </si>
  <si>
    <t>Programy polityki zdrowotnej</t>
  </si>
  <si>
    <t>Dotacja podmiotowa z budżetu dla pozostałych jednostek sektora  finansów publicznych</t>
  </si>
  <si>
    <t>Zwalczanie narkomanii</t>
  </si>
  <si>
    <r>
      <t xml:space="preserve">Dotacja przedmiotowa z budżetu dla pozostałych jednostek sektora finansów publicznych - </t>
    </r>
    <r>
      <rPr>
        <i/>
        <sz val="9"/>
        <rFont val="Times New Roman CE"/>
        <family val="1"/>
      </rPr>
      <t>realizacja "Programu zwalczania narkomanii".</t>
    </r>
  </si>
  <si>
    <t>Dotacja podmiotowa z budżetu dla pozostałych jednostek sektora  finansów publicznych- realizacja "Programu zwalczania narkomanii".</t>
  </si>
  <si>
    <t>Przeciwdziałanie alkoholizmowi</t>
  </si>
  <si>
    <t>Dotacja podmiotowa z budżetu dla samorządowej instytucji kultury</t>
  </si>
  <si>
    <t>Koszty postępowania sądowego i prokuratorskie</t>
  </si>
  <si>
    <t xml:space="preserve">Składki na ubezpieczenia zdrowotne  oraz świadczenia dla osób nie objętych obowiązkiem ubezpieczenia zdrowotnego  </t>
  </si>
  <si>
    <t>Izby Wytrzeźwień</t>
  </si>
  <si>
    <r>
      <t xml:space="preserve">Zakup usług zdrowotnych - </t>
    </r>
    <r>
      <rPr>
        <i/>
        <sz val="9"/>
        <rFont val="Times New Roman CE"/>
        <family val="1"/>
      </rPr>
      <t>badania lekarskie</t>
    </r>
  </si>
  <si>
    <t>Opłata na rzecz budżetu jednostek samorz. terytor.</t>
  </si>
  <si>
    <t>Dotacja celowa z budżetu na finansowanie lub dofinansowanie zadań zleconych do realizacji stowarzyszeniom - OP</t>
  </si>
  <si>
    <t>Dotacja przedmiotowa z budżetu dla pozostałych jednostek sektora finansów publicznych</t>
  </si>
  <si>
    <r>
      <t>Wydatki inwestycyjne jednostek budżetowych  -</t>
    </r>
    <r>
      <rPr>
        <i/>
        <sz val="9"/>
        <rFont val="Times New Roman CE"/>
        <family val="1"/>
      </rPr>
      <t xml:space="preserve"> likwidacja barier architektonicznych</t>
    </r>
  </si>
  <si>
    <r>
      <t xml:space="preserve">Wydatki inwestycyjne jednostek budżetowych  - </t>
    </r>
    <r>
      <rPr>
        <b/>
        <sz val="9"/>
        <rFont val="Times New Roman CE"/>
        <family val="1"/>
      </rPr>
      <t>budowa Hospicjum</t>
    </r>
  </si>
  <si>
    <t>Wydatki inwestycyjne jednostek budżetowych  -ZS Nr 12</t>
  </si>
  <si>
    <t>Placówki opiekuńczo-wychowawcze -Rodzinne Domy Dziecka</t>
  </si>
  <si>
    <t>Dotacja celowa z budżetu lub dofinansowanie zadań zleconych do realizacji stowarzyszeniom</t>
  </si>
  <si>
    <t>Swietlice</t>
  </si>
  <si>
    <t>Rodzinny Dom Dziecka Nr 2</t>
  </si>
  <si>
    <t xml:space="preserve">Zakup usług zdrowotnych </t>
  </si>
  <si>
    <t>Rodzinny Dom Dziecka Nr 3</t>
  </si>
  <si>
    <t>Zakup usług przez j.s.t. od innych j.s.t.</t>
  </si>
  <si>
    <t>Wydatki na zakupy  inwestycyjne jednostek budżetowych</t>
  </si>
  <si>
    <t>"Złoty Wiek"</t>
  </si>
  <si>
    <t xml:space="preserve">Schronisko dla bezdomnych </t>
  </si>
  <si>
    <t>Zakup usług zdrowotnych dla osób nieobjętych obowiązkiem ubezpieczenia zdrowotnego</t>
  </si>
  <si>
    <t>"Odrodzenie" - ŚDS 1</t>
  </si>
  <si>
    <t>Środowiskowy Dom Samopomocy 2</t>
  </si>
  <si>
    <t>Dodotkowe wynagrodzenia roczne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</si>
  <si>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</si>
  <si>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</si>
  <si>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Zwrot dotacji wykorzystanych niezgodnie z przeznaczeniem lub pobranych w nadmiernej wysokości</t>
  </si>
  <si>
    <t>Zasiłki rodzinne, pielęgnacyjne i wychowawcze</t>
  </si>
  <si>
    <t>Powiatowe centra pomocy rodzinie</t>
  </si>
  <si>
    <t xml:space="preserve">Koszty postępowania sądowego i prokuratorskiego </t>
  </si>
  <si>
    <t>Niewłaściwe obciążenia</t>
  </si>
  <si>
    <r>
      <t xml:space="preserve">Wydatki na zakupy inwestycyjne jednostek budżetowych </t>
    </r>
    <r>
      <rPr>
        <i/>
        <sz val="9"/>
        <rFont val="Times New Roman CE"/>
        <family val="1"/>
      </rPr>
      <t xml:space="preserve">- zestawów komputerowych, samochodu-40 tys.zł </t>
    </r>
  </si>
  <si>
    <t>"Karuzela - Program profilaktyczny dla rodzin z małoletnimi dziećmi w placówce opiekuńczo - wychowawczej wsparcia dziennego" POROZUNIENIE</t>
  </si>
  <si>
    <t>Jednostki specjalistyczne poradnictwa, mieszkania chronione i ośrodki  interwencji kryzysowej</t>
  </si>
  <si>
    <t>Ośrodki adopcyjno-opiekuńcze</t>
  </si>
  <si>
    <t xml:space="preserve">Podróże służbowe krajowe </t>
  </si>
  <si>
    <t>"Rozwój niespokrewnionych z dzieckiem zawodowych rodzin zastępczych w Ośrodku Adopcyjno - Opiekuńczym w Koszalinie" ROROZUMIENIA</t>
  </si>
  <si>
    <t>Usuwanie skutków klęsk żywiołowych</t>
  </si>
  <si>
    <r>
      <t>Świadczenia społeczne</t>
    </r>
    <r>
      <rPr>
        <b/>
        <sz val="9"/>
        <rFont val="Times New Roman CE"/>
        <family val="1"/>
      </rPr>
      <t xml:space="preserve"> -</t>
    </r>
    <r>
      <rPr>
        <b/>
        <i/>
        <sz val="9"/>
        <rFont val="Times New Roman CE"/>
        <family val="1"/>
      </rPr>
      <t>(w tym:</t>
    </r>
    <r>
      <rPr>
        <b/>
        <sz val="9"/>
        <rFont val="Times New Roman CE"/>
        <family val="1"/>
      </rPr>
      <t xml:space="preserve"> Prace społecznie użyteczne - 200,0 tys. zł)</t>
    </r>
  </si>
  <si>
    <r>
      <t>Wynagrodzenia bezosobowe</t>
    </r>
    <r>
      <rPr>
        <b/>
        <sz val="9"/>
        <rFont val="Times New Roman CE"/>
        <family val="1"/>
      </rPr>
      <t xml:space="preserve"> "Parasol"</t>
    </r>
  </si>
  <si>
    <r>
      <t xml:space="preserve">Zakup materiałów i wyposażenia </t>
    </r>
    <r>
      <rPr>
        <b/>
        <sz val="9"/>
        <rFont val="Times New Roman CE"/>
        <family val="1"/>
      </rPr>
      <t>"Parasol"</t>
    </r>
  </si>
  <si>
    <t>Wydatki na zakupy inwestycyjne jednostek budżetowych - KS (zakup 2 samochodów dla MOPS ze środków PFRON - 50% dofin.)</t>
  </si>
  <si>
    <t>Zakup usług pozostałych KS</t>
  </si>
  <si>
    <t>Projekt "Dobra perspektywa"</t>
  </si>
  <si>
    <t>"Mam skrzydła - lecę do pracy. Koszaliński program aktywizacji zawodowej osób niepełnosprawnych pozostających bez zatrunienia"</t>
  </si>
  <si>
    <t>Zakup akcesoriów komputerowych, w tym progromów i licencji</t>
  </si>
  <si>
    <t xml:space="preserve">POZOSTAŁE ZADANIA W ZAKRESIE POLITYKI SPOŁECZNEJ </t>
  </si>
  <si>
    <t>Dotacja podmiotowa z budżetu dla jednostek niezaliczanych do sektora finansów publicznych</t>
  </si>
  <si>
    <r>
      <t xml:space="preserve">Dotacja podmiotowa z budżetu dla jednostek niezaliczanych do sektora finansów publicznych </t>
    </r>
    <r>
      <rPr>
        <i/>
        <sz val="9"/>
        <rFont val="Times New Roman CE"/>
        <family val="1"/>
      </rPr>
      <t>(porozumienia z j.s.t.)</t>
    </r>
  </si>
  <si>
    <t>Zespoły ds orzekania o niepełnosprawności</t>
  </si>
  <si>
    <t>Pomoc dla repatriantów</t>
  </si>
  <si>
    <r>
      <t>Pozostała działalność</t>
    </r>
  </si>
  <si>
    <t>Koszaliński Program Integracji Społecznej START</t>
  </si>
  <si>
    <t>"Szkoły zawodowe dodają skrzydeł"</t>
  </si>
  <si>
    <t>Składki na Fp</t>
  </si>
  <si>
    <t>zakup materiałów i wyposażenia</t>
  </si>
  <si>
    <t>EDUKACYJNA OPIEKA WYCHOWAWCZA</t>
  </si>
  <si>
    <t>Świetlice szkolne</t>
  </si>
  <si>
    <t>Specjalne ośrodki szkolno-wychowawcze</t>
  </si>
  <si>
    <t>Zakup pomocy naukowych, dydakt. książek</t>
  </si>
  <si>
    <t>Poradnie psychologiczno - pedagogiczne, w tym poradnie specjalistyczne</t>
  </si>
  <si>
    <t>Zakup pomocy naukowych, dydakt.i książek</t>
  </si>
  <si>
    <t>"Zero tolerancji dla przemocy w szkole"</t>
  </si>
  <si>
    <t>"Program opieki i terapii skierowany na uczniów z niepłynnością mowy"</t>
  </si>
  <si>
    <t>Placówki wychowania pozaszkolnego</t>
  </si>
  <si>
    <t xml:space="preserve">Stypendia oraz inne formy pomocy dla uczniów </t>
  </si>
  <si>
    <t xml:space="preserve">Stypendia dla uczniów </t>
  </si>
  <si>
    <t>Inne formy pomocy dla uczniów</t>
  </si>
  <si>
    <t>Program "Równy start"</t>
  </si>
  <si>
    <t>Europejski fundusz stypendialny dla uczniów szkół ponadgimnazjalnych w Koszalinie 2006/2007</t>
  </si>
  <si>
    <t>Szkolne Schroniska Młodzieżowe</t>
  </si>
  <si>
    <t>Ośrodki rewalidacyjno - wychowawcze</t>
  </si>
  <si>
    <t>Dotacja podmiotowa dla niepublicznej jednostki systemu oświaty</t>
  </si>
  <si>
    <t>Stołówki szkolne</t>
  </si>
  <si>
    <t>Pozostałe wydatki</t>
  </si>
  <si>
    <r>
      <t xml:space="preserve">Dotacja celowa z budżetu na finansowanie  lub dofinansowanie zadań zleconych do realizacji stowarzyszeniom - </t>
    </r>
    <r>
      <rPr>
        <i/>
        <sz val="9"/>
        <rFont val="Times New Roman CE"/>
        <family val="1"/>
      </rPr>
      <t xml:space="preserve">czynsz </t>
    </r>
  </si>
  <si>
    <r>
      <t>Wynagrodzenia osobowe pracowników -</t>
    </r>
    <r>
      <rPr>
        <i/>
        <sz val="9"/>
        <rFont val="Times New Roman CE"/>
        <family val="1"/>
      </rPr>
      <t xml:space="preserve"> odprawy emerytalne, awanse zawodowe</t>
    </r>
  </si>
  <si>
    <r>
      <t xml:space="preserve">Zakup materiałów i wyposażenia  </t>
    </r>
    <r>
      <rPr>
        <i/>
        <sz val="9"/>
        <rFont val="Times New Roman CE"/>
        <family val="1"/>
      </rPr>
      <t>RO</t>
    </r>
  </si>
  <si>
    <t xml:space="preserve">Zakup materiałów i wyposażenia  </t>
  </si>
  <si>
    <r>
      <t>Zakup usług pozostałych</t>
    </r>
    <r>
      <rPr>
        <i/>
        <sz val="9"/>
        <rFont val="Times New Roman CE"/>
        <family val="1"/>
      </rPr>
      <t xml:space="preserve"> RO</t>
    </r>
  </si>
  <si>
    <t>GOSPODARKA KOMUNALNA  I  OCHRONA ŚRODOWISKA</t>
  </si>
  <si>
    <t>Gospodarka ściekowa i ochrona wód</t>
  </si>
  <si>
    <t>1. Oczyszczalnia ścieków w Jamnie</t>
  </si>
  <si>
    <t>2. Uzbrojenie oś. "Unii Europejskiej"</t>
  </si>
  <si>
    <t>3. Kolektor XXVI</t>
  </si>
  <si>
    <t>4. Uzbrojenie osiedla " Podgórne-Batalionów Chłopskich"</t>
  </si>
  <si>
    <t>5. Kolektor sanitarny "A" - II etap</t>
  </si>
  <si>
    <t>6. Kanalizacja sanitarna w ul.Zwycięstwa (przy ul.Zdobywców Wału Pomorskiego)</t>
  </si>
  <si>
    <t>7. Uzbrojenie ul.Zdobywców Wału Pomorskiego - odcinek ul. Wopistów do ul. Sanatoryjnej</t>
  </si>
  <si>
    <t>8. Uzbrojenie ul.Zdobywców Wału Pomorskiego - odcinek ul. Sianowskiej do ul. Słonecznej</t>
  </si>
  <si>
    <r>
      <t xml:space="preserve">Zakup usług pozostałych </t>
    </r>
    <r>
      <rPr>
        <b/>
        <i/>
        <sz val="9"/>
        <rFont val="Times New Roman CE"/>
        <family val="1"/>
      </rPr>
      <t>- roboty publiczne</t>
    </r>
  </si>
  <si>
    <t>Utrzymanie zieleni w miastach i gminach</t>
  </si>
  <si>
    <t>Zakup usług i wyposażenia</t>
  </si>
  <si>
    <r>
      <t xml:space="preserve">Zakup usług pozostałych - </t>
    </r>
    <r>
      <rPr>
        <i/>
        <sz val="9"/>
        <rFont val="Times New Roman CE"/>
        <family val="1"/>
      </rPr>
      <t>bieżące utrzymanie</t>
    </r>
  </si>
  <si>
    <r>
      <t xml:space="preserve">Wydatki inwestycyjne jednostek budżetowych </t>
    </r>
    <r>
      <rPr>
        <i/>
        <sz val="9"/>
        <rFont val="Times New Roman CE"/>
        <family val="1"/>
      </rPr>
      <t>- budowa schroniska</t>
    </r>
  </si>
  <si>
    <t>Oświetlenie ulic, placów i dróg</t>
  </si>
  <si>
    <t>Zakup usług remontowych - RO</t>
  </si>
  <si>
    <t>Zakup usług remontowych (w tym: RO - 359.000 zł)</t>
  </si>
  <si>
    <t xml:space="preserve">Dotacje celowe z budżetu na finansowanie  lub dofinansowanie  inwestycji i zakupów inwestycyjnych jednostek nie zaliczanych do sektora finansów publicznych </t>
  </si>
  <si>
    <t>Wydatki na zakup i objęcie akcji oraz wniesienie wkładów do spółek prawa handlowego (PGK)</t>
  </si>
  <si>
    <t>"Concerto ATC2"</t>
  </si>
  <si>
    <t>Wynagrodzenie bezosobowe</t>
  </si>
  <si>
    <t>Zadania w zakresie kinematografii</t>
  </si>
  <si>
    <t xml:space="preserve">Dotacja podmiotowa z budżetu dla instytucji kultury  </t>
  </si>
  <si>
    <t>Wydatki osobowe nie zaliczone do wynagrodzeń</t>
  </si>
  <si>
    <r>
      <t xml:space="preserve">Zakup usług pozostałych - </t>
    </r>
    <r>
      <rPr>
        <i/>
        <sz val="9"/>
        <rFont val="Times New Roman CE"/>
        <family val="1"/>
      </rPr>
      <t xml:space="preserve">organizacja różnych imprez </t>
    </r>
  </si>
  <si>
    <t xml:space="preserve">Zakup materiałów i wyposażenia - RWZ </t>
  </si>
  <si>
    <t>Dotacja celowa z budżetu na finansowanie lub dofinansowanie zadań zleconych do realizacji stowarzyszeniom OP</t>
  </si>
  <si>
    <t>"Umieć czytać historię. Polsko - Niemieckie Spotkania Archiwalne - Koszalin 2008"</t>
  </si>
  <si>
    <t xml:space="preserve">Teatry </t>
  </si>
  <si>
    <t>Dotacja podmiotowa z budżetu dla samorządowej instytucji kultury w tym:</t>
  </si>
  <si>
    <t>działalność bieżąca</t>
  </si>
  <si>
    <t>remont siedziby</t>
  </si>
  <si>
    <t>*</t>
  </si>
  <si>
    <t xml:space="preserve">zakup wyposażenia </t>
  </si>
  <si>
    <t>uroczyste otwarcie wyremontowanej siedziby</t>
  </si>
  <si>
    <t>na realizację projektów dofinans. ze środków zewnętrznych</t>
  </si>
  <si>
    <t>adaptacja pomieszczeń w budynku przy ul. Morskiej</t>
  </si>
  <si>
    <t>Gala Baletowa</t>
  </si>
  <si>
    <t>organizacja międzynarodowych warsztatów teatralnych</t>
  </si>
  <si>
    <t>zakup wyposażenia siedziby (meble)</t>
  </si>
  <si>
    <t>Filharmonie, orkiestry, chóry i kapele</t>
  </si>
  <si>
    <t xml:space="preserve">Dotacja podmiotowa z budżetu dla samorządowej instytucji kultury w tym:  </t>
  </si>
  <si>
    <t>odszkodowanie dla pracownika</t>
  </si>
  <si>
    <t>Międzynarodowy Festiwal Organowy</t>
  </si>
  <si>
    <t>"Lato Muzyczne z Filharmonią"</t>
  </si>
  <si>
    <r>
      <t>Zakup materiałów i wyposażenia</t>
    </r>
    <r>
      <rPr>
        <i/>
        <sz val="9"/>
        <rFont val="Times New Roman CE"/>
        <family val="1"/>
      </rPr>
      <t xml:space="preserve"> - porozum.</t>
    </r>
  </si>
  <si>
    <r>
      <t>Wydatki inwestycyjne jednostek budżetowych -</t>
    </r>
    <r>
      <rPr>
        <i/>
        <sz val="9"/>
        <rFont val="Times New Roman CE"/>
        <family val="1"/>
      </rPr>
      <t xml:space="preserve"> sala koncertowa</t>
    </r>
  </si>
  <si>
    <r>
      <t xml:space="preserve">Dotacje celowe z budżetu na finansowanie  lub dofinansowanie kosztów realizacji inwestycji i zakupów inwestycyjnych  innych jednostek sektora finansów publicznych - </t>
    </r>
    <r>
      <rPr>
        <i/>
        <sz val="9"/>
        <rFont val="Times New Roman CE"/>
        <family val="0"/>
      </rPr>
      <t>zakup instrumentów *</t>
    </r>
  </si>
  <si>
    <t>Domy i ośrodki kultury, świetlice i kluby</t>
  </si>
  <si>
    <t>Centrum Kultury - gmina</t>
  </si>
  <si>
    <t>na imprezy</t>
  </si>
  <si>
    <t>wkład własny do Hanza Jazz Festiwal</t>
  </si>
  <si>
    <t>organizacja 27 KFDF "Młodzi i Film"</t>
  </si>
  <si>
    <t>Ulica Smaków</t>
  </si>
  <si>
    <t>Galeria "Scena"</t>
  </si>
  <si>
    <t>festiwal filmów Wł. Wysockiego</t>
  </si>
  <si>
    <t>Festiwal Pieśni Religijnej</t>
  </si>
  <si>
    <t>Współorganizacja koncertu z okazji Dnia Unii Europejskiej, Dnia Zwycięstwa i inauguracji XXX Tygodnia Kultury Studenckiej</t>
  </si>
  <si>
    <t>Organizacja "Majówki 2008"</t>
  </si>
  <si>
    <t>"Dni Koszalina"</t>
  </si>
  <si>
    <t>remont Domku Kata</t>
  </si>
  <si>
    <t>remont elewacji budynku CK 105</t>
  </si>
  <si>
    <r>
      <t xml:space="preserve">Wydatki inwestycyjne jednostek budżetowych </t>
    </r>
    <r>
      <rPr>
        <i/>
        <sz val="9"/>
        <rFont val="Times New Roman CE"/>
        <family val="1"/>
      </rPr>
      <t>- akustyka</t>
    </r>
  </si>
  <si>
    <t xml:space="preserve">Modernizacja budynku MOK </t>
  </si>
  <si>
    <r>
      <t>Wydatki inwestycyjne jednostek budżetowych -</t>
    </r>
    <r>
      <rPr>
        <i/>
        <sz val="8"/>
        <rFont val="Times New Roman CE"/>
        <family val="1"/>
      </rPr>
      <t>MDK</t>
    </r>
  </si>
  <si>
    <t>porozumienia</t>
  </si>
  <si>
    <t>wyposażenie Filii Bibliotecznej nr 15 i nr 4</t>
  </si>
  <si>
    <t>740 - lecie Koszalina</t>
  </si>
  <si>
    <t>Almanach</t>
  </si>
  <si>
    <t>wydawnictwa - "Miesiąc w Koszalinie"</t>
  </si>
  <si>
    <t>"książka mówiona"</t>
  </si>
  <si>
    <t>"Roczniki Koszalińskie"</t>
  </si>
  <si>
    <t>Wystawa fotografii -             "Scena 5"</t>
  </si>
  <si>
    <t>festiwal "Integracja Ja i Ty"</t>
  </si>
  <si>
    <r>
      <t xml:space="preserve">Dotacje celowe z budżetu na finansowanie  lub dofinansowanie kosztów realizacji inwestycji i zakupów inwestycyjnych  innych jednostek sektora finansów publicznych </t>
    </r>
    <r>
      <rPr>
        <i/>
        <sz val="9"/>
        <rFont val="Times New Roman CE"/>
        <family val="1"/>
      </rPr>
      <t xml:space="preserve">- remont filii </t>
    </r>
  </si>
  <si>
    <t>wydanie książki "60 lat wojskowego szkolnictwa zawodowego w K-nie"</t>
  </si>
  <si>
    <t>odprawa emerytalna i nagrody jubileuszowe</t>
  </si>
  <si>
    <t>odprawa rentowa</t>
  </si>
  <si>
    <t>nagroda dla dyrektora</t>
  </si>
  <si>
    <t>wystawa pt. "Mur Chiński"</t>
  </si>
  <si>
    <t>dofinansowanie imprezy "Noc muzeów"</t>
  </si>
  <si>
    <t>wykonanie projektu graficznego i druk publikacji "Awangarda w plenerze: Osieki i łazy. Polska awangarda lat 60 - 80 w kolekcji sztuki współczesnej w Muzeum w Koszalinie"</t>
  </si>
  <si>
    <t xml:space="preserve">"Muzealne spotkanie z fotografią" </t>
  </si>
  <si>
    <t xml:space="preserve">archeologiczne wykopaliskowe badania ratownicze 2008 stanowisk zagrożonych woj. Zachodniopomorskiego </t>
  </si>
  <si>
    <t>poprawa bazy umożliwiająca uatrakcyjnienie działań wystawienniczych i oświatowych Muzeum w Koszalinie</t>
  </si>
  <si>
    <t>wystawa pn. "Historia najnowsza Koszalina w latach 1945 - 1990"</t>
  </si>
  <si>
    <t>wydanie "Koszalińskich Zeszytów Muzealnych" i informator</t>
  </si>
  <si>
    <t>porozumienie</t>
  </si>
  <si>
    <t>Dotacje celowe z budżetu na finansowanie  lub dofinansowanie kosztów realizacji inwestycji i zakupów inwestycyjnych  innych jednostek sektora finansów publicznych</t>
  </si>
  <si>
    <t>zakup i montaż systemu do ochrony i monitorowania obiektów Muzeum</t>
  </si>
  <si>
    <t>Dział archeologii</t>
  </si>
  <si>
    <t>remont stropu i konserwacja polichromii w budynku głównym</t>
  </si>
  <si>
    <t>przygotowanie stałej wystawy pt. "Sztuka dawna od baroku do secesji"</t>
  </si>
  <si>
    <r>
      <t>remont i rozbudowa Muzeum - elewacja -</t>
    </r>
    <r>
      <rPr>
        <b/>
        <i/>
        <sz val="9"/>
        <rFont val="Times New Roman CE"/>
        <family val="1"/>
      </rPr>
      <t xml:space="preserve"> IK</t>
    </r>
  </si>
  <si>
    <r>
      <t xml:space="preserve">Wydatki inwestycyjne jednostek budżetowych </t>
    </r>
    <r>
      <rPr>
        <i/>
        <sz val="9"/>
        <rFont val="Times New Roman CE"/>
        <family val="1"/>
      </rPr>
      <t>(elewacja - IK)</t>
    </r>
  </si>
  <si>
    <t>Ochrona zabytków i opieka nad zabytkami</t>
  </si>
  <si>
    <r>
      <t>Zakup usług remontowych -</t>
    </r>
    <r>
      <rPr>
        <i/>
        <sz val="9"/>
        <rFont val="Times New Roman CE"/>
        <family val="1"/>
      </rPr>
      <t>remont murów miejskich</t>
    </r>
  </si>
  <si>
    <t>Zakup usług remontowo - konserwatorskich dotyczących obiektów zabytkowych będących w użytkowaniu jednostek budżetowych</t>
  </si>
  <si>
    <t>Dotacja podmiotowa z budżetu państwa dla instytucji kultury - Filharmonia Koszalińska (organizacja koncertów dla młodzieży)</t>
  </si>
  <si>
    <t>Nagrody o charakterze szczególnym niezaliczane do wynagrodzeń - KS</t>
  </si>
  <si>
    <r>
      <t xml:space="preserve">Zakup materiałów i wyposażenia - </t>
    </r>
    <r>
      <rPr>
        <i/>
        <sz val="9"/>
        <rFont val="Times New Roman CE"/>
        <family val="1"/>
      </rPr>
      <t xml:space="preserve"> RO</t>
    </r>
  </si>
  <si>
    <r>
      <t>Zakup usług pozostałych -</t>
    </r>
    <r>
      <rPr>
        <i/>
        <sz val="9"/>
        <rFont val="Times New Roman CE"/>
        <family val="1"/>
      </rPr>
      <t xml:space="preserve"> KS</t>
    </r>
  </si>
  <si>
    <r>
      <t>Zakup usług pozostałych -</t>
    </r>
    <r>
      <rPr>
        <i/>
        <sz val="9"/>
        <rFont val="Times New Roman CE"/>
        <family val="1"/>
      </rPr>
      <t xml:space="preserve"> RO</t>
    </r>
  </si>
  <si>
    <r>
      <t xml:space="preserve">Różne opłaty i składki </t>
    </r>
    <r>
      <rPr>
        <i/>
        <sz val="9"/>
        <rFont val="Times New Roman CE"/>
        <family val="1"/>
      </rPr>
      <t>- RO</t>
    </r>
  </si>
  <si>
    <r>
      <t xml:space="preserve">Zakup materiałów papierniczych do sprzętu drukarskiego i urządzeń kserograficznych - </t>
    </r>
    <r>
      <rPr>
        <i/>
        <sz val="9"/>
        <rFont val="Times New Roman CE"/>
        <family val="1"/>
      </rPr>
      <t>RO</t>
    </r>
  </si>
  <si>
    <t>"XII Polsko - Niemiecki Festiwal Młodzieży Koszalin 2007"</t>
  </si>
  <si>
    <t>Zakup usług pozostałych - "Sportowa Dolina"</t>
  </si>
  <si>
    <t>Wydatki na zakup i objęcie akcji, wniesienie wkładów do spółek prawa handlowego (ZOS)</t>
  </si>
  <si>
    <t xml:space="preserve">Bałtyk </t>
  </si>
  <si>
    <t>budowa zjazdu narciarskiego na Górze Chełmskiej</t>
  </si>
  <si>
    <t>Centralny Ośrodek Szkolenia Taekwondo w Koszalinie</t>
  </si>
  <si>
    <t>budowa hali widowiskowo - sportowej</t>
  </si>
  <si>
    <t>"Budowa Centrum rekreacyjno - sportowego w Koszalinie"</t>
  </si>
  <si>
    <t>Zadania w zakresie kultury fizycznej i sportu</t>
  </si>
  <si>
    <t xml:space="preserve">Pozostała działalność </t>
  </si>
  <si>
    <r>
      <t>Zakup materiałów i wyposażenia -</t>
    </r>
    <r>
      <rPr>
        <i/>
        <sz val="9"/>
        <rFont val="Times New Roman CE"/>
        <family val="1"/>
      </rPr>
      <t xml:space="preserve"> RO</t>
    </r>
  </si>
  <si>
    <t>Zakup usług pozostałych - RO</t>
  </si>
  <si>
    <t>Zakup materiałów papierniczych do sprzętu drukarskiego i urządzeń kserograficznych - RO</t>
  </si>
  <si>
    <r>
      <t>Różne opłaty i składki -</t>
    </r>
    <r>
      <rPr>
        <i/>
        <sz val="9"/>
        <rFont val="Times New Roman CE"/>
        <family val="1"/>
      </rPr>
      <t xml:space="preserve"> RO</t>
    </r>
  </si>
  <si>
    <t>własne</t>
  </si>
  <si>
    <t xml:space="preserve">w tym: </t>
  </si>
  <si>
    <t>na podstawie porozumień          z jednostkami samorządu terytorialnego</t>
  </si>
  <si>
    <t>zlecone</t>
  </si>
  <si>
    <t>na podstawie porozumień z organami administracji rządowej</t>
  </si>
  <si>
    <t xml:space="preserve">            ROCZNE  SPRAWOZDANIE O NADWYŻCE/DEFICYCIE</t>
  </si>
  <si>
    <t>A. DOCHODY</t>
  </si>
  <si>
    <t>B. WYDATKI (B1+B2)</t>
  </si>
  <si>
    <t>B1. Wydatki bieżące</t>
  </si>
  <si>
    <t>B2. Wydatki majątkowe</t>
  </si>
  <si>
    <t>C. NADWYŻKA/DEFICYT (A-B)</t>
  </si>
  <si>
    <t>D. FINANSOWANIE (D1-D2)</t>
  </si>
  <si>
    <t>D1. Przychody ogółem z tego:</t>
  </si>
  <si>
    <t>D11. Kredyty i pożyczki w tym:</t>
  </si>
  <si>
    <t>D111. na realizacje programów i projektów realizowanych z udziałem środków, o których mowa w art..5 ust. 3 ustawy o finansach publicznych</t>
  </si>
  <si>
    <t>D12.  spłaty pożyczek udzielonych</t>
  </si>
  <si>
    <t>D13.  nadwyżka z lat ubiegłych w tym:</t>
  </si>
  <si>
    <t>D131. Środki na pokrycie deficytu</t>
  </si>
  <si>
    <t>D14. Papiery wartościowe w tym:</t>
  </si>
  <si>
    <t>D141. na realizacje programów i projektów realizowanych z udziałem środków, o których mowa w art..5 ust. 3 ustawy o finansach publicznych</t>
  </si>
  <si>
    <t>D15. Obligacje jednostek samorządowych oraz związków komunalnych w tym:</t>
  </si>
  <si>
    <t>D151. na realizacje programów i projektów realizowanych z udziałem środków, o których mowa w art..5 ust. 3 ustawy o finansach publicznych</t>
  </si>
  <si>
    <t>D16. Prywatyzacja majątku j.s.t</t>
  </si>
  <si>
    <t>D17. Inne źródła w tym:</t>
  </si>
  <si>
    <t>D171. Środki na pokrycie deficytu</t>
  </si>
  <si>
    <t>D2. Rozchody ogółem z tego:</t>
  </si>
  <si>
    <t>D21. Spłaty kredytów i pożyczek w tym:</t>
  </si>
  <si>
    <t xml:space="preserve">D211. na realizację programów i projektów realizowanych z udziałem środków, o których mowa w art..5 ust. 3 ustawy o finansach publicznych </t>
  </si>
  <si>
    <t>D22. Pożyczki (udzielone)</t>
  </si>
  <si>
    <t>D23. Wykup papierów wartościowych w tym:</t>
  </si>
  <si>
    <t xml:space="preserve">D231. na realizację programów i projektów realizowanych z udziałem środków, o których mowa w art..5 ust. 3 ustawy o finansach publicznych  </t>
  </si>
  <si>
    <t>D24. Wykup obligacji samorządowych w tym:</t>
  </si>
  <si>
    <t xml:space="preserve">D241. na realizację programów i projektów realizowanych z udziałem środków, o których mowa w art..5 ust. 3 ustawy o finansach publicznych   </t>
  </si>
  <si>
    <t>D25. Inne cele</t>
  </si>
  <si>
    <t xml:space="preserve">                              za okres od początku roku do dnia 30 września 2008 r.</t>
  </si>
  <si>
    <t>Autor dokumentu: Małgorzata Liwak</t>
  </si>
  <si>
    <t>Autor dokumentu: Sylwia Szpak</t>
  </si>
  <si>
    <t>Wprowadził do BIP: Agnieszka Sulewska</t>
  </si>
  <si>
    <t>Data wprowadzenia do BIP: 30.10.2008 r.</t>
  </si>
  <si>
    <t>Autor dokumentu: Agnieszka Sulewska</t>
  </si>
  <si>
    <t>WYKONANIE   PLANU   DOCHODÓW   MIASTA   KOSZALINA   ZA  9  MIESIĘCY  2008   ROKU</t>
  </si>
  <si>
    <t xml:space="preserve">Dział rozdział § </t>
  </si>
  <si>
    <t>Wyszczególnienie</t>
  </si>
  <si>
    <t>OGÓŁEM</t>
  </si>
  <si>
    <t xml:space="preserve">GMINA </t>
  </si>
  <si>
    <t>POWIAT</t>
  </si>
  <si>
    <t>WŁASNE</t>
  </si>
  <si>
    <t>ZLECONE</t>
  </si>
  <si>
    <t>Plan         
pierwotny</t>
  </si>
  <si>
    <t xml:space="preserve">Plan po zmianach </t>
  </si>
  <si>
    <t>Wykonanie</t>
  </si>
  <si>
    <t>% wyk. planu</t>
  </si>
  <si>
    <t>Plan po zmianach</t>
  </si>
  <si>
    <t>010</t>
  </si>
  <si>
    <t>ROLNICTWO I ŁOWIECTWO</t>
  </si>
  <si>
    <t>01095</t>
  </si>
  <si>
    <t>Pozostała działalność</t>
  </si>
  <si>
    <t>2010</t>
  </si>
  <si>
    <t>Dotacje celowe otrzymane z budżetu państwa na realizację zadań bieżących z zakresu administracji rządowej zleconych gminom</t>
  </si>
  <si>
    <t>600</t>
  </si>
  <si>
    <t>TRANSPORT  I  ŁĄCZNOŚĆ</t>
  </si>
  <si>
    <t>60015</t>
  </si>
  <si>
    <t>Drogi publiczne w miastach na prawach powiatu</t>
  </si>
  <si>
    <t>0580</t>
  </si>
  <si>
    <t>Grzywny, mandaty i inne kary pieniężne od osób prawnych i innych jednostek organizacyjnych</t>
  </si>
  <si>
    <t>0870</t>
  </si>
  <si>
    <t>Wpływy ze sprzedaży składników majątkowych</t>
  </si>
  <si>
    <t>0970</t>
  </si>
  <si>
    <t>Wpływy z różnych dochodów</t>
  </si>
  <si>
    <t>6423</t>
  </si>
  <si>
    <t>Dotacje celowe przekazane z budżetu państwa na inwestycję i zakupy inwestycyjne realizowane przez powiat na podstawie porozumień z organami administracji rządowej</t>
  </si>
  <si>
    <t>60016</t>
  </si>
  <si>
    <t>Drogi publiczne gminne</t>
  </si>
  <si>
    <t>Grzywny i inne kary pieniężne od osób prawnych i innych jednostek organizacyjnych</t>
  </si>
  <si>
    <t xml:space="preserve">Wpływy z różnych dochodów </t>
  </si>
  <si>
    <r>
      <t xml:space="preserve">Wpływy z różnych dochodów - </t>
    </r>
    <r>
      <rPr>
        <b/>
        <i/>
        <sz val="8"/>
        <rFont val="Times New Roman CE"/>
        <family val="0"/>
      </rPr>
      <t xml:space="preserve">dochód UM - dokumentacja projektowa dla MWiK </t>
    </r>
  </si>
  <si>
    <t>60017</t>
  </si>
  <si>
    <t>Drogi wewnętrzne</t>
  </si>
  <si>
    <t>60095</t>
  </si>
  <si>
    <t>630</t>
  </si>
  <si>
    <t>TURYSTYKA</t>
  </si>
  <si>
    <t>63095</t>
  </si>
  <si>
    <t>2708</t>
  </si>
  <si>
    <r>
      <t xml:space="preserve">Środki na dofinansowanie własnych zadań bieżących gmin, powiatów pozyskane z innych źródeł </t>
    </r>
    <r>
      <rPr>
        <b/>
        <i/>
        <sz val="8"/>
        <rFont val="Times New Roman CE"/>
        <family val="0"/>
      </rPr>
      <t>(Transgraniczna wymiana doświadczeń...)</t>
    </r>
  </si>
  <si>
    <t>2709</t>
  </si>
  <si>
    <t>700</t>
  </si>
  <si>
    <t>GOSPODARKA MIESZKANIOWA</t>
  </si>
  <si>
    <t>70005</t>
  </si>
  <si>
    <t>Gospodarka gruntami i nieruchomościami</t>
  </si>
  <si>
    <t>0470</t>
  </si>
  <si>
    <t xml:space="preserve">Wpływy z opłat za zarząd, użytkowanie i użytkowanie wieczyste nieruchomości  </t>
  </si>
  <si>
    <t>0690</t>
  </si>
  <si>
    <r>
      <t>Wpływy z różnych opłat</t>
    </r>
    <r>
      <rPr>
        <i/>
        <sz val="9"/>
        <rFont val="Times New Roman CE"/>
        <family val="1"/>
      </rPr>
      <t xml:space="preserve"> </t>
    </r>
    <r>
      <rPr>
        <sz val="7"/>
        <rFont val="Times New Roman CE"/>
        <family val="1"/>
      </rPr>
      <t>(za zajęcie nieruchomości, za nieterminową zabudowę, za służebność, za bezumowne korzystanie)</t>
    </r>
  </si>
  <si>
    <t>0750</t>
  </si>
  <si>
    <t>Dochody z najmu i dzierżawy składników majątkowych Skarbu Państwa, jst lub innych jednostek zaliczanych do sektora finansów publicznych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</si>
  <si>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</si>
  <si>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</si>
  <si>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</si>
  <si>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 oraz prawa użytkowania wieczystego nieruchomości</t>
  </si>
  <si>
    <t>Wpływy z różnych dochodów (zwrot kosztów przygotowania nieruchomości do zbycia)</t>
  </si>
  <si>
    <t>2110</t>
  </si>
  <si>
    <t>Dotacje celowe otrzymane z budżetu państwa na zadania bieżące z zakresu administracji rządowej oraz inne zadania zlecone ustawami realizowane przez powiat</t>
  </si>
  <si>
    <t>2360</t>
  </si>
  <si>
    <r>
      <t>Dochody jst związane z realizacją zadań z zakresu administracji rządowej oraz innych zadań zleconych ustawami</t>
    </r>
    <r>
      <rPr>
        <i/>
        <sz val="8"/>
        <rFont val="Times New Roman CE"/>
        <family val="0"/>
      </rPr>
      <t xml:space="preserve"> (25%  z majątku Skarbu Państwa)</t>
    </r>
  </si>
  <si>
    <t>70095</t>
  </si>
  <si>
    <t>710</t>
  </si>
  <si>
    <t>DZIAŁALNOŚĆ USŁUGOWA</t>
  </si>
  <si>
    <t>71013</t>
  </si>
  <si>
    <t>Prace geodezyjne i kartograficzne</t>
  </si>
  <si>
    <t>71014</t>
  </si>
  <si>
    <t>Opracowania geodezyjne i kartograficzne</t>
  </si>
  <si>
    <t>71015</t>
  </si>
  <si>
    <t xml:space="preserve">Nadzór  budowlany </t>
  </si>
  <si>
    <t>0920</t>
  </si>
  <si>
    <t xml:space="preserve">Pozostałe odsetki </t>
  </si>
  <si>
    <t>6410</t>
  </si>
  <si>
    <t>Dotacje celowe otrzymane z budżetu państwa na inwestycje i zakupy inwestycyjne z zakresu administracji rządowej oraz inne zadania zlecone ustawami realizowane przez powiat</t>
  </si>
  <si>
    <t>71035</t>
  </si>
  <si>
    <t>Cmentarze</t>
  </si>
  <si>
    <t xml:space="preserve"> </t>
  </si>
  <si>
    <t>2020</t>
  </si>
  <si>
    <t xml:space="preserve">Dotacje celowe otrzymane z budżetu państwa na zadania bieżące realizowane przez gminę na podstawie porozumień z organami administracji rządowej  </t>
  </si>
  <si>
    <t>71095</t>
  </si>
  <si>
    <t>0830</t>
  </si>
  <si>
    <t>Wpływy z usług</t>
  </si>
  <si>
    <t>750</t>
  </si>
  <si>
    <t>ADMINISTRACJA  PUBLICZNA</t>
  </si>
  <si>
    <t>75011</t>
  </si>
  <si>
    <t>Urzędy wojewódzkie</t>
  </si>
  <si>
    <r>
      <t xml:space="preserve">Dochody jst związane z realizacją zadań z zakresu administracji rządowej oraz innych zadań zleconych ustawami </t>
    </r>
    <r>
      <rPr>
        <sz val="7"/>
        <rFont val="Times New Roman CE"/>
        <family val="1"/>
      </rPr>
      <t>(5% za dowody osobiste)</t>
    </r>
  </si>
  <si>
    <t>75020</t>
  </si>
  <si>
    <t>Starostwa powiatowe</t>
  </si>
  <si>
    <t>0420</t>
  </si>
  <si>
    <t>Wpływy z opłaty komunikacyjnej</t>
  </si>
  <si>
    <r>
      <t>Wpływy z różnych opłat</t>
    </r>
    <r>
      <rPr>
        <sz val="7"/>
        <rFont val="Times New Roman CE"/>
        <family val="1"/>
      </rPr>
      <t xml:space="preserve"> (za karty wędkarskie)</t>
    </r>
  </si>
  <si>
    <t>75023</t>
  </si>
  <si>
    <t>Urzędy gmin</t>
  </si>
  <si>
    <r>
      <t xml:space="preserve">Wpływy z różnych opłat </t>
    </r>
    <r>
      <rPr>
        <i/>
        <sz val="8"/>
        <rFont val="Times New Roman CE"/>
        <family val="0"/>
      </rPr>
      <t>(czynności egzekucyjne, koszty procesowe, karta parkingowa)</t>
    </r>
  </si>
  <si>
    <t>Dochody z najmu i dzierżawy składników majątkowych Skarbu Państwa, jst lub innych jednostek zaliczanych do sektora fin. publ.</t>
  </si>
  <si>
    <r>
      <t xml:space="preserve">Wpływy z różnych dochodów </t>
    </r>
    <r>
      <rPr>
        <i/>
        <sz val="8"/>
        <rFont val="Times New Roman CE"/>
        <family val="0"/>
      </rPr>
      <t>(rozmowy tel., media, recykling, szkolenia, koszty upomnień)</t>
    </r>
  </si>
  <si>
    <t>75045</t>
  </si>
  <si>
    <t>Komisje poborowe</t>
  </si>
  <si>
    <t>2120</t>
  </si>
  <si>
    <t>Dotacje celowe otrzymane z budżetu państwa na zadania bieżące realizowane przez powiat na podstawie porozumień z organami administracji rządowej</t>
  </si>
  <si>
    <t>75095</t>
  </si>
  <si>
    <t>0570</t>
  </si>
  <si>
    <r>
      <t xml:space="preserve">Grzywny, mandaty i inne kary pieniężne od ludności - </t>
    </r>
    <r>
      <rPr>
        <sz val="8"/>
        <rFont val="Times New Roman CE"/>
        <family val="0"/>
      </rPr>
      <t>SM</t>
    </r>
  </si>
  <si>
    <t>0960</t>
  </si>
  <si>
    <t>Otrzymane spadki, zapisy i darowizny w postaci pieniężnej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</si>
  <si>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</si>
  <si>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</si>
  <si>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</si>
  <si>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</si>
  <si>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</si>
  <si>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</si>
  <si>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75411</t>
  </si>
  <si>
    <t>Komendy  powiatowe Państwowej Straży Pożarnej</t>
  </si>
  <si>
    <t>Pozostałe odsetki</t>
  </si>
  <si>
    <t>Dochody jst związane z realizacją zadań z zakresu administracji rządowej oraz innych zadań zleconych ustawami</t>
  </si>
  <si>
    <t>75414</t>
  </si>
  <si>
    <t>Obrona cywilna</t>
  </si>
  <si>
    <t>Dotacje celowe otrzymane z budżetu państwa na zadania bieżące z zakresu administracji rządowej oraz inne zadania zlecone ustawami realizowane przez gminę</t>
  </si>
  <si>
    <t>756</t>
  </si>
  <si>
    <t xml:space="preserve">DOCHODY OD OSÓB PRAWNYCH, OD OSÓB  FIZYCZNYCH I OD INNYCH JEDNOSTEK NIEPOSIADAJĄCYCH OSOBOWOŚCI PRAWNEJ ORAZ WYDATKI ZWIĄZANE Z ICH POBOREM </t>
  </si>
  <si>
    <t>75601</t>
  </si>
  <si>
    <t>Wpływy z podatku dochodowego od osób fizycznych</t>
  </si>
  <si>
    <t>0350</t>
  </si>
  <si>
    <r>
      <t xml:space="preserve">Podatek od działalności gospodarczej osób fizycznych, opłacanych w formie </t>
    </r>
    <r>
      <rPr>
        <b/>
        <sz val="9"/>
        <rFont val="Times New Roman CE"/>
        <family val="1"/>
      </rPr>
      <t>karty podatkowej</t>
    </r>
  </si>
  <si>
    <t>75615</t>
  </si>
  <si>
    <t>Wpływy z podatku rolnego, podatku leśnego, podatku od czynności cywilnoprawnych, podatków i opłat lokalnych od osób prawnych 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</si>
  <si>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</si>
  <si>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</si>
  <si>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</si>
  <si>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</si>
  <si>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</si>
  <si>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</si>
  <si>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</si>
  <si>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</si>
  <si>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0430</t>
  </si>
  <si>
    <t>Wpływy z opłaty targowej</t>
  </si>
  <si>
    <t>0500</t>
  </si>
  <si>
    <t>Podatek od czynności cywilno-prawnych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</si>
  <si>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</si>
  <si>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</si>
  <si>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</si>
  <si>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</si>
  <si>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0560</t>
  </si>
  <si>
    <t>Zaległości z podatków zniesionych</t>
  </si>
  <si>
    <t>2440</t>
  </si>
  <si>
    <t>Dotacje otrzymane z funduszy celowych na realizacje zadań bieżących jednostek sektora finansów publicznych</t>
  </si>
  <si>
    <t>75618</t>
  </si>
  <si>
    <t xml:space="preserve">Wpływy z innych opłat stanowiących dochody  j.s.t.  na podstawie ustaw </t>
  </si>
  <si>
    <t>0410</t>
  </si>
  <si>
    <t>Wpływy z opłaty skarbowej</t>
  </si>
  <si>
    <t>0480</t>
  </si>
  <si>
    <t>Wpływy z opłat za zezwolenia na sprzedaż alkoholu</t>
  </si>
  <si>
    <t>0490</t>
  </si>
  <si>
    <r>
      <t xml:space="preserve">Wpływy z innych lokalnych opłat pobieranych przez jednostki samorządu terytorialnego na podstawie odrębnych ustaw </t>
    </r>
    <r>
      <rPr>
        <i/>
        <sz val="7"/>
        <rFont val="Times New Roman CE"/>
        <family val="0"/>
      </rPr>
      <t>(licencje na przewóz osób i rzeczy,wpis do ewid.dział.gosp., opłata prolongacyjna)</t>
    </r>
  </si>
  <si>
    <r>
      <t xml:space="preserve">Wpływy z innych lokalnych opłat pobieranych przez jednostki samorządu terytorialnego na podstawie odrębnych ustaw </t>
    </r>
    <r>
      <rPr>
        <i/>
        <sz val="8"/>
        <rFont val="Times New Roman CE"/>
        <family val="0"/>
      </rPr>
      <t>(adiacencka, planistyczna)</t>
    </r>
  </si>
  <si>
    <t>75619</t>
  </si>
  <si>
    <t>Wpływy z różnych rozliczeń</t>
  </si>
  <si>
    <t>0910</t>
  </si>
  <si>
    <t>Odsetki od nieterminowych wpłat z tytułu podatków i opłat</t>
  </si>
  <si>
    <t>75621</t>
  </si>
  <si>
    <t>Udziały gmin w podatkach stanowiących dochód budżetu państwa</t>
  </si>
  <si>
    <t>0010</t>
  </si>
  <si>
    <t xml:space="preserve">Podatek dochodowy od osób fizycznych  </t>
  </si>
  <si>
    <t>0020</t>
  </si>
  <si>
    <t xml:space="preserve">Podatek dochodowy od osób prawnych  </t>
  </si>
  <si>
    <t>75622</t>
  </si>
  <si>
    <t>Udziały  powiatów  w podatkach stanowiących dochód budżetu państwa</t>
  </si>
  <si>
    <t xml:space="preserve">Podatek dochodowy od osób fizycznych </t>
  </si>
  <si>
    <t>75624</t>
  </si>
  <si>
    <t>Dywidendy</t>
  </si>
  <si>
    <t>0740</t>
  </si>
  <si>
    <t>Wpływy z dywidend</t>
  </si>
  <si>
    <t>75647</t>
  </si>
  <si>
    <t>Pobór podatków, opłat i nieopodatkowanych należności budżetowych</t>
  </si>
  <si>
    <r>
      <t>Wpływy z różnych opłat</t>
    </r>
    <r>
      <rPr>
        <i/>
        <sz val="8"/>
        <rFont val="Times New Roman CE"/>
        <family val="0"/>
      </rPr>
      <t xml:space="preserve"> (za czynności egzekucyjne, zwrot kosztów procesowych) </t>
    </r>
  </si>
  <si>
    <r>
      <t xml:space="preserve">Wpływy z różnych dochodów </t>
    </r>
    <r>
      <rPr>
        <i/>
        <sz val="8"/>
        <rFont val="Times New Roman CE"/>
        <family val="0"/>
      </rPr>
      <t>(koszty upomnień)</t>
    </r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</si>
  <si>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</si>
  <si>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</si>
  <si>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</si>
  <si>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</si>
  <si>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</si>
  <si>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</si>
  <si>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75802</t>
  </si>
  <si>
    <t>Uzupełnienie subwencji ogólnej dla j.s.t.</t>
  </si>
  <si>
    <t>2790</t>
  </si>
  <si>
    <t>Środki na utrzymanie rzecznych przerpaw promowych oraz budowę, modernizację, utrzymanie, ochronę i zarządzanie drogami krajowymi i wojewódzkimi w granicach miast na prawach powiatu</t>
  </si>
  <si>
    <t>75814</t>
  </si>
  <si>
    <t>Różne rozliczenia finansowe</t>
  </si>
  <si>
    <r>
      <t xml:space="preserve">Wpływy z różnych dochodów </t>
    </r>
    <r>
      <rPr>
        <i/>
        <sz val="7"/>
        <rFont val="Times New Roman CE"/>
        <family val="1"/>
      </rPr>
      <t>(rozliczenia lat ubiegłych-zwroty dotacji, kosztów sądowych, szkoły za rozliczenia z ZUS i US)</t>
    </r>
  </si>
  <si>
    <r>
      <t xml:space="preserve">Dochody jst związane z realizacją zadań z zakresu administracji rządowej oraz innych zadań zleconych ustawami </t>
    </r>
    <r>
      <rPr>
        <i/>
        <sz val="7"/>
        <rFont val="Times New Roman CE"/>
        <family val="1"/>
      </rPr>
      <t>(5% z odsetek od depozytów)</t>
    </r>
  </si>
  <si>
    <t>75831</t>
  </si>
  <si>
    <t>Część równoważąca subwencji ogólnej dla  gmin</t>
  </si>
  <si>
    <t>75832</t>
  </si>
  <si>
    <t>Część równoważąca subwencji ogólnej dla  powiatów</t>
  </si>
  <si>
    <t>801</t>
  </si>
  <si>
    <t>OŚWIATA I WYCHOWANIE</t>
  </si>
  <si>
    <t>80101</t>
  </si>
  <si>
    <t>Szkoły podstawowe</t>
  </si>
  <si>
    <r>
      <t xml:space="preserve">Wpływy z różnych opłat </t>
    </r>
    <r>
      <rPr>
        <sz val="7"/>
        <rFont val="Times New Roman CE"/>
        <family val="1"/>
      </rPr>
      <t>(za legitymacje i inne druki)</t>
    </r>
  </si>
  <si>
    <t>2030</t>
  </si>
  <si>
    <t>Dotacje celowe przekazane z budżetu państwa na realizację własnych zadań bieżących gmin</t>
  </si>
  <si>
    <t>80102</t>
  </si>
  <si>
    <t>Szkoły podstawowe specjalne</t>
  </si>
  <si>
    <t>Wpływy z różnych opłat</t>
  </si>
  <si>
    <t>80104</t>
  </si>
  <si>
    <t>Przedszkola</t>
  </si>
  <si>
    <t>Dotacje otrzymane z funduszy celowych na realizację zadań bieżących jednostek sektora finansów publicznych</t>
  </si>
  <si>
    <r>
      <t xml:space="preserve">Wpływy z różnych dochodów </t>
    </r>
    <r>
      <rPr>
        <i/>
        <sz val="8"/>
        <rFont val="Times New Roman CE"/>
        <family val="0"/>
      </rPr>
      <t>(zwroty z urzędów gmin za dzieci  spoza K-lina)</t>
    </r>
  </si>
  <si>
    <t>80110</t>
  </si>
  <si>
    <t>Gimnazja</t>
  </si>
  <si>
    <t>80114</t>
  </si>
  <si>
    <t>Zespoły obsługi ekonomiczno-administracyjnej szkół</t>
  </si>
  <si>
    <t>80120</t>
  </si>
  <si>
    <t>Licea ogólnokształcące</t>
  </si>
  <si>
    <t>80130</t>
  </si>
  <si>
    <t xml:space="preserve">Szkoły zawodowe </t>
  </si>
  <si>
    <r>
      <t>Wpływy z różnych opłat</t>
    </r>
    <r>
      <rPr>
        <sz val="7"/>
        <rFont val="Times New Roman CE"/>
        <family val="1"/>
      </rPr>
      <t xml:space="preserve"> (za legitymacje i inne druki)</t>
    </r>
  </si>
  <si>
    <t>80132</t>
  </si>
  <si>
    <t>Szkoły artystyczne</t>
  </si>
  <si>
    <t>80140</t>
  </si>
  <si>
    <t>Centrum Kształcenia Ustawicznego</t>
  </si>
  <si>
    <t>80195</t>
  </si>
  <si>
    <t>Dotacje celowe przekazane z budżetu państwa na realizację własnych  zadań bieżących gmin</t>
  </si>
  <si>
    <t>Dotacje celowe przekazane z budzetu państwa na zadania bieżące realizowane przez gminę na podstawie porozumień z organami administracji rządowej</t>
  </si>
  <si>
    <t>2130</t>
  </si>
  <si>
    <t>Dotacje celowe przekazane z budżetu państwa na realizację bieżących zadan własnych powiatu</t>
  </si>
  <si>
    <t>2700</t>
  </si>
  <si>
    <r>
      <t>Środki na dofinansowanie własnych zadań bieżących gmin pozyskane z innych źródeł -</t>
    </r>
    <r>
      <rPr>
        <b/>
        <i/>
        <sz val="8"/>
        <rFont val="Times New Roman CE"/>
        <family val="0"/>
      </rPr>
      <t xml:space="preserve"> "Śpiewająca Polska" </t>
    </r>
  </si>
  <si>
    <t>2705</t>
  </si>
  <si>
    <r>
      <t>Środki na dofinansowanie własnych zadań bieżących gmin pozyskane z innych źródeł -</t>
    </r>
    <r>
      <rPr>
        <b/>
        <i/>
        <sz val="8"/>
        <rFont val="Times New Roman CE"/>
        <family val="0"/>
      </rPr>
      <t xml:space="preserve"> COMENIUS, SOCRATES</t>
    </r>
  </si>
  <si>
    <r>
      <t xml:space="preserve">Środki na dofinansowanie własnych zadań bieżących gmin pozyskane z innych źródeł - </t>
    </r>
    <r>
      <rPr>
        <b/>
        <i/>
        <sz val="8"/>
        <rFont val="Times New Roman CE"/>
        <family val="0"/>
      </rPr>
      <t>Kraj naszych sąsiadów widziany oczami dzieci</t>
    </r>
  </si>
  <si>
    <r>
      <t xml:space="preserve">Dotacje celowe przekazane z budżetu państwa na realizację inwestycji i zakupów inwestycyjnych własnych powiatu - </t>
    </r>
    <r>
      <rPr>
        <b/>
        <i/>
        <sz val="8"/>
        <rFont val="Times New Roman"/>
        <family val="1"/>
      </rPr>
      <t>monitoring</t>
    </r>
  </si>
  <si>
    <t>851</t>
  </si>
  <si>
    <t>OCHRONA ZDROWIA</t>
  </si>
  <si>
    <t>85156</t>
  </si>
  <si>
    <t>Składki na ubezpieczenie zdrowotne oraz świadczenia dla osób nieobjętych obowiązkiem ubezpieczenia zdrowotnego</t>
  </si>
  <si>
    <t>85195</t>
  </si>
  <si>
    <t>Wpływy z różnych dochodów (Izby wytrzeźwień)</t>
  </si>
  <si>
    <t>852</t>
  </si>
  <si>
    <t>POMOC SPOŁECZNA</t>
  </si>
  <si>
    <t>85201</t>
  </si>
  <si>
    <t>Placówki opiekuńczo-wychowawcze</t>
  </si>
  <si>
    <t>2320</t>
  </si>
  <si>
    <t>Dotacje celowe otrzymane z powiatu na zadania bieżące realizowane na podstawie porozumień (umów) między jst</t>
  </si>
  <si>
    <t>85202</t>
  </si>
  <si>
    <t>Domy pomocy społecznej</t>
  </si>
  <si>
    <t>85203</t>
  </si>
  <si>
    <t>Ośrodki wsparcia</t>
  </si>
  <si>
    <r>
      <t>Wpływy z usług</t>
    </r>
    <r>
      <rPr>
        <sz val="7"/>
        <rFont val="Times New Roman CE"/>
        <family val="1"/>
      </rPr>
      <t xml:space="preserve"> (odpłatność za  pobyt w "Złotym Wieku" i  Hotelu dla Bezdomnych)</t>
    </r>
  </si>
  <si>
    <t>Dotacje celowe otrzymane z budżetu państwa na realizację zadań bieżących z zakresu administracji rządowej oraz innych zadań zleconych gminie ustawami</t>
  </si>
  <si>
    <t>85204</t>
  </si>
  <si>
    <t>Rodziny zastępcze</t>
  </si>
  <si>
    <t>85212</t>
  </si>
  <si>
    <t>Świadczenia rodzinne, zaliczka alimentacyjna oraz składki na ubezpieczenia emerytalne i rentowe z ubezpieczenia społecznego</t>
  </si>
  <si>
    <t>6310</t>
  </si>
  <si>
    <t>Dotacje celowe otrzymane z budżetu państwa na inwestycje i zakupy inwestycyjne z zakresu administracji rządowej oraz innych zadań zleconych gminom ustawami</t>
  </si>
  <si>
    <t>85213</t>
  </si>
  <si>
    <t>Składki na ubezpieczenia zdrowotne opłacane za osoby pobierające niektóre świadczenia z pomocy społecznej oraz niektóre świadczenia rodzinne</t>
  </si>
  <si>
    <t>85214</t>
  </si>
  <si>
    <t>Zasiłki i pomoc w  naturze oraz składki na ubezpieczenia emerytalne i rentowe</t>
  </si>
  <si>
    <r>
      <t xml:space="preserve">Wpływy z różnych dochodów  </t>
    </r>
    <r>
      <rPr>
        <sz val="8"/>
        <rFont val="Times New Roman CE"/>
        <family val="1"/>
      </rPr>
      <t>(spłata pożyczek i zasiłków celowych)</t>
    </r>
  </si>
  <si>
    <t>Dotacje celowe otrzymane z budżetu państwa na realizację własnych zadań bieżących gmin</t>
  </si>
  <si>
    <t>85215</t>
  </si>
  <si>
    <t>Dodatki mieszkaniowe</t>
  </si>
  <si>
    <r>
      <t xml:space="preserve">Wpływy z różnych dochodów </t>
    </r>
    <r>
      <rPr>
        <sz val="8"/>
        <rFont val="Times New Roman CE"/>
        <family val="1"/>
      </rPr>
      <t xml:space="preserve"> (zwrot nadpłaconych dodatków)</t>
    </r>
  </si>
  <si>
    <t>85219</t>
  </si>
  <si>
    <t>Ośrodki pomocy społecznej</t>
  </si>
  <si>
    <t>85220</t>
  </si>
  <si>
    <t xml:space="preserve">Jednostki specjalistycznego poradnictwa, mieszkania chronione i ośrodki interwencji kryzysowej </t>
  </si>
  <si>
    <r>
      <t>Wpływy z usług</t>
    </r>
    <r>
      <rPr>
        <sz val="8"/>
        <rFont val="Times New Roman CE"/>
        <family val="1"/>
      </rPr>
      <t xml:space="preserve"> (odpłatność za pobyt w mieszkaniach chronionych)</t>
    </r>
  </si>
  <si>
    <t>85226</t>
  </si>
  <si>
    <t>Ośrodki opiekuńczo-wychowawcze</t>
  </si>
  <si>
    <t>85228</t>
  </si>
  <si>
    <t>Usługi opiekuńcze i specjalistyczne usługi opiekuńcze</t>
  </si>
  <si>
    <r>
      <t xml:space="preserve">Wpływy z usług  </t>
    </r>
    <r>
      <rPr>
        <sz val="7"/>
        <rFont val="Times New Roman CE"/>
        <family val="1"/>
      </rPr>
      <t>(odpłatność za usługi opiekuńcze)</t>
    </r>
  </si>
  <si>
    <t>85295</t>
  </si>
  <si>
    <r>
      <t>Wpływy z usług  (</t>
    </r>
    <r>
      <rPr>
        <sz val="7"/>
        <rFont val="Times New Roman CE"/>
        <family val="1"/>
      </rPr>
      <t>odpłatność za usługi transportowe)</t>
    </r>
  </si>
  <si>
    <r>
      <t>Wpływy z różnych dochodów -</t>
    </r>
    <r>
      <rPr>
        <sz val="8"/>
        <rFont val="Times New Roman CE"/>
        <family val="0"/>
      </rPr>
      <t xml:space="preserve"> </t>
    </r>
    <r>
      <rPr>
        <b/>
        <i/>
        <sz val="8"/>
        <rFont val="Times New Roman CE"/>
        <family val="0"/>
      </rPr>
      <t>prace społecznie-użyteczne</t>
    </r>
  </si>
  <si>
    <t xml:space="preserve">Dotacje celowe otrzymane z budżetu państwa na zadania bieżące realizowane przez gminę na podstawie porozumień z organami administracji rządowej </t>
  </si>
  <si>
    <r>
      <t xml:space="preserve">Środki na dofinansowanie własnych zadań bieżących gmin pozyskane z innych źródeł - </t>
    </r>
    <r>
      <rPr>
        <b/>
        <i/>
        <sz val="8"/>
        <rFont val="Times New Roman CE"/>
        <family val="0"/>
      </rPr>
      <t>Mam skrzydła - lecę do pracy</t>
    </r>
  </si>
  <si>
    <t>853</t>
  </si>
  <si>
    <t>POZOSTAŁE ZADANIA W ZAKRESIE POLITYKI SPOŁECZNEJ</t>
  </si>
  <si>
    <t>85305</t>
  </si>
  <si>
    <t>Żłobki</t>
  </si>
  <si>
    <t>85311</t>
  </si>
  <si>
    <t>Rehabilitacja zawodowa i społeczna osób niepełnosprawnych</t>
  </si>
  <si>
    <t>85321</t>
  </si>
  <si>
    <t>Zespoły do spraw orzekania o niepełnosprawności</t>
  </si>
  <si>
    <t>Dotacje celowe otrzymane z budżetu państwa na zadania  bieżące z zakresu administracji rządowej  oraz inne zadania zlecone ustawami realizowane przez powiat</t>
  </si>
  <si>
    <t>85324</t>
  </si>
  <si>
    <t>Państwowy Fundusz Rehabilitacji Osób Niepełnosprawnych</t>
  </si>
  <si>
    <t>Wpływy z różnych dochodów (PFRON)</t>
  </si>
  <si>
    <t>85395</t>
  </si>
  <si>
    <t>2008</t>
  </si>
  <si>
    <t>Dotacje rozwojowe oraz srodki na fonansowanie Wspólnej Polityki Rolnej</t>
  </si>
  <si>
    <t>"Start"</t>
  </si>
  <si>
    <t>Mam skrzydła-lecę do pracy</t>
  </si>
  <si>
    <t>2009</t>
  </si>
  <si>
    <t>854</t>
  </si>
  <si>
    <t>EDUKACYJNA   OPIEKA WYCHOWAWCZA</t>
  </si>
  <si>
    <t>85403</t>
  </si>
  <si>
    <t>Specjalne ośrodki szkolno -wychowawcze</t>
  </si>
  <si>
    <t>85406</t>
  </si>
  <si>
    <t>Poradnia psychologiczno - pedagogiczna</t>
  </si>
  <si>
    <t>85407</t>
  </si>
  <si>
    <t>Placówki wychowania pozaszkolnego MDK</t>
  </si>
  <si>
    <t>Dochody z najmu i dzierżawy składników majątkowych Skarbu Państwa, jst lub innych jednostek zaliczanych do sektora finansów publicznych oraz innych umów o podobnym charakterze</t>
  </si>
  <si>
    <t>85410</t>
  </si>
  <si>
    <t>Internaty i bursy szkolne</t>
  </si>
  <si>
    <t xml:space="preserve">Wpływy ze sprzedaż składników majątkowych </t>
  </si>
  <si>
    <t>85415</t>
  </si>
  <si>
    <t>Pomoc materialna dla uczniów</t>
  </si>
  <si>
    <t>Dotacje celowe otrzymane z budzetu państwa na realizazję własnych zadań bieżących gmin</t>
  </si>
  <si>
    <t>2888</t>
  </si>
  <si>
    <t xml:space="preserve">Dotacja celowa otrzymana przez jst od innej jst będącej instytucją wdrażającą na zadania bieżące realizowane na podstawie porozumień </t>
  </si>
  <si>
    <t>2889</t>
  </si>
  <si>
    <t>85417</t>
  </si>
  <si>
    <t>Szkolne schroniska młodzieżowe</t>
  </si>
  <si>
    <t>85495</t>
  </si>
  <si>
    <t>900</t>
  </si>
  <si>
    <t>GOSPODARKA KOMUNALNA I  OCHRONA ŚRODOWISKA</t>
  </si>
  <si>
    <t>90003</t>
  </si>
  <si>
    <t>Oczyszczanie miast i wsi</t>
  </si>
  <si>
    <t>90013</t>
  </si>
  <si>
    <t>Schroniska dla zwierząt</t>
  </si>
  <si>
    <t>Opłaty za schronisko</t>
  </si>
  <si>
    <t>90095</t>
  </si>
  <si>
    <r>
      <t xml:space="preserve">Środki na dofinansowanie własnych zadań bieżących gmin, powiatów, pozyskane z innych źródeł - </t>
    </r>
    <r>
      <rPr>
        <b/>
        <i/>
        <sz val="7"/>
        <rFont val="Times New Roman CE"/>
        <family val="0"/>
      </rPr>
      <t>CONCERTO ACT</t>
    </r>
  </si>
  <si>
    <t>6290</t>
  </si>
  <si>
    <r>
      <t xml:space="preserve">Środki na dofinansowanie własnych inwestycji gmin pozyskane z innych źródeł - </t>
    </r>
    <r>
      <rPr>
        <b/>
        <i/>
        <sz val="8"/>
        <rFont val="Times New Roman CE"/>
        <family val="0"/>
      </rPr>
      <t>inwestycyjne inicjatywy społeczne</t>
    </r>
  </si>
  <si>
    <t>921</t>
  </si>
  <si>
    <t>KULTURA I OCHRONA DZIEDZICTWA NARODOWEGO</t>
  </si>
  <si>
    <t>92105</t>
  </si>
  <si>
    <t>Pozostałe zadania w zakresie kultury</t>
  </si>
  <si>
    <r>
      <t>Środki na dofinansowanie własnych zadań bieżących pozyskane z innych źródeł -</t>
    </r>
    <r>
      <rPr>
        <b/>
        <i/>
        <sz val="7"/>
        <rFont val="Times New Roman CE"/>
        <family val="0"/>
      </rPr>
      <t>POMERN DESIGN 2007</t>
    </r>
  </si>
  <si>
    <r>
      <t xml:space="preserve">Środki na dofinansowanie własnych zadań bieżących pozyskane z innych źródeł - </t>
    </r>
    <r>
      <rPr>
        <b/>
        <i/>
        <sz val="7"/>
        <rFont val="Times New Roman CE"/>
        <family val="0"/>
      </rPr>
      <t>POMERN DESIGN 2006</t>
    </r>
  </si>
  <si>
    <r>
      <t xml:space="preserve">Środki na dofinansowanie własnych zadań bieżących pozyskane z innych źródeł - </t>
    </r>
    <r>
      <rPr>
        <b/>
        <i/>
        <sz val="7"/>
        <rFont val="Times New Roman CE"/>
        <family val="0"/>
      </rPr>
      <t>Festiwal Kulinarny 2006</t>
    </r>
  </si>
  <si>
    <t>92106</t>
  </si>
  <si>
    <t>Teatry dramatyczne i lalkowe</t>
  </si>
  <si>
    <t>6298</t>
  </si>
  <si>
    <r>
      <t>Środki na dofinansowanie własnych inwestycji gmin, powiatów pozyskane z innych źródeł</t>
    </r>
  </si>
  <si>
    <t>92108</t>
  </si>
  <si>
    <t>Filharmonie, orkiestry, chóre i kapele</t>
  </si>
  <si>
    <r>
      <t>Dotacje celowe otrzymane z budżetu państwa na zadania bieżące realizowane przez gminę na podstawie porozumień z organami administracji rządowej -</t>
    </r>
    <r>
      <rPr>
        <b/>
        <i/>
        <sz val="8"/>
        <rFont val="Times New Roman CE"/>
        <family val="0"/>
      </rPr>
      <t xml:space="preserve"> zespół romski</t>
    </r>
  </si>
  <si>
    <t>92116</t>
  </si>
  <si>
    <t>Biblioteki</t>
  </si>
  <si>
    <t>92118</t>
  </si>
  <si>
    <t>Muzea</t>
  </si>
  <si>
    <t>Dotacje celowe otrzymane z budżetu państwa na zadania bieżące realizowane przez powiat na podstawie porozumien z organami administracji rządowej</t>
  </si>
  <si>
    <t>92195</t>
  </si>
  <si>
    <r>
      <t>Środki na dofinansowanie własnych zadań bieżących pozyskane z innych źródeł -</t>
    </r>
    <r>
      <rPr>
        <b/>
        <i/>
        <sz val="8"/>
        <rFont val="Times New Roman CE"/>
        <family val="0"/>
      </rPr>
      <t xml:space="preserve"> </t>
    </r>
    <r>
      <rPr>
        <b/>
        <i/>
        <sz val="7"/>
        <rFont val="Times New Roman CE"/>
        <family val="0"/>
      </rPr>
      <t>XII Polsko-Niemiecki Festiwal Młodzieży 2007</t>
    </r>
  </si>
  <si>
    <t>926</t>
  </si>
  <si>
    <t>KULTURA FIZYCZNA I SPORT</t>
  </si>
  <si>
    <t>92601</t>
  </si>
  <si>
    <t>Obiekty sportowe</t>
  </si>
  <si>
    <r>
      <t>Środki na dofinansowanie własnych inwestycji gmin, powiatów pozyskane z innych źródeł -</t>
    </r>
    <r>
      <rPr>
        <b/>
        <i/>
        <sz val="8"/>
        <rFont val="Times New Roman CE"/>
        <family val="0"/>
      </rPr>
      <t>Centrum Rekreacyjno-Sportowe</t>
    </r>
  </si>
  <si>
    <t>6300</t>
  </si>
  <si>
    <r>
      <t>Wpływy z tytułu pomocy finansowej udzielanej między jst na dofinansowanie własnych zadan inwestycyjnych i zakupów inwestycyjnych -</t>
    </r>
    <r>
      <rPr>
        <b/>
        <i/>
        <sz val="8"/>
        <rFont val="Times New Roman CE"/>
        <family val="0"/>
      </rPr>
      <t xml:space="preserve"> Moje Boisko Orlik - 2012</t>
    </r>
  </si>
  <si>
    <t>6630</t>
  </si>
  <si>
    <r>
      <t xml:space="preserve">Dotacje celowe przekazane z budzetu państwa na realizację inwestycji i zakupów inwestycyjnych własnych gmin - </t>
    </r>
    <r>
      <rPr>
        <b/>
        <i/>
        <sz val="8"/>
        <rFont val="Times New Roman CE"/>
        <family val="1"/>
      </rPr>
      <t>Moje Boisko Orlik - 2012</t>
    </r>
  </si>
  <si>
    <t>92695</t>
  </si>
  <si>
    <r>
      <t xml:space="preserve">Środki na dofinansowanie własnych zadań bieżących pozyskane z innych źródeł - </t>
    </r>
    <r>
      <rPr>
        <b/>
        <i/>
        <sz val="8"/>
        <rFont val="Times New Roman CE"/>
        <family val="0"/>
      </rPr>
      <t>Polsko-niemiecki turniej w tenisie stołowym</t>
    </r>
  </si>
  <si>
    <t>2710</t>
  </si>
  <si>
    <r>
      <t>Wpływy z tytułu pomocy finansowej udzielanej między jednostkami samorządu terytorialnego na dofinansowanie własnych zadań bieżących -</t>
    </r>
    <r>
      <rPr>
        <b/>
        <i/>
        <sz val="8"/>
        <rFont val="Times New Roman CE"/>
        <family val="0"/>
      </rPr>
      <t xml:space="preserve"> VI Bałtyckie Igrzyska Młodzieży</t>
    </r>
  </si>
  <si>
    <t>6330</t>
  </si>
  <si>
    <t>OGÓŁEM DOCHODY</t>
  </si>
  <si>
    <t>NA ZADANIA WŁASNE</t>
  </si>
  <si>
    <t>w tym:</t>
  </si>
  <si>
    <t xml:space="preserve">           porozumienia z jednostkami 
           samorządu terytorialnego</t>
  </si>
  <si>
    <t>NA ZADANIA ZLECONE</t>
  </si>
  <si>
    <t>POROZUMIENIA Z ORGANAMI ADMINISTRACJI RZĄDOWEJ</t>
  </si>
  <si>
    <t>GMINA OGÓŁEM</t>
  </si>
  <si>
    <t>POWIAT OGÓŁEM</t>
  </si>
  <si>
    <t xml:space="preserve"> WYKONANIE   PLANU   WYDATKÓW   MIASTA   KOSZALINA   ZA  9  MIESIĘCY   2008   ROKU                                                                                                    </t>
  </si>
  <si>
    <t>w złotych</t>
  </si>
  <si>
    <t xml:space="preserve">Dział </t>
  </si>
  <si>
    <t>WYDATKI OGÓŁEM</t>
  </si>
  <si>
    <t>GMINA WŁASNE</t>
  </si>
  <si>
    <t>GMINA  ZLECONE                                                          I  POROZUMIENIA</t>
  </si>
  <si>
    <t>POWIAT WŁASNE</t>
  </si>
  <si>
    <t>POWIAT ZLECONE                            I  POROZUMIENIA</t>
  </si>
  <si>
    <t>Rozdz  §</t>
  </si>
  <si>
    <t>Plan pierwotny</t>
  </si>
  <si>
    <t>%         wyk.</t>
  </si>
  <si>
    <t>%        wyk.</t>
  </si>
  <si>
    <t>%     wyk.</t>
  </si>
  <si>
    <t>ROLNICTWO I  ŁOWIECTWO</t>
  </si>
  <si>
    <t>01000</t>
  </si>
  <si>
    <t>Integracja z Unią Europejską</t>
  </si>
  <si>
    <t>4410</t>
  </si>
  <si>
    <t>Podróże służbowe krajowe</t>
  </si>
  <si>
    <t>01021</t>
  </si>
  <si>
    <t>Inspekcja weterynaryjna</t>
  </si>
  <si>
    <t>3020</t>
  </si>
  <si>
    <t>Nagrody i inne wydatki nie zaliczane do wynagrodzeń</t>
  </si>
  <si>
    <t>3030</t>
  </si>
  <si>
    <t>Różne wydatki na rzecz osób fizycznych</t>
  </si>
  <si>
    <t>4010</t>
  </si>
  <si>
    <t>Wynagrodzenia osobowe pracowników</t>
  </si>
  <si>
    <t>4020</t>
  </si>
  <si>
    <t xml:space="preserve">Wynagrodzenia osobowe członków korpusu służby cywilnej 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</si>
  <si>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</si>
  <si>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</si>
  <si>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</si>
  <si>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</si>
  <si>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</si>
  <si>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</si>
  <si>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</si>
  <si>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</si>
  <si>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4230</t>
  </si>
  <si>
    <t>Zakup leków i materiałów medycznych</t>
  </si>
  <si>
    <t>4260</t>
  </si>
  <si>
    <t>Zakup energii</t>
  </si>
  <si>
    <t>4270</t>
  </si>
  <si>
    <t>Zakup usług remontowych</t>
  </si>
  <si>
    <t>4300</t>
  </si>
  <si>
    <t>Zakup usług pozostałych</t>
  </si>
  <si>
    <t>4430</t>
  </si>
  <si>
    <t>Różne opłaty i składki</t>
  </si>
  <si>
    <t>4440</t>
  </si>
  <si>
    <t>Odpis na ZFŚS</t>
  </si>
  <si>
    <t>4480</t>
  </si>
  <si>
    <t>4550</t>
  </si>
  <si>
    <t>Szkolenia członków korpusu służby cywilnej</t>
  </si>
  <si>
    <t>01030</t>
  </si>
  <si>
    <t>Izby Rolnicze</t>
  </si>
  <si>
    <t>2850</t>
  </si>
  <si>
    <t>Wpłaty gmin na rzecz izb rolniczych w wysokości 2% uzyskanych wpływów z podatku rolnego</t>
  </si>
  <si>
    <t>4740</t>
  </si>
  <si>
    <t>Zakup materiałów papierniczych do sprzętu drukarskiego i urządzeń kserograficznych</t>
  </si>
  <si>
    <t>020</t>
  </si>
  <si>
    <t>LEŚNICTWO</t>
  </si>
  <si>
    <t>02002</t>
  </si>
  <si>
    <t>Nadzór nad gospodarką leśną</t>
  </si>
  <si>
    <t xml:space="preserve">Zakup usług pozostałych </t>
  </si>
  <si>
    <t xml:space="preserve">HANDEL </t>
  </si>
  <si>
    <t xml:space="preserve">Wydatki inwestycyjne jednostek budżetowych </t>
  </si>
  <si>
    <t>TRANSPORT I ŁĄCZNOŚĆ</t>
  </si>
  <si>
    <t>Infrastruktura kolejowa</t>
  </si>
  <si>
    <t>Dotacja celowa na pomoc finansową udzielaną między j.s.t. na dofinansowanie własnych zadań bieżących</t>
  </si>
  <si>
    <t>Wydatki inwestycyjne jednostek budżetowych</t>
  </si>
  <si>
    <t>Lokalny transport zbiorowy</t>
  </si>
  <si>
    <t>Wydatki na zakup i objęcie akcji, wniesienie wkładów do spółek prawa handlowego (amfibia)</t>
  </si>
  <si>
    <t>Wynagrodzenia bezosobowe</t>
  </si>
  <si>
    <t>Zakup usług obejmujących wykonanie ekspertyz, analiz i opinii</t>
  </si>
  <si>
    <t>Koszty postępowania sądowego i prokuratorskiego</t>
  </si>
  <si>
    <t>ul. Lechicka (od ul. Słowiańskiej do torów)</t>
  </si>
  <si>
    <t>ul. Mieszka I (od ul. BOWiD do wiaduktu)</t>
  </si>
  <si>
    <t>przebudowa pętli autobusowej przy ul. Szczecińskiej</t>
  </si>
  <si>
    <t>ul. Batalionów Chłopskich z przebudową skrzyżowania ulic: Batalionów Chłopskich - Młyńska</t>
  </si>
  <si>
    <t>ul. Połczyńska - (projekt odcinka od ul. Działkowej do ul. Żytniej)</t>
  </si>
  <si>
    <t>ul. Gnieźnieńska (od 4-go Marca do Połczyńskiej)</t>
  </si>
  <si>
    <t xml:space="preserve">ul. Gnieźnieńska - skrzyżowanie z ul. 4-go Marca </t>
  </si>
  <si>
    <t>ul. Kwiatkowskiego</t>
  </si>
  <si>
    <t>ul. Syrenki</t>
  </si>
  <si>
    <t>ul. Młyńska</t>
  </si>
  <si>
    <t>skrzyżowanie ul.J. Pawła II - Staszica</t>
  </si>
  <si>
    <t>skrzyżowanie ul.J. Pawła II - Staszica (porozumienia)</t>
  </si>
  <si>
    <t>skrzyżowanie ul. A. Krajowej - Bohaterów Warszawy - Morskiej</t>
  </si>
  <si>
    <t>remont obiektów mostowych (ul. Monte Cassino)</t>
  </si>
  <si>
    <t>ul. Waryńskiego ze skrzyżowaniem z ul. Zwycięstwa</t>
  </si>
  <si>
    <t>ul. Zwycięstwa (od Św. Wojciecha do Dębowej)</t>
  </si>
  <si>
    <t>ulica śródmiejska</t>
  </si>
  <si>
    <t>budowa ścieżek rowerowych</t>
  </si>
  <si>
    <t>przebudowa ul. Chałbińskiego</t>
  </si>
  <si>
    <t>budowa parkingu, zatok autobusowych i kanalizacji deszczowej przy ul. Gnieźnieńskiej - etap I</t>
  </si>
  <si>
    <t>remont jezdni przy skrzyżowaniu ulic Monte Cassino - Fałta</t>
  </si>
  <si>
    <t>remont odcinka ul. Zwycięstwa (droga do Maszkowa)</t>
  </si>
  <si>
    <t>remont ul. Kędzierzyńskiej</t>
  </si>
  <si>
    <t xml:space="preserve">Budowa i przebudowa dróg stanowiących zewnętrzny pierścień układu komunikacyjnego </t>
  </si>
  <si>
    <t>Przebudowa miejsc postojowych w ulicy Młyńskiej</t>
  </si>
  <si>
    <t>Dokumentacje pod przyszłe inwestycje i remonty</t>
  </si>
  <si>
    <t>Ewidencja dróg</t>
  </si>
  <si>
    <r>
      <t xml:space="preserve">Wydatki inwestycyjne jednostek budżetowych - </t>
    </r>
    <r>
      <rPr>
        <i/>
        <sz val="9"/>
        <rFont val="Times New Roman CE"/>
        <family val="1"/>
      </rPr>
      <t>budowa ul.Władysława IV</t>
    </r>
  </si>
  <si>
    <t>Wydatki inwestycyjne jednostek budżetowych - ul. Połczyńska</t>
  </si>
  <si>
    <r>
      <t xml:space="preserve">Wydatki inwestycyjne jednostek budżetowych - </t>
    </r>
    <r>
      <rPr>
        <i/>
        <sz val="9"/>
        <rFont val="Times New Roman CE"/>
        <family val="1"/>
      </rPr>
      <t>budowa ulicy Śródmiejskiej</t>
    </r>
  </si>
  <si>
    <r>
      <t xml:space="preserve">Wydatki inwestycyjne jednostek budżetowych </t>
    </r>
    <r>
      <rPr>
        <i/>
        <sz val="9"/>
        <rFont val="Times New Roman CE"/>
        <family val="1"/>
      </rPr>
      <t>- skrzyżowanie ul.Jana Pawła II - Staszica</t>
    </r>
  </si>
  <si>
    <t xml:space="preserve">Drogi publiczne gminne </t>
  </si>
  <si>
    <t>Osiedle Lipowe - drogi</t>
  </si>
  <si>
    <t>Osiedle Unii Europejskiej - drogi</t>
  </si>
  <si>
    <t>Osiedle Podgórne - Batalionów Chłopskich - drogi</t>
  </si>
  <si>
    <t>ul.Kamieniarska</t>
  </si>
  <si>
    <t>ul. Rzeczna (dojazd do Specj. Oś. Szkolno - Wych.)</t>
  </si>
  <si>
    <t>Osiedle Bukowe - drogi</t>
  </si>
  <si>
    <t>Osiedle Topolowe - drogi</t>
  </si>
  <si>
    <t>ul. Lutyków, ul. Obotrytów, ul. P. Skargi, ul. Łużycka, ul. Poprzeczna</t>
  </si>
  <si>
    <t>ul. Reymonta, ul. Staffa</t>
  </si>
  <si>
    <t>przebudowa ulicy Brzozowej</t>
  </si>
  <si>
    <t>przebudowa ulic: Zawiszy Czarnego, Dąbrówki, Ks. Anastazji, K. Wielkiego</t>
  </si>
  <si>
    <t>przebudowa ulicy Wenedów</t>
  </si>
  <si>
    <t>przebudowa rejonu ulic Gnieźnieńskiej, 4 - go Marca, Połczyńskiej (ul. Sybiraków)</t>
  </si>
  <si>
    <t>ul. Ułańska - Kadetów</t>
  </si>
  <si>
    <t>przebudowa ul. Marynarzy</t>
  </si>
  <si>
    <t>ul. Jarzębinowa - chodniki</t>
  </si>
  <si>
    <t>ul. Krańcowa</t>
  </si>
  <si>
    <t>remont odcinka ul. Bursztynowej</t>
  </si>
  <si>
    <t>ul. Kosynierów</t>
  </si>
  <si>
    <t>Ewidencja dróg - ZDM</t>
  </si>
  <si>
    <t>Infrastruktura telekomunikacyjna</t>
  </si>
  <si>
    <t>Zakup usług pozostałych - na utrzymanie nieruchomości przejmowanych przez ZDM od WIK</t>
  </si>
  <si>
    <t>ZDM</t>
  </si>
  <si>
    <t>Wydatki osobowe niezaliczane do wynagrodzeń</t>
  </si>
  <si>
    <t>Dodatkowe wynagrodzenie roczne</t>
  </si>
  <si>
    <t>Składki na ubezpieczenie społeczne</t>
  </si>
  <si>
    <t>Składki na  FP</t>
  </si>
  <si>
    <t>Wpłaty na PFRON</t>
  </si>
  <si>
    <t>Zakup usług zdrowotnych</t>
  </si>
  <si>
    <t>Zakup pozostałych usług</t>
  </si>
  <si>
    <t>Zakup usług dostępu do sieci Internet</t>
  </si>
  <si>
    <t xml:space="preserve">Opłaty z tytułu zakupu usług telekomunikacyjnych telefonii komórkowej </t>
  </si>
  <si>
    <t>Opłaty z tytułu zakupu usług telekomunikacyjnych telefonii stacjonarnej</t>
  </si>
  <si>
    <t>Opłaty czynszowe za pomieszczenie biurowe</t>
  </si>
  <si>
    <t>Podróże  służbowe zagraniczne</t>
  </si>
  <si>
    <t xml:space="preserve">Podatek od nieruchomości </t>
  </si>
  <si>
    <t>Szkolenia pracowników niebędących członkami korpusu służby cywilnej</t>
  </si>
  <si>
    <t>Zakup akcesoriów komputerowych, w tym programów i licencji</t>
  </si>
  <si>
    <t xml:space="preserve">Wydatki na zakupy inwestycyjne jednostek budżetowych </t>
  </si>
  <si>
    <r>
      <t xml:space="preserve">Wydatki  inwestycyjne jednostek budżetowych </t>
    </r>
    <r>
      <rPr>
        <i/>
        <sz val="9"/>
        <rFont val="Times New Roman CE"/>
        <family val="1"/>
      </rPr>
      <t xml:space="preserve">- rozbudowę systemu antywłamaniowego </t>
    </r>
  </si>
  <si>
    <t>Zdania w zakresie upowszechniania turystyki</t>
  </si>
  <si>
    <t xml:space="preserve">Dotacja celowa z budżetu na finansowanie lub dofinansowanie zadań zleconych do realizacji stowarzyszeniom </t>
  </si>
  <si>
    <t xml:space="preserve">Dotacja celowa z budżetu na finansowanie lub dofinansowanie zadań zleconych do realizacji fundacjom </t>
  </si>
  <si>
    <t>Zakup materiałów i wyposażenia - RWZ</t>
  </si>
  <si>
    <t>Zakup usług pozostałych  - RWZ</t>
  </si>
  <si>
    <t>"Szlak gotyku ceglanego EuRoB II"</t>
  </si>
  <si>
    <t>Podróże służbowe zagraniczne</t>
  </si>
  <si>
    <t>"Transgraniczna wymiana daświadczeń w Euroregionie Pomerania"</t>
  </si>
  <si>
    <t>Zakup usług obejmujących tłumaczenia</t>
  </si>
  <si>
    <t>"Reaktywacja połączenia kolejowego Koszalin - Mielno"</t>
  </si>
  <si>
    <t>Zakłady gospodarki mieszkaniowej - ZBM</t>
  </si>
  <si>
    <t>Dotacja przedmiotowa z budżetu dla zakładu budżetowego</t>
  </si>
  <si>
    <t>Dotacje celowe z budżetu na finansowanie lub dofinansowanie kosztów realizacji inwestycji i zakupów inwestycyjnych zakładów budżetowych</t>
  </si>
  <si>
    <t>Zakup pozostałych usług - OP</t>
  </si>
  <si>
    <t>Zakup pozostałych usług - KS</t>
  </si>
  <si>
    <t>Zakup pomocy naukowych, dydaktycznych i książek</t>
  </si>
  <si>
    <r>
      <t xml:space="preserve">Zakup pozostałych usług - </t>
    </r>
    <r>
      <rPr>
        <i/>
        <sz val="9"/>
        <rFont val="Times New Roman CE"/>
        <family val="1"/>
      </rPr>
      <t xml:space="preserve">opracowania, podziały geodezyjne, ekspertyzy, wyrysy </t>
    </r>
  </si>
  <si>
    <t xml:space="preserve">Zakup usług obejmujących wykonanie ekspertyz, analiz i opinii </t>
  </si>
  <si>
    <t>Pozostałe podatki na rzecz budżetów jednostek samorządu terytorialnego</t>
  </si>
  <si>
    <t>Opłaty na rzecz budżetów j.s.t.</t>
  </si>
  <si>
    <t>Podatek od towarów i usług VAT</t>
  </si>
  <si>
    <t>Kary i odszkodowania wypłacane na rzecz osób fizycznych</t>
  </si>
  <si>
    <t>Kary i odszkodowania wypłacane na rzecz osób prawnych i innych jednostek organizacyjnych</t>
  </si>
  <si>
    <t>Koszty postępowania sadowego i prokuratorskiego</t>
  </si>
  <si>
    <t>Odsetki od nieterminowych wpłat podatku od towarów i usług VAT</t>
  </si>
  <si>
    <r>
      <t xml:space="preserve">Wydatki na zakupy inw. jednostek budżetowych - </t>
    </r>
    <r>
      <rPr>
        <i/>
        <sz val="9"/>
        <rFont val="Times New Roman CE"/>
        <family val="1"/>
      </rPr>
      <t>pierwokupy nieruchomości, rozwiązywanie umów notarialnych, wykupy gruntów</t>
    </r>
  </si>
  <si>
    <t>Towarzystwa budownictwa społecznego</t>
  </si>
  <si>
    <r>
      <t xml:space="preserve">Wydatki na zakup i objęcie akcji oraz wniesienie wkładów do spółek prawa handlowego - </t>
    </r>
    <r>
      <rPr>
        <i/>
        <sz val="9"/>
        <rFont val="Times New Roman CE"/>
        <family val="1"/>
      </rPr>
      <t>KTBS</t>
    </r>
  </si>
  <si>
    <t>Zakup materiałów i wyposażenia  - RO</t>
  </si>
  <si>
    <t>Zakup pozostałych usług -RO</t>
  </si>
  <si>
    <t>Składki na FP</t>
  </si>
  <si>
    <t xml:space="preserve">Kary i odszkodowania wypłacane na rzecz osób prawnych i innych jednostek organizacyjnych </t>
  </si>
  <si>
    <t>Budowa budynku komunalnego</t>
  </si>
  <si>
    <t>Plany zagospodarowania przestrzennego</t>
  </si>
  <si>
    <t>Składki na Fundusz Pracy</t>
  </si>
  <si>
    <t>Prace geodezyjne i kartograficzne (nieinwestycyjne)</t>
  </si>
  <si>
    <t>Nadzór budowlany</t>
  </si>
  <si>
    <t xml:space="preserve">Wydatki osobowe niazaliczane do wynagrodzeń </t>
  </si>
  <si>
    <t>Krajowe podróże służbowe</t>
  </si>
  <si>
    <t>Wydatki na zakupy inwestycyjne jednostek budżetowych</t>
  </si>
  <si>
    <r>
      <t xml:space="preserve">Zakup usług pozostałych - </t>
    </r>
    <r>
      <rPr>
        <i/>
        <sz val="9"/>
        <rFont val="Times New Roman CE"/>
        <family val="1"/>
      </rPr>
      <t>z tytułu  porozumień</t>
    </r>
  </si>
  <si>
    <r>
      <t xml:space="preserve">Zakup usług pozostałych  - </t>
    </r>
    <r>
      <rPr>
        <i/>
        <sz val="9"/>
        <rFont val="Times New Roman CE"/>
        <family val="1"/>
      </rPr>
      <t>utrzymanie cmentarza</t>
    </r>
  </si>
  <si>
    <t>ADMINISTRACJA PUBLICZNA</t>
  </si>
  <si>
    <t>Urzędy Wojewódzkie</t>
  </si>
  <si>
    <t>Dotacje celowe przekazane dla powiatu na zadania bieżące realizowane na podstawie porozumień między j.s.t.</t>
  </si>
  <si>
    <t>Wynagrodzenia osobowe</t>
  </si>
  <si>
    <t>Zakup materiałów i wyposażenia - Km</t>
  </si>
  <si>
    <t>Zakup usług pozostałych - Km</t>
  </si>
  <si>
    <t>Rada Miejska</t>
  </si>
  <si>
    <t>Biuro Rady Miejskiej</t>
  </si>
  <si>
    <t xml:space="preserve">Nagrody o charakterze szczególnym niezaliczane do wynagrodzeń </t>
  </si>
  <si>
    <t>Młodzieżowa Rada Miasta</t>
  </si>
  <si>
    <t>Urząd Miejski</t>
  </si>
  <si>
    <t>Organizacyjno-Administr.</t>
  </si>
  <si>
    <t>Straż Miejska</t>
  </si>
  <si>
    <t>Rp</t>
  </si>
  <si>
    <t>USC</t>
  </si>
  <si>
    <t>BHP</t>
  </si>
  <si>
    <t>Różne wydatki na rzecz osób fizycznych - OA</t>
  </si>
  <si>
    <t>Nagrody o charakterze szczególnym niezaliczane do wynagrodzeń - USC</t>
  </si>
  <si>
    <t xml:space="preserve">Wynagrodzenia agencyjno - prowizyjne </t>
  </si>
  <si>
    <r>
      <t>Wynagrodzenia agencyjno - prowizyjne</t>
    </r>
    <r>
      <rPr>
        <i/>
        <sz val="9"/>
        <rFont val="Times New Roman CE"/>
        <family val="1"/>
      </rPr>
      <t xml:space="preserve"> - IK</t>
    </r>
  </si>
  <si>
    <t xml:space="preserve">Składki na ubezpieczenia społeczne </t>
  </si>
  <si>
    <r>
      <t>Składki na ubezpieczenia społeczne</t>
    </r>
    <r>
      <rPr>
        <i/>
        <sz val="9"/>
        <rFont val="Times New Roman CE"/>
        <family val="1"/>
      </rPr>
      <t xml:space="preserve"> - E</t>
    </r>
  </si>
  <si>
    <r>
      <t>Składki na FP</t>
    </r>
    <r>
      <rPr>
        <i/>
        <sz val="9"/>
        <rFont val="Times New Roman CE"/>
        <family val="1"/>
      </rPr>
      <t xml:space="preserve"> - OA</t>
    </r>
  </si>
  <si>
    <r>
      <t xml:space="preserve">Składki na FP </t>
    </r>
    <r>
      <rPr>
        <i/>
        <sz val="9"/>
        <rFont val="Times New Roman CE"/>
        <family val="1"/>
      </rPr>
      <t>- E</t>
    </r>
  </si>
  <si>
    <r>
      <t>Wynagrodzenia bezosobowe</t>
    </r>
    <r>
      <rPr>
        <i/>
        <sz val="9"/>
        <rFont val="Times New Roman CE"/>
        <family val="1"/>
      </rPr>
      <t xml:space="preserve"> - E</t>
    </r>
  </si>
  <si>
    <r>
      <t>Zakup materiałów i wyposażenia</t>
    </r>
    <r>
      <rPr>
        <i/>
        <sz val="9"/>
        <rFont val="Times New Roman CE"/>
        <family val="1"/>
      </rPr>
      <t xml:space="preserve"> </t>
    </r>
  </si>
  <si>
    <t>Organizacujno-Administ.</t>
  </si>
  <si>
    <t xml:space="preserve"> Straż Miejska</t>
  </si>
  <si>
    <t xml:space="preserve"> Komunikacja</t>
  </si>
  <si>
    <t xml:space="preserve"> Biuro Informatyki </t>
  </si>
  <si>
    <t xml:space="preserve">BHP </t>
  </si>
  <si>
    <t xml:space="preserve">Zakup usług remontowych </t>
  </si>
  <si>
    <t>Wydz. O- A</t>
  </si>
  <si>
    <t>Zakup usług pozostałych  w tym:</t>
  </si>
  <si>
    <t>Wydz. Komunikacja</t>
  </si>
  <si>
    <t>Wydz. Fk</t>
  </si>
  <si>
    <t>Biuro Zamówień Publicznych</t>
  </si>
  <si>
    <t>Inf.</t>
  </si>
  <si>
    <t>Wydz. SO</t>
  </si>
  <si>
    <r>
      <t xml:space="preserve">Zakup usług dostępu do sieci Internet - </t>
    </r>
    <r>
      <rPr>
        <i/>
        <sz val="9"/>
        <rFont val="Times New Roman CE"/>
        <family val="1"/>
      </rPr>
      <t>Inf</t>
    </r>
  </si>
  <si>
    <r>
      <t xml:space="preserve">Zakup usług dostępu do sieci Internet - </t>
    </r>
    <r>
      <rPr>
        <i/>
        <sz val="9"/>
        <rFont val="Times New Roman CE"/>
        <family val="1"/>
      </rPr>
      <t>BZP</t>
    </r>
  </si>
  <si>
    <t>Opłaty z tytułu zakupu usług telekomunikacyjnych telefonii komórkowej - OA</t>
  </si>
  <si>
    <t>Opłaty z tytułu zakupu usług telekomunikacyjnych telefonii stacjonarnej -OA</t>
  </si>
  <si>
    <t>Zakup usług obejmujących wykonanie ekspertyz, alaliz i opinii - OA</t>
  </si>
  <si>
    <r>
      <t>Podróże służbowe zagraniczne -</t>
    </r>
    <r>
      <rPr>
        <i/>
        <sz val="9"/>
        <rFont val="Times New Roman CE"/>
        <family val="1"/>
      </rPr>
      <t xml:space="preserve"> RWZ</t>
    </r>
  </si>
  <si>
    <t>Różne opłaty i składki Fk</t>
  </si>
  <si>
    <t>Różne opłaty i składki OA</t>
  </si>
  <si>
    <t>Różne opłaty i składki Rp</t>
  </si>
  <si>
    <r>
      <t>Koszty postępowania sądowego -</t>
    </r>
    <r>
      <rPr>
        <i/>
        <sz val="9"/>
        <rFont val="Times New Roman CE"/>
        <family val="1"/>
      </rPr>
      <t xml:space="preserve"> Rp</t>
    </r>
  </si>
  <si>
    <r>
      <t>Koszty postępowania sądowego -</t>
    </r>
    <r>
      <rPr>
        <i/>
        <sz val="9"/>
        <rFont val="Times New Roman CE"/>
        <family val="1"/>
      </rPr>
      <t xml:space="preserve"> OP</t>
    </r>
  </si>
  <si>
    <r>
      <t>Koszty postępowania sądowego -</t>
    </r>
    <r>
      <rPr>
        <i/>
        <sz val="9"/>
        <rFont val="Times New Roman CE"/>
        <family val="1"/>
      </rPr>
      <t xml:space="preserve"> Fk</t>
    </r>
  </si>
  <si>
    <r>
      <t xml:space="preserve">Zakup akcesoriów komputerowych, w tym programów i licencji                         </t>
    </r>
    <r>
      <rPr>
        <i/>
        <sz val="9"/>
        <rFont val="Times New Roman CE"/>
        <family val="1"/>
      </rPr>
      <t>OA i Inf.</t>
    </r>
  </si>
  <si>
    <t xml:space="preserve">Wydatki inwestycyjne jednostek budżetowych             </t>
  </si>
  <si>
    <t xml:space="preserve">Wydatki na zakupy inwestycyjne jednostek budżetowych             </t>
  </si>
  <si>
    <t xml:space="preserve">Komisje poborowe </t>
  </si>
  <si>
    <r>
      <t>Wynagrodzenia bezosobowe -</t>
    </r>
    <r>
      <rPr>
        <i/>
        <sz val="9"/>
        <rFont val="Times New Roman CE"/>
        <family val="1"/>
      </rPr>
      <t xml:space="preserve"> porozum.</t>
    </r>
  </si>
  <si>
    <r>
      <t xml:space="preserve">Zakup usług pozostałych </t>
    </r>
    <r>
      <rPr>
        <i/>
        <sz val="9"/>
        <rFont val="Times New Roman CE"/>
        <family val="1"/>
      </rPr>
      <t>- por.  ekspertyzy lekarskie</t>
    </r>
  </si>
  <si>
    <t xml:space="preserve">Opłaty z tytułu zakupu usług telekomunikacyjnych telefonii stacjonarnej </t>
  </si>
  <si>
    <t>Promocja jednostek samorządu terytorialnego</t>
  </si>
  <si>
    <t>Dotacja celowa z budżetu na finansowanie lub dofinansowanie zadań zleconych do realizacji stowarzyszeniom</t>
  </si>
  <si>
    <t>Wynagrodzenia bezosobowe - R</t>
  </si>
  <si>
    <t>Zakup materiałów i wyposażenia - PI</t>
  </si>
  <si>
    <t>Zakup materiałów i wyposażenia - R</t>
  </si>
  <si>
    <t>Zakup energii - PI</t>
  </si>
  <si>
    <t>Zakup usług pozostałych - PI</t>
  </si>
  <si>
    <t>Zakup usług pozostałych - RWZ</t>
  </si>
  <si>
    <t>Zakup usług pozostałych - R</t>
  </si>
  <si>
    <t>Zakup usług pozostałych - KS</t>
  </si>
  <si>
    <t>Zakup usług do sieci Internet - PI</t>
  </si>
  <si>
    <t>"Polsko - Niemieckie Forum Gospodarcze i Giełda Kooperacyjna w Koszalinie"</t>
  </si>
  <si>
    <t>Wynagrodzienia bezosobowe</t>
  </si>
  <si>
    <t>"Promocja rozwoju Koszalina - Vademecum Inwestora"</t>
  </si>
  <si>
    <t>"Koszaliński katolog usług polsko - niemieckich"</t>
  </si>
  <si>
    <t>Składki FP</t>
  </si>
  <si>
    <t>Pozostała działalność RO</t>
  </si>
  <si>
    <t>Nagrody i wydatki osobowe nie zaliczane do wynagrodzeń</t>
  </si>
  <si>
    <t>Zakup usług  pozostałych</t>
  </si>
  <si>
    <t>Zakup akcesoriów komputerowych , w tym programów i licencji</t>
  </si>
  <si>
    <r>
      <t xml:space="preserve">Nagrody o charakterze szczególnym niezaliczane do wynagrodzeń - </t>
    </r>
    <r>
      <rPr>
        <i/>
        <sz val="9"/>
        <rFont val="Times New Roman CE"/>
        <family val="1"/>
      </rPr>
      <t>USC</t>
    </r>
  </si>
  <si>
    <r>
      <t xml:space="preserve">Składki na ubezpieczenia społeczne - </t>
    </r>
    <r>
      <rPr>
        <i/>
        <sz val="9"/>
        <rFont val="Times New Roman CE"/>
        <family val="1"/>
      </rPr>
      <t>RWZ</t>
    </r>
  </si>
  <si>
    <r>
      <t xml:space="preserve">Składki na FP </t>
    </r>
    <r>
      <rPr>
        <i/>
        <sz val="9"/>
        <rFont val="Times New Roman CE"/>
        <family val="1"/>
      </rPr>
      <t>- RWZ</t>
    </r>
  </si>
  <si>
    <r>
      <t xml:space="preserve">Wynagrodzenia bezosobowe </t>
    </r>
    <r>
      <rPr>
        <i/>
        <sz val="9"/>
        <rFont val="Times New Roman CE"/>
        <family val="1"/>
      </rPr>
      <t>-RWZ</t>
    </r>
  </si>
  <si>
    <r>
      <t>Zakupy materiałów i wyposażenia -</t>
    </r>
    <r>
      <rPr>
        <i/>
        <sz val="9"/>
        <rFont val="Times New Roman CE"/>
        <family val="1"/>
      </rPr>
      <t xml:space="preserve"> RWZ</t>
    </r>
  </si>
  <si>
    <r>
      <t xml:space="preserve">Zakup pozostałych usług </t>
    </r>
    <r>
      <rPr>
        <i/>
        <sz val="9"/>
        <rFont val="Times New Roman CE"/>
        <family val="1"/>
      </rPr>
      <t>- RWZ</t>
    </r>
  </si>
  <si>
    <t>Zakup usług do sieci Internet - RWZ</t>
  </si>
  <si>
    <t>Zakup usług obejmujących tłumaczenia - RWZ</t>
  </si>
  <si>
    <t>Zakup usług obejmujących wykonanie ekspertyz, analiz i opinii - RWZ</t>
  </si>
  <si>
    <r>
      <t>Różne opłaty i składki -  R</t>
    </r>
    <r>
      <rPr>
        <i/>
        <sz val="9"/>
        <rFont val="Times New Roman CE"/>
        <family val="1"/>
      </rPr>
      <t>WZ</t>
    </r>
  </si>
  <si>
    <t>Dotacja celowa z budżetu na finansowanie lub dofinansowanie zadań zleconych do realizacji fundacjom</t>
  </si>
  <si>
    <t xml:space="preserve"> - dofinansowanie Regionalnego Centrum Informacji Europejskiej - RCIE</t>
  </si>
  <si>
    <t xml:space="preserve"> - dofinansowanie działalności CIP</t>
  </si>
  <si>
    <t>Wybory do Rad Osiedli</t>
  </si>
  <si>
    <r>
      <t xml:space="preserve">Składki na ubezpieczenia społeczne - </t>
    </r>
    <r>
      <rPr>
        <i/>
        <sz val="9"/>
        <rFont val="Times New Roman CE"/>
        <family val="1"/>
      </rPr>
      <t>OA</t>
    </r>
  </si>
  <si>
    <r>
      <t xml:space="preserve">Składki na FP </t>
    </r>
    <r>
      <rPr>
        <i/>
        <sz val="9"/>
        <rFont val="Times New Roman CE"/>
        <family val="1"/>
      </rPr>
      <t>- OA</t>
    </r>
  </si>
  <si>
    <r>
      <t xml:space="preserve">Wynagrodzenia bezosobowe </t>
    </r>
    <r>
      <rPr>
        <i/>
        <sz val="9"/>
        <rFont val="Times New Roman CE"/>
        <family val="1"/>
      </rPr>
      <t>-OA</t>
    </r>
  </si>
  <si>
    <r>
      <t>Zakupy materiałów i wyposażenia -</t>
    </r>
    <r>
      <rPr>
        <i/>
        <sz val="9"/>
        <rFont val="Times New Roman CE"/>
        <family val="1"/>
      </rPr>
      <t xml:space="preserve"> OA</t>
    </r>
  </si>
  <si>
    <r>
      <t xml:space="preserve">Zakup pozostałych usług </t>
    </r>
    <r>
      <rPr>
        <i/>
        <sz val="9"/>
        <rFont val="Times New Roman CE"/>
        <family val="1"/>
      </rPr>
      <t>- OA</t>
    </r>
  </si>
  <si>
    <t xml:space="preserve">Opłaty z tytułu zakupu usług telekomunikacyjnych telefonii stacjonarnej - OA </t>
  </si>
  <si>
    <t>Zakup materiałów papierniczych do sprzętu drukarskiego i urządzeń kserograficznych - OA</t>
  </si>
  <si>
    <t>Zakup akcesoriów komputerowych, w tym programów i licencji - OA</t>
  </si>
  <si>
    <t xml:space="preserve">Składki na FP </t>
  </si>
  <si>
    <t xml:space="preserve">Zakup materiałów i wyposażenia </t>
  </si>
  <si>
    <t>Wybory Prezydenta Rzeczpospolitej Polskiej</t>
  </si>
  <si>
    <t>Wybory do sejmu i senatu</t>
  </si>
  <si>
    <t xml:space="preserve">Nagrody i wydatki osobowe nie zaliczane do wynagrodzeń </t>
  </si>
  <si>
    <t>Referenda ogólnokrajowe i konstytucyjne</t>
  </si>
  <si>
    <t>OBRONA NARODOWA</t>
  </si>
  <si>
    <t>Pozostałe wydatki obronne</t>
  </si>
  <si>
    <t>Zakup pomocy nauk., dydaktycznych i książek</t>
  </si>
  <si>
    <t>Komendy powiatowe Policji</t>
  </si>
  <si>
    <t>Wpłaty jednostek na fundusz celowy</t>
  </si>
  <si>
    <t>Wpłaty jednostek na fundusz celowy na finansowanie lub dofinansowanie zadań inwestycyjnych</t>
  </si>
  <si>
    <t>Komendy powiatowe Państwowej Straży Pożarnej</t>
  </si>
  <si>
    <t>Wydatki osobowe niezaliczane do uposażeń wypłacane żołnierzom i funkcjonariuszom</t>
  </si>
  <si>
    <t xml:space="preserve">Wynagrodzenia osobowe pracowników 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</si>
  <si>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</si>
  <si>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</si>
  <si>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</si>
  <si>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Uposazenia i świadczenia pieniężne wypłacane przez okres roku żoł. i funkcjon. zwolnionym ze służby</t>
  </si>
  <si>
    <t>Równoważniki pieniężne i ekwiwalenty dla żołnierzy i funkcjonariuszy</t>
  </si>
  <si>
    <t>Zakup sprzętu i ubrojenia</t>
  </si>
  <si>
    <t>Zakup środków żywności</t>
  </si>
  <si>
    <t>Zakup sprzętu i uzbrojenia</t>
  </si>
  <si>
    <t>Opłaty z tytułu zakupu usług telekomunikacyjnych telefonii komórkowej</t>
  </si>
  <si>
    <t>Odpisy na ZFŚS</t>
  </si>
  <si>
    <t>Opłaty na rzecz budżetu państwa</t>
  </si>
  <si>
    <t>Dotacje celowe z budżetu na finansowanie lub dofinansowanie kosztów realizacji inwestycji i zakupów inwestycyjnych innych jednostek sektora finansów publicznych</t>
  </si>
  <si>
    <t>Ochotnicze straże pożarne</t>
  </si>
  <si>
    <t>Dotacja celowa z budżetu  lub dofinansowanie zadań zleconych do realizacji stowarzyszeniom</t>
  </si>
  <si>
    <r>
      <t xml:space="preserve">Wydatki na zakupy inwestycyjne jednostek budżetowych - </t>
    </r>
    <r>
      <rPr>
        <i/>
        <sz val="9"/>
        <rFont val="Times New Roman CE"/>
        <family val="1"/>
      </rPr>
      <t>zakup projektu multimedialnego</t>
    </r>
  </si>
  <si>
    <r>
      <t>Zakup pozostałych usług -</t>
    </r>
    <r>
      <rPr>
        <sz val="8"/>
        <rFont val="Times New Roman CE"/>
        <family val="1"/>
      </rPr>
      <t xml:space="preserve"> </t>
    </r>
    <r>
      <rPr>
        <i/>
        <sz val="8"/>
        <rFont val="Times New Roman CE"/>
        <family val="1"/>
      </rPr>
      <t>Zintegrowany System Ratownictwa</t>
    </r>
  </si>
  <si>
    <t>Zarządzanie Kryzysowe</t>
  </si>
  <si>
    <r>
      <t xml:space="preserve">Rezerwa celowa </t>
    </r>
    <r>
      <rPr>
        <i/>
        <sz val="8"/>
        <rFont val="Times New Roman CE"/>
        <family val="1"/>
      </rPr>
      <t>- na realizacje zadań własnych z zakresu zarządzania kryzysowego</t>
    </r>
  </si>
  <si>
    <r>
      <t>Wpłaty jednostek na fundusz celowy</t>
    </r>
    <r>
      <rPr>
        <i/>
        <sz val="9"/>
        <rFont val="Times New Roman CE"/>
        <family val="1"/>
      </rPr>
      <t xml:space="preserve"> - zakup paliwa dla Straży Granicznej w Darłowie</t>
    </r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</si>
  <si>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</si>
  <si>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</si>
  <si>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r>
      <t xml:space="preserve">Wynagrodzenia osobowe pracowników - IK </t>
    </r>
    <r>
      <rPr>
        <i/>
        <sz val="9"/>
        <rFont val="Times New Roman CE"/>
        <family val="1"/>
      </rPr>
      <t>(inkasenci)</t>
    </r>
  </si>
  <si>
    <r>
      <t>Wynagrodzenia agencyjno - prowizyjne -</t>
    </r>
    <r>
      <rPr>
        <i/>
        <sz val="9"/>
        <rFont val="Times New Roman CE"/>
        <family val="1"/>
      </rPr>
      <t xml:space="preserve"> Fk</t>
    </r>
  </si>
  <si>
    <r>
      <t>Wynagrodzenia agencyjno - prowizyjne</t>
    </r>
    <r>
      <rPr>
        <i/>
        <sz val="9"/>
        <rFont val="Times New Roman CE"/>
        <family val="1"/>
      </rPr>
      <t xml:space="preserve"> IK</t>
    </r>
  </si>
  <si>
    <r>
      <t xml:space="preserve">Składki na ubezpieczenia społeczne -  </t>
    </r>
    <r>
      <rPr>
        <i/>
        <sz val="9"/>
        <rFont val="Times New Roman CE"/>
        <family val="1"/>
      </rPr>
      <t>IK</t>
    </r>
  </si>
  <si>
    <r>
      <t>Składki na ubezpieczenia społeczne -</t>
    </r>
    <r>
      <rPr>
        <i/>
        <sz val="9"/>
        <rFont val="Times New Roman CE"/>
        <family val="1"/>
      </rPr>
      <t xml:space="preserve"> Fk</t>
    </r>
  </si>
  <si>
    <r>
      <t>Składki na FP -</t>
    </r>
    <r>
      <rPr>
        <i/>
        <sz val="9"/>
        <rFont val="Times New Roman CE"/>
        <family val="1"/>
      </rPr>
      <t xml:space="preserve"> IK</t>
    </r>
  </si>
  <si>
    <r>
      <t xml:space="preserve">Składki na FP - </t>
    </r>
    <r>
      <rPr>
        <i/>
        <sz val="9"/>
        <rFont val="Times New Roman CE"/>
        <family val="1"/>
      </rPr>
      <t xml:space="preserve"> Fk</t>
    </r>
  </si>
  <si>
    <t>Wynagrodzenia bezosobowe - IK</t>
  </si>
  <si>
    <r>
      <t>Zakup usług pozostałych -</t>
    </r>
    <r>
      <rPr>
        <i/>
        <sz val="9"/>
        <rFont val="Times New Roman CE"/>
        <family val="1"/>
      </rPr>
      <t xml:space="preserve"> Fk</t>
    </r>
  </si>
  <si>
    <r>
      <t xml:space="preserve">Zakup usług pozostałych - </t>
    </r>
    <r>
      <rPr>
        <i/>
        <sz val="9"/>
        <rFont val="Times New Roman CE"/>
        <family val="1"/>
      </rPr>
      <t>IK</t>
    </r>
  </si>
  <si>
    <t>Różne opłaty i składki -Rp</t>
  </si>
  <si>
    <t>Różne opłaty i składki -Fk</t>
  </si>
  <si>
    <t>Fk</t>
  </si>
  <si>
    <t>OP</t>
  </si>
  <si>
    <t>OBSŁUGA DŁUGU PUBLICZNEGO</t>
  </si>
  <si>
    <t>Obsługa papierów wartościowych, kredytów i  pożyczek j.s.t.</t>
  </si>
  <si>
    <t>Odsetki i dyskonto od krajowych skarbowych papierów wartościowych oraz od krajowych pożyczek i kredytów</t>
  </si>
  <si>
    <t>Część równoważąca subwencji ogólnej dla powiatów</t>
  </si>
  <si>
    <t>Wpłaty jednostek samorządu terytorialnego do budżetu państwa</t>
  </si>
  <si>
    <t>Rezerwy ogólne i celowe</t>
  </si>
  <si>
    <t>Rezerwa celowa (na realizację zadań dofinans. ze środków zewnętrznych)</t>
  </si>
  <si>
    <t>Rezerwa celowa (na remonty RO nie wykonane w 2007r. )</t>
  </si>
  <si>
    <r>
      <t xml:space="preserve">Rezerwy na inwestycje i zakupy inwestycyjne </t>
    </r>
    <r>
      <rPr>
        <i/>
        <sz val="9"/>
        <rFont val="Times New Roman CE"/>
        <family val="1"/>
      </rPr>
      <t>(inwestycje zakończone)</t>
    </r>
  </si>
  <si>
    <t>Rezerwa ogólna do 1% wydatków</t>
  </si>
  <si>
    <t>Dotacja podmiotowa z budżetu dla niepublicznej jednostki systemu oświaty</t>
  </si>
  <si>
    <t>Wydatki osobowe niezaliczone do wynagrodzeń</t>
  </si>
  <si>
    <t>Zakupy pomocy naukowych, dydaktycznych i książek</t>
  </si>
  <si>
    <t xml:space="preserve">Zakup usług obejmujących tłumaczenia </t>
  </si>
  <si>
    <r>
      <t>Wydatki inwestycyjne jednostek budżetowych               (</t>
    </r>
    <r>
      <rPr>
        <i/>
        <sz val="9"/>
        <rFont val="Times New Roman CE"/>
        <family val="1"/>
      </rPr>
      <t>w tym: IK -4.800,0 tys.zł - boisko sportowe przy ZS 13, SP 7, SP 10, SP 17</t>
    </r>
    <r>
      <rPr>
        <sz val="9"/>
        <rFont val="Times New Roman CE"/>
        <family val="0"/>
      </rPr>
      <t>)</t>
    </r>
  </si>
  <si>
    <t>Świadczenia społeczne</t>
  </si>
  <si>
    <t>Składki na ubezpieczenia zdrowotne</t>
  </si>
  <si>
    <t>Oddziały przedszkolne w szkołach podstawowych</t>
  </si>
  <si>
    <t xml:space="preserve">Przedszkola </t>
  </si>
  <si>
    <t>Dotacja podmiotowa z budżetu dla zakładu budżetowego</t>
  </si>
  <si>
    <t>Przedszkola specjalne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</si>
</sst>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44">
    <font>
      <sz val="10"/>
      <name val="Arial CE"/>
      <family val="0"/>
    </font>
    <font>
      <b/>
      <sz val="12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8"/>
      <name val="Arial CE"/>
      <family val="0"/>
    </font>
    <font>
      <sz val="7"/>
      <name val="Arial CE"/>
      <family val="0"/>
    </font>
    <font>
      <b/>
      <sz val="11"/>
      <name val="Times New Roman CE"/>
      <family val="1"/>
    </font>
    <font>
      <sz val="12"/>
      <name val="Arial CE"/>
      <family val="0"/>
    </font>
    <font>
      <sz val="11"/>
      <name val="Arial CE"/>
      <family val="0"/>
    </font>
    <font>
      <b/>
      <sz val="8"/>
      <name val="Times New Roman CE"/>
      <family val="1"/>
    </font>
    <font>
      <b/>
      <sz val="9"/>
      <name val="Arial CE"/>
      <family val="0"/>
    </font>
    <font>
      <b/>
      <i/>
      <sz val="8"/>
      <name val="Times New Roman CE"/>
      <family val="0"/>
    </font>
    <font>
      <i/>
      <sz val="9"/>
      <name val="Times New Roman CE"/>
      <family val="1"/>
    </font>
    <font>
      <i/>
      <sz val="8"/>
      <name val="Times New Roman CE"/>
      <family val="0"/>
    </font>
    <font>
      <i/>
      <sz val="7"/>
      <name val="Times New Roman CE"/>
      <family val="0"/>
    </font>
    <font>
      <b/>
      <sz val="10"/>
      <name val="Arial CE"/>
      <family val="0"/>
    </font>
    <font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0"/>
    </font>
    <font>
      <sz val="7"/>
      <name val="MS Sans Serif"/>
      <family val="0"/>
    </font>
    <font>
      <b/>
      <sz val="9"/>
      <name val="MS Sans Serif"/>
      <family val="2"/>
    </font>
    <font>
      <b/>
      <i/>
      <sz val="9"/>
      <name val="Times New Roman CE"/>
      <family val="0"/>
    </font>
    <font>
      <i/>
      <sz val="10"/>
      <name val="Arial CE"/>
      <family val="0"/>
    </font>
    <font>
      <b/>
      <i/>
      <sz val="7"/>
      <name val="Times New Roman CE"/>
      <family val="0"/>
    </font>
    <font>
      <b/>
      <i/>
      <sz val="10"/>
      <name val="Arial CE"/>
      <family val="0"/>
    </font>
    <font>
      <sz val="9"/>
      <name val="Arial CE"/>
      <family val="0"/>
    </font>
    <font>
      <sz val="10"/>
      <color indexed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14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1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1" xfId="0" applyNumberFormat="1" applyFont="1" applyFill="1" applyBorder="1" applyAlignment="1" applyProtection="1">
      <alignment horizontal="centerContinuous"/>
      <protection locked="0"/>
    </xf>
    <xf numFmtId="164" fontId="3" fillId="0" borderId="2" xfId="0" applyNumberFormat="1" applyFont="1" applyFill="1" applyBorder="1" applyAlignment="1" applyProtection="1">
      <alignment horizontal="centerContinuous"/>
      <protection locked="0"/>
    </xf>
    <xf numFmtId="1" fontId="4" fillId="0" borderId="3" xfId="0" applyNumberFormat="1" applyFont="1" applyFill="1" applyBorder="1" applyAlignment="1" applyProtection="1">
      <alignment horizontal="centerContinuous"/>
      <protection locked="0"/>
    </xf>
    <xf numFmtId="1" fontId="4" fillId="0" borderId="4" xfId="0" applyNumberFormat="1" applyFont="1" applyFill="1" applyBorder="1" applyAlignment="1" applyProtection="1">
      <alignment horizontal="centerContinuous"/>
      <protection locked="0"/>
    </xf>
    <xf numFmtId="1" fontId="5" fillId="0" borderId="5" xfId="0" applyNumberFormat="1" applyFont="1" applyFill="1" applyBorder="1" applyAlignment="1" applyProtection="1">
      <alignment horizontal="centerContinuous"/>
      <protection locked="0"/>
    </xf>
    <xf numFmtId="1" fontId="4" fillId="0" borderId="3" xfId="0" applyNumberFormat="1" applyFont="1" applyFill="1" applyBorder="1" applyAlignment="1" applyProtection="1">
      <alignment horizontal="centerContinuous"/>
      <protection locked="0"/>
    </xf>
    <xf numFmtId="1" fontId="4" fillId="0" borderId="4" xfId="0" applyNumberFormat="1" applyFont="1" applyFill="1" applyBorder="1" applyAlignment="1" applyProtection="1">
      <alignment horizontal="centerContinuous"/>
      <protection locked="0"/>
    </xf>
    <xf numFmtId="164" fontId="5" fillId="0" borderId="5" xfId="0" applyNumberFormat="1" applyFont="1" applyFill="1" applyBorder="1" applyAlignment="1" applyProtection="1">
      <alignment horizontal="centerContinuous"/>
      <protection locked="0"/>
    </xf>
    <xf numFmtId="1" fontId="4" fillId="0" borderId="6" xfId="0" applyNumberFormat="1" applyFont="1" applyFill="1" applyBorder="1" applyAlignment="1" applyProtection="1">
      <alignment horizontal="centerContinuous"/>
      <protection locked="0"/>
    </xf>
    <xf numFmtId="1" fontId="2" fillId="0" borderId="4" xfId="0" applyNumberFormat="1" applyFont="1" applyFill="1" applyBorder="1" applyAlignment="1" applyProtection="1">
      <alignment horizontal="centerContinuous"/>
      <protection locked="0"/>
    </xf>
    <xf numFmtId="1" fontId="5" fillId="0" borderId="0" xfId="0" applyNumberFormat="1" applyFont="1" applyFill="1" applyBorder="1" applyAlignment="1" applyProtection="1">
      <alignment horizontal="centerContinuous"/>
      <protection locked="0"/>
    </xf>
    <xf numFmtId="1" fontId="2" fillId="0" borderId="0" xfId="0" applyNumberFormat="1" applyFont="1" applyFill="1" applyBorder="1" applyAlignment="1" applyProtection="1">
      <alignment horizontal="left" wrapText="1"/>
      <protection locked="0"/>
    </xf>
    <xf numFmtId="1" fontId="2" fillId="0" borderId="0" xfId="0" applyNumberFormat="1" applyFont="1" applyFill="1" applyBorder="1" applyAlignment="1" applyProtection="1">
      <alignment horizontal="left"/>
      <protection locked="0"/>
    </xf>
    <xf numFmtId="1" fontId="6" fillId="0" borderId="0" xfId="0" applyNumberFormat="1" applyFont="1" applyFill="1" applyBorder="1" applyAlignment="1" applyProtection="1">
      <alignment horizontal="left"/>
      <protection locked="0"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49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64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164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3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7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8" xfId="0" applyNumberFormat="1" applyFont="1" applyFill="1" applyBorder="1" applyAlignment="1" applyProtection="1">
      <alignment horizontal="centerContinuous" vertical="center" wrapText="1"/>
      <protection locked="0"/>
    </xf>
    <xf numFmtId="1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8" xfId="0" applyNumberFormat="1" applyFont="1" applyFill="1" applyBorder="1" applyAlignment="1" applyProtection="1">
      <alignment horizontal="centerContinuous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0" applyNumberFormat="1" applyFont="1" applyFill="1" applyBorder="1" applyAlignment="1" applyProtection="1">
      <alignment horizontal="left" vertical="center" wrapText="1"/>
      <protection locked="0"/>
    </xf>
    <xf numFmtId="1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0" xfId="0" applyNumberFormat="1" applyFont="1" applyFill="1" applyBorder="1" applyAlignment="1" applyProtection="1">
      <alignment vertical="center" wrapText="1"/>
      <protection locked="0"/>
    </xf>
    <xf numFmtId="4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31" xfId="0" applyNumberFormat="1" applyFont="1" applyFill="1" applyBorder="1" applyAlignment="1" applyProtection="1">
      <alignment vertical="center" wrapText="1"/>
      <protection locked="0"/>
    </xf>
    <xf numFmtId="4" fontId="2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1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7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>
      <alignment horizontal="left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3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34" xfId="0" applyNumberFormat="1" applyFont="1" applyFill="1" applyBorder="1" applyAlignment="1" applyProtection="1">
      <alignment vertical="center" wrapText="1"/>
      <protection locked="0"/>
    </xf>
    <xf numFmtId="4" fontId="2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6" xfId="0" applyNumberFormat="1" applyFont="1" applyFill="1" applyBorder="1" applyAlignment="1" applyProtection="1">
      <alignment horizontal="right" vertical="center" wrapText="1"/>
      <protection locked="0"/>
    </xf>
    <xf numFmtId="1" fontId="6" fillId="0" borderId="36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35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vertical="center" wrapText="1"/>
      <protection locked="0"/>
    </xf>
    <xf numFmtId="1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" xfId="0" applyNumberFormat="1" applyFont="1" applyFill="1" applyBorder="1" applyAlignment="1" applyProtection="1">
      <alignment vertical="center" wrapText="1"/>
      <protection locked="0"/>
    </xf>
    <xf numFmtId="1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39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8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3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40" xfId="0" applyNumberFormat="1" applyFont="1" applyFill="1" applyBorder="1" applyAlignment="1" applyProtection="1">
      <alignment horizontal="centerContinuous" vertical="center"/>
      <protection locked="0"/>
    </xf>
    <xf numFmtId="0" fontId="2" fillId="0" borderId="41" xfId="0" applyNumberFormat="1" applyFont="1" applyFill="1" applyBorder="1" applyAlignment="1" applyProtection="1">
      <alignment vertical="center" wrapText="1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 applyProtection="1">
      <alignment vertical="center" wrapText="1"/>
      <protection locked="0"/>
    </xf>
    <xf numFmtId="164" fontId="12" fillId="0" borderId="31" xfId="0" applyNumberFormat="1" applyFont="1" applyFill="1" applyBorder="1" applyAlignment="1" applyProtection="1">
      <alignment vertical="center" wrapText="1"/>
      <protection locked="0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165" fontId="6" fillId="0" borderId="42" xfId="0" applyNumberFormat="1" applyFont="1" applyFill="1" applyBorder="1" applyAlignment="1" applyProtection="1">
      <alignment vertical="center" wrapText="1"/>
      <protection locked="0"/>
    </xf>
    <xf numFmtId="3" fontId="2" fillId="0" borderId="43" xfId="0" applyNumberFormat="1" applyFont="1" applyFill="1" applyBorder="1" applyAlignment="1" applyProtection="1">
      <alignment vertical="center"/>
      <protection locked="0"/>
    </xf>
    <xf numFmtId="164" fontId="6" fillId="0" borderId="42" xfId="0" applyNumberFormat="1" applyFont="1" applyFill="1" applyBorder="1" applyAlignment="1" applyProtection="1">
      <alignment vertical="center"/>
      <protection locked="0"/>
    </xf>
    <xf numFmtId="165" fontId="6" fillId="0" borderId="42" xfId="0" applyNumberFormat="1" applyFont="1" applyFill="1" applyBorder="1" applyAlignment="1" applyProtection="1">
      <alignment vertical="center"/>
      <protection locked="0"/>
    </xf>
    <xf numFmtId="49" fontId="2" fillId="0" borderId="44" xfId="0" applyNumberFormat="1" applyFont="1" applyFill="1" applyBorder="1" applyAlignment="1" applyProtection="1">
      <alignment horizontal="centerContinuous" vertical="center"/>
      <protection locked="0"/>
    </xf>
    <xf numFmtId="0" fontId="2" fillId="0" borderId="45" xfId="0" applyNumberFormat="1" applyFont="1" applyFill="1" applyBorder="1" applyAlignment="1" applyProtection="1">
      <alignment vertical="center" wrapText="1"/>
      <protection locked="0"/>
    </xf>
    <xf numFmtId="3" fontId="2" fillId="0" borderId="44" xfId="0" applyNumberFormat="1" applyFont="1" applyFill="1" applyBorder="1" applyAlignment="1" applyProtection="1">
      <alignment vertical="center" wrapText="1"/>
      <protection locked="0"/>
    </xf>
    <xf numFmtId="3" fontId="2" fillId="0" borderId="46" xfId="0" applyNumberFormat="1" applyFont="1" applyFill="1" applyBorder="1" applyAlignment="1" applyProtection="1">
      <alignment vertical="center" wrapText="1"/>
      <protection locked="0"/>
    </xf>
    <xf numFmtId="164" fontId="12" fillId="0" borderId="34" xfId="0" applyNumberFormat="1" applyFont="1" applyFill="1" applyBorder="1" applyAlignment="1" applyProtection="1">
      <alignment vertical="center" wrapText="1"/>
      <protection locked="0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165" fontId="6" fillId="0" borderId="45" xfId="0" applyNumberFormat="1" applyFont="1" applyFill="1" applyBorder="1" applyAlignment="1" applyProtection="1">
      <alignment vertical="center" wrapText="1"/>
      <protection locked="0"/>
    </xf>
    <xf numFmtId="164" fontId="6" fillId="0" borderId="34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 wrapText="1"/>
      <protection locked="0"/>
    </xf>
    <xf numFmtId="165" fontId="6" fillId="0" borderId="45" xfId="0" applyNumberFormat="1" applyFont="1" applyFill="1" applyBorder="1" applyAlignment="1" applyProtection="1">
      <alignment vertical="center"/>
      <protection locked="0"/>
    </xf>
    <xf numFmtId="49" fontId="4" fillId="0" borderId="26" xfId="0" applyNumberFormat="1" applyFont="1" applyFill="1" applyBorder="1" applyAlignment="1" applyProtection="1">
      <alignment horizontal="centerContinuous" vertical="center"/>
      <protection locked="0"/>
    </xf>
    <xf numFmtId="3" fontId="4" fillId="0" borderId="26" xfId="0" applyNumberFormat="1" applyFont="1" applyFill="1" applyBorder="1" applyAlignment="1" applyProtection="1">
      <alignment vertical="center" wrapText="1"/>
      <protection locked="0"/>
    </xf>
    <xf numFmtId="3" fontId="4" fillId="0" borderId="6" xfId="0" applyNumberFormat="1" applyFont="1" applyFill="1" applyBorder="1" applyAlignment="1" applyProtection="1">
      <alignment vertical="center" wrapText="1"/>
      <protection locked="0"/>
    </xf>
    <xf numFmtId="164" fontId="3" fillId="0" borderId="27" xfId="0" applyNumberFormat="1" applyFont="1" applyFill="1" applyBorder="1" applyAlignment="1" applyProtection="1">
      <alignment vertical="center" wrapText="1"/>
      <protection locked="0"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  <protection locked="0"/>
    </xf>
    <xf numFmtId="165" fontId="5" fillId="0" borderId="16" xfId="0" applyNumberFormat="1" applyFont="1" applyFill="1" applyBorder="1" applyAlignment="1" applyProtection="1">
      <alignment vertical="center" wrapText="1"/>
      <protection locked="0"/>
    </xf>
    <xf numFmtId="164" fontId="5" fillId="0" borderId="16" xfId="0" applyNumberFormat="1" applyFont="1" applyFill="1" applyBorder="1" applyAlignment="1" applyProtection="1">
      <alignment vertical="center"/>
      <protection locked="0"/>
    </xf>
    <xf numFmtId="165" fontId="5" fillId="0" borderId="16" xfId="0" applyNumberFormat="1" applyFont="1" applyFill="1" applyBorder="1" applyAlignment="1" applyProtection="1">
      <alignment vertical="center"/>
      <protection locked="0"/>
    </xf>
    <xf numFmtId="0" fontId="3" fillId="0" borderId="4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49" fontId="2" fillId="0" borderId="50" xfId="0" applyNumberFormat="1" applyFont="1" applyFill="1" applyBorder="1" applyAlignment="1" applyProtection="1">
      <alignment horizontal="centerContinuous" vertical="center"/>
      <protection locked="0"/>
    </xf>
    <xf numFmtId="0" fontId="2" fillId="0" borderId="34" xfId="0" applyNumberFormat="1" applyFont="1" applyFill="1" applyBorder="1" applyAlignment="1" applyProtection="1">
      <alignment vertical="center" wrapText="1"/>
      <protection locked="0"/>
    </xf>
    <xf numFmtId="3" fontId="2" fillId="0" borderId="50" xfId="0" applyNumberFormat="1" applyFont="1" applyFill="1" applyBorder="1" applyAlignment="1" applyProtection="1">
      <alignment vertical="center" wrapText="1"/>
      <protection locked="0"/>
    </xf>
    <xf numFmtId="164" fontId="12" fillId="0" borderId="51" xfId="0" applyNumberFormat="1" applyFont="1" applyFill="1" applyBorder="1" applyAlignment="1" applyProtection="1">
      <alignment vertical="center" wrapText="1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165" fontId="6" fillId="0" borderId="34" xfId="0" applyNumberFormat="1" applyFont="1" applyFill="1" applyBorder="1" applyAlignment="1" applyProtection="1">
      <alignment vertical="center" wrapText="1"/>
      <protection locked="0"/>
    </xf>
    <xf numFmtId="165" fontId="6" fillId="0" borderId="34" xfId="0" applyNumberFormat="1" applyFont="1" applyFill="1" applyBorder="1" applyAlignment="1" applyProtection="1">
      <alignment vertical="center"/>
      <protection locked="0"/>
    </xf>
    <xf numFmtId="49" fontId="4" fillId="0" borderId="52" xfId="0" applyNumberFormat="1" applyFont="1" applyFill="1" applyBorder="1" applyAlignment="1" applyProtection="1">
      <alignment horizontal="centerContinuous" vertical="center"/>
      <protection locked="0"/>
    </xf>
    <xf numFmtId="0" fontId="3" fillId="0" borderId="53" xfId="0" applyNumberFormat="1" applyFont="1" applyFill="1" applyBorder="1" applyAlignment="1" applyProtection="1">
      <alignment vertical="center" wrapText="1"/>
      <protection locked="0"/>
    </xf>
    <xf numFmtId="3" fontId="4" fillId="0" borderId="52" xfId="0" applyNumberFormat="1" applyFont="1" applyFill="1" applyBorder="1" applyAlignment="1" applyProtection="1">
      <alignment vertical="center" wrapText="1"/>
      <protection locked="0"/>
    </xf>
    <xf numFmtId="3" fontId="4" fillId="0" borderId="54" xfId="0" applyNumberFormat="1" applyFont="1" applyFill="1" applyBorder="1" applyAlignment="1" applyProtection="1">
      <alignment vertical="center" wrapText="1"/>
      <protection locked="0"/>
    </xf>
    <xf numFmtId="164" fontId="3" fillId="0" borderId="53" xfId="0" applyNumberFormat="1" applyFont="1" applyFill="1" applyBorder="1" applyAlignment="1" applyProtection="1">
      <alignment vertical="center" wrapText="1"/>
      <protection locked="0"/>
    </xf>
    <xf numFmtId="3" fontId="4" fillId="0" borderId="55" xfId="0" applyNumberFormat="1" applyFont="1" applyFill="1" applyBorder="1" applyAlignment="1" applyProtection="1">
      <alignment vertical="center"/>
      <protection locked="0"/>
    </xf>
    <xf numFmtId="3" fontId="4" fillId="0" borderId="54" xfId="0" applyNumberFormat="1" applyFont="1" applyFill="1" applyBorder="1" applyAlignment="1" applyProtection="1">
      <alignment vertical="center"/>
      <protection locked="0"/>
    </xf>
    <xf numFmtId="165" fontId="5" fillId="0" borderId="53" xfId="0" applyNumberFormat="1" applyFont="1" applyFill="1" applyBorder="1" applyAlignment="1" applyProtection="1">
      <alignment vertical="center" wrapText="1"/>
      <protection locked="0"/>
    </xf>
    <xf numFmtId="164" fontId="5" fillId="0" borderId="53" xfId="0" applyNumberFormat="1" applyFont="1" applyFill="1" applyBorder="1" applyAlignment="1" applyProtection="1">
      <alignment vertical="center"/>
      <protection locked="0"/>
    </xf>
    <xf numFmtId="165" fontId="5" fillId="0" borderId="53" xfId="0" applyNumberFormat="1" applyFont="1" applyFill="1" applyBorder="1" applyAlignment="1" applyProtection="1">
      <alignment vertical="center"/>
      <protection locked="0"/>
    </xf>
    <xf numFmtId="164" fontId="3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  <protection locked="0"/>
    </xf>
    <xf numFmtId="165" fontId="5" fillId="0" borderId="16" xfId="0" applyNumberFormat="1" applyFont="1" applyFill="1" applyBorder="1" applyAlignment="1" applyProtection="1">
      <alignment vertical="center"/>
      <protection locked="0"/>
    </xf>
    <xf numFmtId="49" fontId="4" fillId="0" borderId="44" xfId="0" applyNumberFormat="1" applyFont="1" applyFill="1" applyBorder="1" applyAlignment="1" applyProtection="1">
      <alignment horizontal="centerContinuous" vertical="center"/>
      <protection locked="0"/>
    </xf>
    <xf numFmtId="0" fontId="3" fillId="0" borderId="45" xfId="0" applyNumberFormat="1" applyFont="1" applyFill="1" applyBorder="1" applyAlignment="1" applyProtection="1">
      <alignment vertical="center" wrapText="1"/>
      <protection locked="0"/>
    </xf>
    <xf numFmtId="3" fontId="4" fillId="0" borderId="44" xfId="0" applyNumberFormat="1" applyFont="1" applyFill="1" applyBorder="1" applyAlignment="1" applyProtection="1">
      <alignment vertical="center" wrapText="1"/>
      <protection locked="0"/>
    </xf>
    <xf numFmtId="3" fontId="4" fillId="0" borderId="48" xfId="0" applyNumberFormat="1" applyFont="1" applyFill="1" applyBorder="1" applyAlignment="1" applyProtection="1">
      <alignment vertical="center" wrapText="1"/>
      <protection locked="0"/>
    </xf>
    <xf numFmtId="164" fontId="3" fillId="0" borderId="45" xfId="0" applyNumberFormat="1" applyFont="1" applyFill="1" applyBorder="1" applyAlignment="1" applyProtection="1">
      <alignment vertical="center" wrapText="1"/>
      <protection locked="0"/>
    </xf>
    <xf numFmtId="3" fontId="4" fillId="0" borderId="47" xfId="0" applyNumberFormat="1" applyFont="1" applyFill="1" applyBorder="1" applyAlignment="1" applyProtection="1">
      <alignment vertical="center"/>
      <protection locked="0"/>
    </xf>
    <xf numFmtId="3" fontId="4" fillId="0" borderId="48" xfId="0" applyNumberFormat="1" applyFont="1" applyFill="1" applyBorder="1" applyAlignment="1" applyProtection="1">
      <alignment vertical="center"/>
      <protection locked="0"/>
    </xf>
    <xf numFmtId="165" fontId="5" fillId="0" borderId="45" xfId="0" applyNumberFormat="1" applyFont="1" applyFill="1" applyBorder="1" applyAlignment="1" applyProtection="1">
      <alignment vertical="center" wrapText="1"/>
      <protection locked="0"/>
    </xf>
    <xf numFmtId="3" fontId="4" fillId="0" borderId="47" xfId="0" applyNumberFormat="1" applyFont="1" applyFill="1" applyBorder="1" applyAlignment="1" applyProtection="1">
      <alignment vertical="center"/>
      <protection locked="0"/>
    </xf>
    <xf numFmtId="3" fontId="4" fillId="0" borderId="48" xfId="0" applyNumberFormat="1" applyFont="1" applyFill="1" applyBorder="1" applyAlignment="1" applyProtection="1">
      <alignment vertical="center"/>
      <protection locked="0"/>
    </xf>
    <xf numFmtId="164" fontId="5" fillId="0" borderId="45" xfId="0" applyNumberFormat="1" applyFont="1" applyFill="1" applyBorder="1" applyAlignment="1" applyProtection="1">
      <alignment vertical="center"/>
      <protection locked="0"/>
    </xf>
    <xf numFmtId="165" fontId="5" fillId="0" borderId="45" xfId="0" applyNumberFormat="1" applyFont="1" applyFill="1" applyBorder="1" applyAlignment="1" applyProtection="1">
      <alignment vertical="center"/>
      <protection locked="0"/>
    </xf>
    <xf numFmtId="3" fontId="2" fillId="0" borderId="48" xfId="0" applyNumberFormat="1" applyFont="1" applyFill="1" applyBorder="1" applyAlignment="1" applyProtection="1">
      <alignment vertical="center" wrapText="1"/>
      <protection locked="0"/>
    </xf>
    <xf numFmtId="164" fontId="2" fillId="0" borderId="34" xfId="0" applyNumberFormat="1" applyFont="1" applyFill="1" applyBorder="1" applyAlignment="1" applyProtection="1">
      <alignment vertical="center" wrapText="1"/>
      <protection locked="0"/>
    </xf>
    <xf numFmtId="165" fontId="2" fillId="0" borderId="34" xfId="0" applyNumberFormat="1" applyFont="1" applyFill="1" applyBorder="1" applyAlignment="1" applyProtection="1">
      <alignment vertical="center" wrapText="1"/>
      <protection locked="0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164" fontId="2" fillId="0" borderId="45" xfId="0" applyNumberFormat="1" applyFont="1" applyFill="1" applyBorder="1" applyAlignment="1" applyProtection="1">
      <alignment vertical="center"/>
      <protection locked="0"/>
    </xf>
    <xf numFmtId="165" fontId="2" fillId="0" borderId="45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3" fillId="0" borderId="34" xfId="0" applyNumberFormat="1" applyFont="1" applyFill="1" applyBorder="1" applyAlignment="1" applyProtection="1">
      <alignment vertical="center" wrapText="1"/>
      <protection locked="0"/>
    </xf>
    <xf numFmtId="0" fontId="4" fillId="0" borderId="16" xfId="0" applyNumberFormat="1" applyFont="1" applyFill="1" applyBorder="1" applyAlignment="1" applyProtection="1">
      <alignment vertical="center" wrapText="1"/>
      <protection locked="0"/>
    </xf>
    <xf numFmtId="49" fontId="2" fillId="0" borderId="40" xfId="0" applyNumberFormat="1" applyFont="1" applyFill="1" applyBorder="1" applyAlignment="1" applyProtection="1">
      <alignment horizontal="centerContinuous" vertical="center"/>
      <protection locked="0"/>
    </xf>
    <xf numFmtId="0" fontId="2" fillId="0" borderId="42" xfId="0" applyNumberFormat="1" applyFont="1" applyFill="1" applyBorder="1" applyAlignment="1" applyProtection="1">
      <alignment vertical="center" wrapText="1"/>
      <protection locked="0"/>
    </xf>
    <xf numFmtId="3" fontId="2" fillId="0" borderId="40" xfId="0" applyNumberFormat="1" applyFont="1" applyFill="1" applyBorder="1" applyAlignment="1" applyProtection="1">
      <alignment vertical="center" wrapText="1"/>
      <protection locked="0"/>
    </xf>
    <xf numFmtId="3" fontId="2" fillId="0" borderId="30" xfId="0" applyNumberFormat="1" applyFont="1" applyFill="1" applyBorder="1" applyAlignment="1" applyProtection="1">
      <alignment vertical="center" wrapText="1"/>
      <protection locked="0"/>
    </xf>
    <xf numFmtId="3" fontId="2" fillId="0" borderId="43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165" fontId="6" fillId="0" borderId="31" xfId="0" applyNumberFormat="1" applyFont="1" applyFill="1" applyBorder="1" applyAlignment="1" applyProtection="1">
      <alignment vertical="center" wrapText="1"/>
      <protection locked="0"/>
    </xf>
    <xf numFmtId="164" fontId="6" fillId="0" borderId="42" xfId="0" applyNumberFormat="1" applyFont="1" applyFill="1" applyBorder="1" applyAlignment="1" applyProtection="1">
      <alignment vertical="center"/>
      <protection locked="0"/>
    </xf>
    <xf numFmtId="165" fontId="6" fillId="0" borderId="42" xfId="0" applyNumberFormat="1" applyFont="1" applyFill="1" applyBorder="1" applyAlignment="1" applyProtection="1">
      <alignment vertical="center"/>
      <protection locked="0"/>
    </xf>
    <xf numFmtId="49" fontId="2" fillId="0" borderId="1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6" xfId="0" applyNumberFormat="1" applyFont="1" applyFill="1" applyBorder="1" applyAlignment="1" applyProtection="1">
      <alignment vertical="center" wrapText="1"/>
      <protection locked="0"/>
    </xf>
    <xf numFmtId="3" fontId="2" fillId="0" borderId="12" xfId="0" applyNumberFormat="1" applyFont="1" applyFill="1" applyBorder="1" applyAlignment="1" applyProtection="1">
      <alignment vertical="center" wrapText="1"/>
      <protection locked="0"/>
    </xf>
    <xf numFmtId="3" fontId="2" fillId="0" borderId="33" xfId="0" applyNumberFormat="1" applyFont="1" applyFill="1" applyBorder="1" applyAlignment="1" applyProtection="1">
      <alignment vertical="center" wrapText="1"/>
      <protection locked="0"/>
    </xf>
    <xf numFmtId="164" fontId="12" fillId="0" borderId="45" xfId="0" applyNumberFormat="1" applyFont="1" applyFill="1" applyBorder="1" applyAlignment="1" applyProtection="1">
      <alignment vertical="center" wrapText="1"/>
      <protection locked="0"/>
    </xf>
    <xf numFmtId="3" fontId="2" fillId="0" borderId="35" xfId="0" applyNumberFormat="1" applyFont="1" applyFill="1" applyBorder="1" applyAlignment="1" applyProtection="1">
      <alignment vertical="center"/>
      <protection locked="0"/>
    </xf>
    <xf numFmtId="3" fontId="2" fillId="0" borderId="33" xfId="0" applyNumberFormat="1" applyFont="1" applyFill="1" applyBorder="1" applyAlignment="1" applyProtection="1">
      <alignment vertical="center"/>
      <protection locked="0"/>
    </xf>
    <xf numFmtId="164" fontId="6" fillId="0" borderId="36" xfId="0" applyNumberFormat="1" applyFont="1" applyFill="1" applyBorder="1" applyAlignment="1" applyProtection="1">
      <alignment vertical="center"/>
      <protection locked="0"/>
    </xf>
    <xf numFmtId="165" fontId="6" fillId="0" borderId="36" xfId="0" applyNumberFormat="1" applyFont="1" applyFill="1" applyBorder="1" applyAlignment="1" applyProtection="1">
      <alignment vertical="center"/>
      <protection locked="0"/>
    </xf>
    <xf numFmtId="3" fontId="4" fillId="0" borderId="55" xfId="0" applyNumberFormat="1" applyFont="1" applyFill="1" applyBorder="1" applyAlignment="1" applyProtection="1">
      <alignment vertical="center"/>
      <protection locked="0"/>
    </xf>
    <xf numFmtId="3" fontId="4" fillId="0" borderId="54" xfId="0" applyNumberFormat="1" applyFont="1" applyFill="1" applyBorder="1" applyAlignment="1" applyProtection="1">
      <alignment vertical="center"/>
      <protection locked="0"/>
    </xf>
    <xf numFmtId="165" fontId="5" fillId="0" borderId="53" xfId="0" applyNumberFormat="1" applyFont="1" applyFill="1" applyBorder="1" applyAlignment="1" applyProtection="1">
      <alignment vertical="center"/>
      <protection locked="0"/>
    </xf>
    <xf numFmtId="0" fontId="3" fillId="0" borderId="25" xfId="0" applyNumberFormat="1" applyFont="1" applyFill="1" applyBorder="1" applyAlignment="1" applyProtection="1">
      <alignment vertical="center" wrapText="1"/>
      <protection locked="0"/>
    </xf>
    <xf numFmtId="3" fontId="4" fillId="0" borderId="56" xfId="0" applyNumberFormat="1" applyFont="1" applyFill="1" applyBorder="1" applyAlignment="1" applyProtection="1">
      <alignment vertical="center" wrapText="1"/>
      <protection locked="0"/>
    </xf>
    <xf numFmtId="0" fontId="2" fillId="0" borderId="42" xfId="0" applyNumberFormat="1" applyFont="1" applyFill="1" applyBorder="1" applyAlignment="1" applyProtection="1">
      <alignment vertical="center" wrapText="1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2" fillId="0" borderId="33" xfId="0" applyNumberFormat="1" applyFont="1" applyFill="1" applyBorder="1" applyAlignment="1" applyProtection="1">
      <alignment vertical="center"/>
      <protection locked="0"/>
    </xf>
    <xf numFmtId="164" fontId="6" fillId="0" borderId="45" xfId="0" applyNumberFormat="1" applyFont="1" applyFill="1" applyBorder="1" applyAlignment="1" applyProtection="1">
      <alignment vertical="center"/>
      <protection locked="0"/>
    </xf>
    <xf numFmtId="3" fontId="2" fillId="0" borderId="47" xfId="0" applyNumberFormat="1" applyFont="1" applyFill="1" applyBorder="1" applyAlignment="1" applyProtection="1">
      <alignment vertical="center" wrapText="1"/>
      <protection locked="0"/>
    </xf>
    <xf numFmtId="0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3" fontId="2" fillId="0" borderId="46" xfId="0" applyNumberFormat="1" applyFont="1" applyFill="1" applyBorder="1" applyAlignment="1" applyProtection="1">
      <alignment vertical="center" wrapText="1"/>
      <protection locked="0"/>
    </xf>
    <xf numFmtId="164" fontId="12" fillId="0" borderId="51" xfId="0" applyNumberFormat="1" applyFont="1" applyFill="1" applyBorder="1" applyAlignment="1" applyProtection="1">
      <alignment vertical="center" wrapText="1"/>
      <protection locked="0"/>
    </xf>
    <xf numFmtId="164" fontId="3" fillId="0" borderId="57" xfId="0" applyNumberFormat="1" applyFont="1" applyFill="1" applyBorder="1" applyAlignment="1" applyProtection="1">
      <alignment vertical="center" wrapText="1"/>
      <protection locked="0"/>
    </xf>
    <xf numFmtId="3" fontId="2" fillId="0" borderId="40" xfId="0" applyNumberFormat="1" applyFont="1" applyFill="1" applyBorder="1" applyAlignment="1" applyProtection="1">
      <alignment vertical="center" wrapText="1"/>
      <protection locked="0"/>
    </xf>
    <xf numFmtId="3" fontId="2" fillId="0" borderId="43" xfId="0" applyNumberFormat="1" applyFont="1" applyFill="1" applyBorder="1" applyAlignment="1" applyProtection="1">
      <alignment vertical="center" wrapText="1"/>
      <protection locked="0"/>
    </xf>
    <xf numFmtId="3" fontId="2" fillId="0" borderId="35" xfId="0" applyNumberFormat="1" applyFont="1" applyFill="1" applyBorder="1" applyAlignment="1" applyProtection="1">
      <alignment vertical="center" wrapText="1"/>
      <protection locked="0"/>
    </xf>
    <xf numFmtId="3" fontId="2" fillId="0" borderId="58" xfId="0" applyNumberFormat="1" applyFont="1" applyFill="1" applyBorder="1" applyAlignment="1" applyProtection="1">
      <alignment vertical="center" wrapText="1"/>
      <protection locked="0"/>
    </xf>
    <xf numFmtId="164" fontId="12" fillId="0" borderId="59" xfId="0" applyNumberFormat="1" applyFont="1" applyFill="1" applyBorder="1" applyAlignment="1" applyProtection="1">
      <alignment vertical="center" wrapText="1"/>
      <protection locked="0"/>
    </xf>
    <xf numFmtId="3" fontId="2" fillId="0" borderId="33" xfId="0" applyNumberFormat="1" applyFont="1" applyFill="1" applyBorder="1" applyAlignment="1" applyProtection="1">
      <alignment vertical="center" wrapText="1"/>
      <protection locked="0"/>
    </xf>
    <xf numFmtId="49" fontId="4" fillId="0" borderId="50" xfId="0" applyNumberFormat="1" applyFont="1" applyFill="1" applyBorder="1" applyAlignment="1" applyProtection="1">
      <alignment horizontal="centerContinuous" vertical="center"/>
      <protection locked="0"/>
    </xf>
    <xf numFmtId="0" fontId="3" fillId="0" borderId="34" xfId="0" applyNumberFormat="1" applyFont="1" applyFill="1" applyBorder="1" applyAlignment="1" applyProtection="1">
      <alignment horizontal="left" vertical="center" wrapText="1"/>
      <protection locked="0"/>
    </xf>
    <xf numFmtId="3" fontId="4" fillId="0" borderId="50" xfId="0" applyNumberFormat="1" applyFont="1" applyFill="1" applyBorder="1" applyAlignment="1" applyProtection="1">
      <alignment vertical="center" wrapText="1"/>
      <protection locked="0"/>
    </xf>
    <xf numFmtId="3" fontId="4" fillId="0" borderId="46" xfId="0" applyNumberFormat="1" applyFont="1" applyFill="1" applyBorder="1" applyAlignment="1" applyProtection="1">
      <alignment vertical="center" wrapText="1"/>
      <protection locked="0"/>
    </xf>
    <xf numFmtId="164" fontId="3" fillId="0" borderId="51" xfId="0" applyNumberFormat="1" applyFont="1" applyFill="1" applyBorder="1" applyAlignment="1" applyProtection="1">
      <alignment vertical="center" wrapText="1"/>
      <protection locked="0"/>
    </xf>
    <xf numFmtId="3" fontId="4" fillId="0" borderId="49" xfId="0" applyNumberFormat="1" applyFont="1" applyFill="1" applyBorder="1" applyAlignment="1" applyProtection="1">
      <alignment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165" fontId="5" fillId="0" borderId="34" xfId="0" applyNumberFormat="1" applyFont="1" applyFill="1" applyBorder="1" applyAlignment="1" applyProtection="1">
      <alignment vertical="center" wrapText="1"/>
      <protection locked="0"/>
    </xf>
    <xf numFmtId="164" fontId="5" fillId="0" borderId="34" xfId="0" applyNumberFormat="1" applyFont="1" applyFill="1" applyBorder="1" applyAlignment="1" applyProtection="1">
      <alignment vertical="center"/>
      <protection locked="0"/>
    </xf>
    <xf numFmtId="0" fontId="3" fillId="0" borderId="53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59" xfId="0" applyNumberFormat="1" applyFont="1" applyFill="1" applyBorder="1" applyAlignment="1" applyProtection="1">
      <alignment vertical="center" wrapText="1"/>
      <protection locked="0"/>
    </xf>
    <xf numFmtId="164" fontId="5" fillId="0" borderId="45" xfId="0" applyNumberFormat="1" applyFont="1" applyFill="1" applyBorder="1" applyAlignment="1" applyProtection="1">
      <alignment vertical="center" wrapText="1"/>
      <protection locked="0"/>
    </xf>
    <xf numFmtId="3" fontId="4" fillId="0" borderId="46" xfId="0" applyNumberFormat="1" applyFont="1" applyFill="1" applyBorder="1" applyAlignment="1" applyProtection="1">
      <alignment vertical="center" wrapText="1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164" fontId="2" fillId="0" borderId="51" xfId="0" applyNumberFormat="1" applyFont="1" applyFill="1" applyBorder="1" applyAlignment="1" applyProtection="1">
      <alignment vertical="center" wrapText="1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165" fontId="2" fillId="0" borderId="34" xfId="0" applyNumberFormat="1" applyFont="1" applyFill="1" applyBorder="1" applyAlignment="1" applyProtection="1">
      <alignment vertical="center" wrapText="1"/>
      <protection locked="0"/>
    </xf>
    <xf numFmtId="164" fontId="2" fillId="0" borderId="34" xfId="0" applyNumberFormat="1" applyFont="1" applyFill="1" applyBorder="1" applyAlignment="1" applyProtection="1">
      <alignment vertical="center"/>
      <protection locked="0"/>
    </xf>
    <xf numFmtId="0" fontId="4" fillId="0" borderId="53" xfId="0" applyNumberFormat="1" applyFont="1" applyFill="1" applyBorder="1" applyAlignment="1" applyProtection="1">
      <alignment vertical="center" wrapText="1"/>
      <protection locked="0"/>
    </xf>
    <xf numFmtId="164" fontId="12" fillId="0" borderId="42" xfId="0" applyNumberFormat="1" applyFont="1" applyFill="1" applyBorder="1" applyAlignment="1" applyProtection="1">
      <alignment vertical="center" wrapText="1"/>
      <protection locked="0"/>
    </xf>
    <xf numFmtId="164" fontId="6" fillId="0" borderId="42" xfId="0" applyNumberFormat="1" applyFont="1" applyFill="1" applyBorder="1" applyAlignment="1" applyProtection="1">
      <alignment vertical="center" wrapText="1"/>
      <protection locked="0"/>
    </xf>
    <xf numFmtId="164" fontId="6" fillId="0" borderId="45" xfId="0" applyNumberFormat="1" applyFont="1" applyFill="1" applyBorder="1" applyAlignment="1" applyProtection="1">
      <alignment vertical="center" wrapText="1"/>
      <protection locked="0"/>
    </xf>
    <xf numFmtId="164" fontId="5" fillId="0" borderId="53" xfId="0" applyNumberFormat="1" applyFont="1" applyFill="1" applyBorder="1" applyAlignment="1" applyProtection="1">
      <alignment vertical="center" wrapText="1"/>
      <protection locked="0"/>
    </xf>
    <xf numFmtId="164" fontId="5" fillId="0" borderId="16" xfId="0" applyNumberFormat="1" applyFont="1" applyFill="1" applyBorder="1" applyAlignment="1" applyProtection="1">
      <alignment vertical="center" wrapText="1"/>
      <protection locked="0"/>
    </xf>
    <xf numFmtId="0" fontId="3" fillId="0" borderId="45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49" xfId="0" applyNumberFormat="1" applyFont="1" applyFill="1" applyBorder="1" applyAlignment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15" xfId="0" applyNumberFormat="1" applyFont="1" applyFill="1" applyBorder="1" applyAlignment="1" applyProtection="1">
      <alignment vertical="center" wrapText="1"/>
      <protection locked="0"/>
    </xf>
    <xf numFmtId="0" fontId="4" fillId="0" borderId="45" xfId="0" applyNumberFormat="1" applyFont="1" applyFill="1" applyBorder="1" applyAlignment="1" applyProtection="1">
      <alignment vertical="center" wrapText="1"/>
      <protection locked="0"/>
    </xf>
    <xf numFmtId="3" fontId="4" fillId="0" borderId="47" xfId="0" applyNumberFormat="1" applyFont="1" applyFill="1" applyBorder="1" applyAlignment="1" applyProtection="1">
      <alignment vertical="center" wrapText="1"/>
      <protection locked="0"/>
    </xf>
    <xf numFmtId="3" fontId="4" fillId="0" borderId="49" xfId="0" applyNumberFormat="1" applyFont="1" applyFill="1" applyBorder="1" applyAlignment="1" applyProtection="1">
      <alignment vertical="center" wrapText="1"/>
      <protection locked="0"/>
    </xf>
    <xf numFmtId="49" fontId="4" fillId="0" borderId="20" xfId="0" applyNumberFormat="1" applyFont="1" applyFill="1" applyBorder="1" applyAlignment="1" applyProtection="1">
      <alignment horizontal="centerContinuous" vertical="center"/>
      <protection locked="0"/>
    </xf>
    <xf numFmtId="0" fontId="4" fillId="0" borderId="39" xfId="0" applyNumberFormat="1" applyFont="1" applyFill="1" applyBorder="1" applyAlignment="1" applyProtection="1">
      <alignment vertical="center" wrapText="1"/>
      <protection locked="0"/>
    </xf>
    <xf numFmtId="3" fontId="4" fillId="0" borderId="20" xfId="0" applyNumberFormat="1" applyFont="1" applyFill="1" applyBorder="1" applyAlignment="1" applyProtection="1">
      <alignment vertical="center" wrapText="1"/>
      <protection locked="0"/>
    </xf>
    <xf numFmtId="3" fontId="4" fillId="0" borderId="38" xfId="0" applyNumberFormat="1" applyFont="1" applyFill="1" applyBorder="1" applyAlignment="1" applyProtection="1">
      <alignment vertical="center" wrapText="1"/>
      <protection locked="0"/>
    </xf>
    <xf numFmtId="164" fontId="3" fillId="0" borderId="39" xfId="0" applyNumberFormat="1" applyFont="1" applyFill="1" applyBorder="1" applyAlignment="1" applyProtection="1">
      <alignment vertical="center" wrapText="1"/>
      <protection locked="0"/>
    </xf>
    <xf numFmtId="3" fontId="4" fillId="0" borderId="37" xfId="0" applyNumberFormat="1" applyFont="1" applyFill="1" applyBorder="1" applyAlignment="1" applyProtection="1">
      <alignment vertical="center" wrapText="1"/>
      <protection locked="0"/>
    </xf>
    <xf numFmtId="3" fontId="4" fillId="0" borderId="38" xfId="0" applyNumberFormat="1" applyFont="1" applyFill="1" applyBorder="1" applyAlignment="1" applyProtection="1">
      <alignment vertical="center"/>
      <protection locked="0"/>
    </xf>
    <xf numFmtId="165" fontId="5" fillId="0" borderId="39" xfId="0" applyNumberFormat="1" applyFont="1" applyFill="1" applyBorder="1" applyAlignment="1" applyProtection="1">
      <alignment vertical="center" wrapText="1"/>
      <protection locked="0"/>
    </xf>
    <xf numFmtId="3" fontId="4" fillId="0" borderId="37" xfId="0" applyNumberFormat="1" applyFont="1" applyFill="1" applyBorder="1" applyAlignment="1" applyProtection="1">
      <alignment vertical="center"/>
      <protection locked="0"/>
    </xf>
    <xf numFmtId="3" fontId="4" fillId="0" borderId="38" xfId="0" applyNumberFormat="1" applyFont="1" applyFill="1" applyBorder="1" applyAlignment="1" applyProtection="1">
      <alignment vertical="center"/>
      <protection locked="0"/>
    </xf>
    <xf numFmtId="164" fontId="5" fillId="0" borderId="39" xfId="0" applyNumberFormat="1" applyFont="1" applyFill="1" applyBorder="1" applyAlignment="1" applyProtection="1">
      <alignment vertical="center"/>
      <protection locked="0"/>
    </xf>
    <xf numFmtId="0" fontId="12" fillId="0" borderId="42" xfId="0" applyNumberFormat="1" applyFont="1" applyFill="1" applyBorder="1" applyAlignment="1" applyProtection="1">
      <alignment vertical="center" wrapText="1"/>
      <protection locked="0"/>
    </xf>
    <xf numFmtId="164" fontId="12" fillId="0" borderId="42" xfId="0" applyNumberFormat="1" applyFont="1" applyFill="1" applyBorder="1" applyAlignment="1" applyProtection="1">
      <alignment vertical="center"/>
      <protection locked="0"/>
    </xf>
    <xf numFmtId="3" fontId="2" fillId="0" borderId="43" xfId="0" applyNumberFormat="1" applyFont="1" applyFill="1" applyBorder="1" applyAlignment="1" applyProtection="1">
      <alignment vertical="center" wrapText="1"/>
      <protection locked="0"/>
    </xf>
    <xf numFmtId="165" fontId="6" fillId="0" borderId="42" xfId="0" applyNumberFormat="1" applyFont="1" applyFill="1" applyBorder="1" applyAlignment="1" applyProtection="1">
      <alignment vertical="center" wrapText="1"/>
      <protection locked="0"/>
    </xf>
    <xf numFmtId="49" fontId="2" fillId="0" borderId="44" xfId="0" applyNumberFormat="1" applyFont="1" applyFill="1" applyBorder="1" applyAlignment="1" applyProtection="1">
      <alignment horizontal="centerContinuous" vertical="center"/>
      <protection locked="0"/>
    </xf>
    <xf numFmtId="0" fontId="2" fillId="0" borderId="45" xfId="0" applyNumberFormat="1" applyFont="1" applyFill="1" applyBorder="1" applyAlignment="1" applyProtection="1">
      <alignment vertical="center" wrapText="1"/>
      <protection locked="0"/>
    </xf>
    <xf numFmtId="3" fontId="2" fillId="0" borderId="44" xfId="0" applyNumberFormat="1" applyFont="1" applyFill="1" applyBorder="1" applyAlignment="1" applyProtection="1">
      <alignment vertical="center" wrapText="1"/>
      <protection locked="0"/>
    </xf>
    <xf numFmtId="3" fontId="2" fillId="0" borderId="48" xfId="0" applyNumberFormat="1" applyFont="1" applyFill="1" applyBorder="1" applyAlignment="1" applyProtection="1">
      <alignment vertical="center" wrapText="1"/>
      <protection locked="0"/>
    </xf>
    <xf numFmtId="164" fontId="12" fillId="0" borderId="45" xfId="0" applyNumberFormat="1" applyFont="1" applyFill="1" applyBorder="1" applyAlignment="1" applyProtection="1">
      <alignment vertical="center"/>
      <protection locked="0"/>
    </xf>
    <xf numFmtId="3" fontId="2" fillId="0" borderId="47" xfId="0" applyNumberFormat="1" applyFont="1" applyFill="1" applyBorder="1" applyAlignment="1" applyProtection="1">
      <alignment vertical="center" wrapText="1"/>
      <protection locked="0"/>
    </xf>
    <xf numFmtId="165" fontId="6" fillId="0" borderId="45" xfId="0" applyNumberFormat="1" applyFont="1" applyFill="1" applyBorder="1" applyAlignment="1" applyProtection="1">
      <alignment vertical="center" wrapText="1"/>
      <protection locked="0"/>
    </xf>
    <xf numFmtId="164" fontId="6" fillId="0" borderId="45" xfId="0" applyNumberFormat="1" applyFont="1" applyFill="1" applyBorder="1" applyAlignment="1" applyProtection="1">
      <alignment vertical="center"/>
      <protection locked="0"/>
    </xf>
    <xf numFmtId="164" fontId="3" fillId="0" borderId="53" xfId="0" applyNumberFormat="1" applyFont="1" applyFill="1" applyBorder="1" applyAlignment="1" applyProtection="1">
      <alignment vertical="center"/>
      <protection locked="0"/>
    </xf>
    <xf numFmtId="3" fontId="4" fillId="0" borderId="55" xfId="0" applyNumberFormat="1" applyFont="1" applyFill="1" applyBorder="1" applyAlignment="1" applyProtection="1">
      <alignment vertical="center" wrapText="1"/>
      <protection locked="0"/>
    </xf>
    <xf numFmtId="165" fontId="5" fillId="0" borderId="42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/>
    </xf>
    <xf numFmtId="0" fontId="0" fillId="0" borderId="26" xfId="0" applyBorder="1" applyAlignment="1">
      <alignment/>
    </xf>
    <xf numFmtId="164" fontId="5" fillId="0" borderId="34" xfId="0" applyNumberFormat="1" applyFont="1" applyFill="1" applyBorder="1" applyAlignment="1" applyProtection="1">
      <alignment vertical="center" wrapText="1"/>
      <protection locked="0"/>
    </xf>
    <xf numFmtId="164" fontId="12" fillId="0" borderId="34" xfId="0" applyNumberFormat="1" applyFont="1" applyFill="1" applyBorder="1" applyAlignment="1" applyProtection="1">
      <alignment vertical="center" wrapText="1"/>
      <protection locked="0"/>
    </xf>
    <xf numFmtId="164" fontId="6" fillId="0" borderId="34" xfId="0" applyNumberFormat="1" applyFont="1" applyFill="1" applyBorder="1" applyAlignment="1" applyProtection="1">
      <alignment vertical="center" wrapText="1"/>
      <protection locked="0"/>
    </xf>
    <xf numFmtId="0" fontId="12" fillId="0" borderId="42" xfId="0" applyNumberFormat="1" applyFont="1" applyFill="1" applyBorder="1" applyAlignment="1" applyProtection="1">
      <alignment vertical="center" wrapText="1"/>
      <protection locked="0"/>
    </xf>
    <xf numFmtId="3" fontId="2" fillId="0" borderId="60" xfId="0" applyNumberFormat="1" applyFont="1" applyFill="1" applyBorder="1" applyAlignment="1" applyProtection="1">
      <alignment vertical="center"/>
      <protection locked="0"/>
    </xf>
    <xf numFmtId="49" fontId="12" fillId="0" borderId="5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34" xfId="0" applyNumberFormat="1" applyFont="1" applyFill="1" applyBorder="1" applyAlignment="1" applyProtection="1">
      <alignment vertical="center" wrapText="1"/>
      <protection locked="0"/>
    </xf>
    <xf numFmtId="3" fontId="2" fillId="0" borderId="5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Alignment="1">
      <alignment/>
    </xf>
    <xf numFmtId="3" fontId="4" fillId="0" borderId="48" xfId="0" applyNumberFormat="1" applyFont="1" applyFill="1" applyBorder="1" applyAlignment="1" applyProtection="1">
      <alignment vertical="center" wrapText="1"/>
      <protection locked="0"/>
    </xf>
    <xf numFmtId="49" fontId="4" fillId="0" borderId="55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45" xfId="0" applyNumberFormat="1" applyFont="1" applyFill="1" applyBorder="1" applyAlignment="1" applyProtection="1">
      <alignment vertical="center" wrapText="1"/>
      <protection locked="0"/>
    </xf>
    <xf numFmtId="165" fontId="5" fillId="0" borderId="34" xfId="0" applyNumberFormat="1" applyFont="1" applyFill="1" applyBorder="1" applyAlignment="1" applyProtection="1">
      <alignment vertical="center" wrapText="1"/>
      <protection locked="0"/>
    </xf>
    <xf numFmtId="165" fontId="5" fillId="0" borderId="34" xfId="0" applyNumberFormat="1" applyFont="1" applyFill="1" applyBorder="1" applyAlignment="1" applyProtection="1">
      <alignment vertical="center"/>
      <protection locked="0"/>
    </xf>
    <xf numFmtId="164" fontId="12" fillId="0" borderId="27" xfId="0" applyNumberFormat="1" applyFont="1" applyFill="1" applyBorder="1" applyAlignment="1" applyProtection="1">
      <alignment vertical="center" wrapText="1"/>
      <protection locked="0"/>
    </xf>
    <xf numFmtId="165" fontId="6" fillId="0" borderId="16" xfId="0" applyNumberFormat="1" applyFont="1" applyFill="1" applyBorder="1" applyAlignment="1" applyProtection="1">
      <alignment vertical="center" wrapText="1"/>
      <protection locked="0"/>
    </xf>
    <xf numFmtId="3" fontId="2" fillId="0" borderId="61" xfId="0" applyNumberFormat="1" applyFont="1" applyFill="1" applyBorder="1" applyAlignment="1" applyProtection="1">
      <alignment vertical="center" wrapText="1"/>
      <protection locked="0"/>
    </xf>
    <xf numFmtId="3" fontId="4" fillId="0" borderId="61" xfId="0" applyNumberFormat="1" applyFont="1" applyFill="1" applyBorder="1" applyAlignment="1" applyProtection="1">
      <alignment vertical="center" wrapText="1"/>
      <protection locked="0"/>
    </xf>
    <xf numFmtId="49" fontId="2" fillId="0" borderId="49" xfId="0" applyNumberFormat="1" applyFont="1" applyFill="1" applyBorder="1" applyAlignment="1" applyProtection="1">
      <alignment horizontal="centerContinuous" vertical="center"/>
      <protection locked="0"/>
    </xf>
    <xf numFmtId="3" fontId="2" fillId="0" borderId="55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164" fontId="6" fillId="0" borderId="53" xfId="0" applyNumberFormat="1" applyFont="1" applyFill="1" applyBorder="1" applyAlignment="1" applyProtection="1">
      <alignment vertical="center"/>
      <protection locked="0"/>
    </xf>
    <xf numFmtId="165" fontId="6" fillId="0" borderId="53" xfId="0" applyNumberFormat="1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6" xfId="0" applyNumberFormat="1" applyFont="1" applyFill="1" applyBorder="1" applyAlignment="1" applyProtection="1">
      <alignment vertical="center" wrapText="1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35" xfId="0" applyNumberFormat="1" applyFont="1" applyFill="1" applyBorder="1" applyAlignment="1" applyProtection="1">
      <alignment vertical="center"/>
      <protection locked="0"/>
    </xf>
    <xf numFmtId="165" fontId="6" fillId="0" borderId="36" xfId="0" applyNumberFormat="1" applyFont="1" applyFill="1" applyBorder="1" applyAlignment="1" applyProtection="1">
      <alignment vertical="center" wrapText="1"/>
      <protection locked="0"/>
    </xf>
    <xf numFmtId="164" fontId="6" fillId="0" borderId="36" xfId="0" applyNumberFormat="1" applyFont="1" applyFill="1" applyBorder="1" applyAlignment="1" applyProtection="1">
      <alignment vertical="center" wrapText="1"/>
      <protection locked="0"/>
    </xf>
    <xf numFmtId="165" fontId="6" fillId="0" borderId="36" xfId="0" applyNumberFormat="1" applyFont="1" applyFill="1" applyBorder="1" applyAlignment="1" applyProtection="1">
      <alignment vertical="center"/>
      <protection locked="0"/>
    </xf>
    <xf numFmtId="0" fontId="4" fillId="0" borderId="4" xfId="0" applyNumberFormat="1" applyFont="1" applyFill="1" applyBorder="1" applyAlignment="1" applyProtection="1">
      <alignment vertical="center" wrapText="1"/>
      <protection locked="0"/>
    </xf>
    <xf numFmtId="165" fontId="5" fillId="0" borderId="34" xfId="0" applyNumberFormat="1" applyFont="1" applyFill="1" applyBorder="1" applyAlignment="1" applyProtection="1">
      <alignment vertical="center"/>
      <protection locked="0"/>
    </xf>
    <xf numFmtId="165" fontId="5" fillId="0" borderId="45" xfId="0" applyNumberFormat="1" applyFont="1" applyFill="1" applyBorder="1" applyAlignment="1" applyProtection="1">
      <alignment vertical="center"/>
      <protection locked="0"/>
    </xf>
    <xf numFmtId="49" fontId="2" fillId="0" borderId="50" xfId="0" applyNumberFormat="1" applyFont="1" applyFill="1" applyBorder="1" applyAlignment="1" applyProtection="1">
      <alignment horizontal="centerContinuous" vertical="center"/>
      <protection locked="0"/>
    </xf>
    <xf numFmtId="0" fontId="2" fillId="0" borderId="34" xfId="0" applyNumberFormat="1" applyFont="1" applyFill="1" applyBorder="1" applyAlignment="1" applyProtection="1">
      <alignment vertical="center" wrapText="1"/>
      <protection locked="0"/>
    </xf>
    <xf numFmtId="3" fontId="2" fillId="0" borderId="50" xfId="0" applyNumberFormat="1" applyFont="1" applyFill="1" applyBorder="1" applyAlignment="1" applyProtection="1">
      <alignment vertical="center" wrapText="1"/>
      <protection locked="0"/>
    </xf>
    <xf numFmtId="3" fontId="2" fillId="0" borderId="49" xfId="0" applyNumberFormat="1" applyFont="1" applyFill="1" applyBorder="1" applyAlignment="1" applyProtection="1">
      <alignment vertical="center" wrapText="1"/>
      <protection locked="0"/>
    </xf>
    <xf numFmtId="164" fontId="6" fillId="0" borderId="34" xfId="0" applyNumberFormat="1" applyFont="1" applyFill="1" applyBorder="1" applyAlignment="1" applyProtection="1">
      <alignment vertical="center"/>
      <protection locked="0"/>
    </xf>
    <xf numFmtId="165" fontId="6" fillId="0" borderId="34" xfId="0" applyNumberFormat="1" applyFont="1" applyFill="1" applyBorder="1" applyAlignment="1" applyProtection="1">
      <alignment vertical="center" wrapText="1"/>
      <protection locked="0"/>
    </xf>
    <xf numFmtId="165" fontId="6" fillId="0" borderId="34" xfId="0" applyNumberFormat="1" applyFont="1" applyFill="1" applyBorder="1" applyAlignment="1" applyProtection="1">
      <alignment vertical="center"/>
      <protection locked="0"/>
    </xf>
    <xf numFmtId="3" fontId="4" fillId="0" borderId="3" xfId="0" applyNumberFormat="1" applyFont="1" applyFill="1" applyBorder="1" applyAlignment="1" applyProtection="1">
      <alignment vertical="center"/>
      <protection locked="0"/>
    </xf>
    <xf numFmtId="3" fontId="4" fillId="0" borderId="62" xfId="0" applyNumberFormat="1" applyFont="1" applyFill="1" applyBorder="1" applyAlignment="1" applyProtection="1">
      <alignment vertical="center"/>
      <protection locked="0"/>
    </xf>
    <xf numFmtId="0" fontId="19" fillId="0" borderId="63" xfId="0" applyNumberFormat="1" applyFont="1" applyFill="1" applyBorder="1" applyAlignment="1" applyProtection="1">
      <alignment horizontal="center" vertical="center"/>
      <protection locked="0"/>
    </xf>
    <xf numFmtId="0" fontId="19" fillId="0" borderId="64" xfId="0" applyNumberFormat="1" applyFont="1" applyFill="1" applyBorder="1" applyAlignment="1" applyProtection="1">
      <alignment horizontal="left" vertical="center" wrapText="1"/>
      <protection locked="0"/>
    </xf>
    <xf numFmtId="3" fontId="3" fillId="0" borderId="50" xfId="0" applyNumberFormat="1" applyFont="1" applyFill="1" applyBorder="1" applyAlignment="1" applyProtection="1">
      <alignment vertical="center" wrapText="1"/>
      <protection locked="0"/>
    </xf>
    <xf numFmtId="3" fontId="3" fillId="0" borderId="64" xfId="0" applyNumberFormat="1" applyFont="1" applyFill="1" applyBorder="1" applyAlignment="1" applyProtection="1">
      <alignment vertical="center"/>
      <protection locked="0"/>
    </xf>
    <xf numFmtId="3" fontId="3" fillId="0" borderId="46" xfId="0" applyNumberFormat="1" applyFont="1" applyFill="1" applyBorder="1" applyAlignment="1" applyProtection="1">
      <alignment vertical="center"/>
      <protection locked="0"/>
    </xf>
    <xf numFmtId="165" fontId="3" fillId="0" borderId="34" xfId="0" applyNumberFormat="1" applyFont="1" applyFill="1" applyBorder="1" applyAlignment="1" applyProtection="1">
      <alignment vertical="center" wrapText="1"/>
      <protection locked="0"/>
    </xf>
    <xf numFmtId="3" fontId="3" fillId="0" borderId="49" xfId="0" applyNumberFormat="1" applyFont="1" applyFill="1" applyBorder="1" applyAlignment="1" applyProtection="1">
      <alignment vertical="center"/>
      <protection locked="0"/>
    </xf>
    <xf numFmtId="164" fontId="3" fillId="0" borderId="34" xfId="0" applyNumberFormat="1" applyFont="1" applyFill="1" applyBorder="1" applyAlignment="1" applyProtection="1">
      <alignment vertical="center"/>
      <protection locked="0"/>
    </xf>
    <xf numFmtId="165" fontId="3" fillId="0" borderId="3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/>
    </xf>
    <xf numFmtId="0" fontId="12" fillId="0" borderId="45" xfId="0" applyNumberFormat="1" applyFont="1" applyFill="1" applyBorder="1" applyAlignment="1" applyProtection="1">
      <alignment vertical="center" wrapText="1"/>
      <protection locked="0"/>
    </xf>
    <xf numFmtId="0" fontId="2" fillId="0" borderId="65" xfId="0" applyNumberFormat="1" applyFont="1" applyFill="1" applyBorder="1" applyAlignment="1" applyProtection="1">
      <alignment horizontal="left" vertical="center" wrapText="1"/>
      <protection locked="0"/>
    </xf>
    <xf numFmtId="3" fontId="4" fillId="0" borderId="56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3" fontId="4" fillId="0" borderId="56" xfId="0" applyNumberFormat="1" applyFont="1" applyFill="1" applyBorder="1" applyAlignment="1" applyProtection="1">
      <alignment vertical="center"/>
      <protection locked="0"/>
    </xf>
    <xf numFmtId="49" fontId="2" fillId="0" borderId="43" xfId="0" applyNumberFormat="1" applyFont="1" applyFill="1" applyBorder="1" applyAlignment="1" applyProtection="1">
      <alignment horizontal="centerContinuous" vertical="center"/>
      <protection locked="0"/>
    </xf>
    <xf numFmtId="49" fontId="2" fillId="0" borderId="35" xfId="0" applyNumberFormat="1" applyFont="1" applyFill="1" applyBorder="1" applyAlignment="1" applyProtection="1">
      <alignment horizontal="centerContinuous" vertical="center"/>
      <protection locked="0"/>
    </xf>
    <xf numFmtId="0" fontId="2" fillId="0" borderId="32" xfId="0" applyNumberFormat="1" applyFont="1" applyFill="1" applyBorder="1" applyAlignment="1" applyProtection="1">
      <alignment vertical="center" wrapText="1"/>
      <protection locked="0"/>
    </xf>
    <xf numFmtId="3" fontId="2" fillId="0" borderId="12" xfId="0" applyNumberFormat="1" applyFont="1" applyFill="1" applyBorder="1" applyAlignment="1" applyProtection="1">
      <alignment vertical="center" wrapText="1"/>
      <protection locked="0"/>
    </xf>
    <xf numFmtId="164" fontId="12" fillId="0" borderId="36" xfId="0" applyNumberFormat="1" applyFont="1" applyFill="1" applyBorder="1" applyAlignment="1" applyProtection="1">
      <alignment vertical="center" wrapText="1"/>
      <protection locked="0"/>
    </xf>
    <xf numFmtId="49" fontId="4" fillId="0" borderId="15" xfId="0" applyNumberFormat="1" applyFont="1" applyFill="1" applyBorder="1" applyAlignment="1" applyProtection="1">
      <alignment horizontal="centerContinuous" vertical="center"/>
      <protection locked="0"/>
    </xf>
    <xf numFmtId="0" fontId="0" fillId="0" borderId="0" xfId="0" applyFont="1" applyAlignment="1">
      <alignment/>
    </xf>
    <xf numFmtId="3" fontId="4" fillId="0" borderId="3" xfId="0" applyNumberFormat="1" applyFont="1" applyFill="1" applyBorder="1" applyAlignment="1" applyProtection="1">
      <alignment vertical="center" wrapText="1"/>
      <protection locked="0"/>
    </xf>
    <xf numFmtId="0" fontId="2" fillId="0" borderId="65" xfId="0" applyNumberFormat="1" applyFont="1" applyFill="1" applyBorder="1" applyAlignment="1" applyProtection="1">
      <alignment vertical="center" wrapText="1"/>
      <protection locked="0"/>
    </xf>
    <xf numFmtId="164" fontId="6" fillId="0" borderId="34" xfId="0" applyNumberFormat="1" applyFont="1" applyFill="1" applyBorder="1" applyAlignment="1" applyProtection="1">
      <alignment vertical="center" wrapText="1"/>
      <protection locked="0"/>
    </xf>
    <xf numFmtId="49" fontId="4" fillId="0" borderId="49" xfId="0" applyNumberFormat="1" applyFont="1" applyFill="1" applyBorder="1" applyAlignment="1" applyProtection="1">
      <alignment horizontal="centerContinuous" vertical="center"/>
      <protection locked="0"/>
    </xf>
    <xf numFmtId="165" fontId="12" fillId="0" borderId="34" xfId="0" applyNumberFormat="1" applyFont="1" applyFill="1" applyBorder="1" applyAlignment="1" applyProtection="1">
      <alignment vertical="center" wrapText="1"/>
      <protection locked="0"/>
    </xf>
    <xf numFmtId="3" fontId="2" fillId="0" borderId="55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49" fontId="4" fillId="0" borderId="47" xfId="0" applyNumberFormat="1" applyFont="1" applyFill="1" applyBorder="1" applyAlignment="1" applyProtection="1">
      <alignment horizontal="centerContinuous" vertical="center"/>
      <protection locked="0"/>
    </xf>
    <xf numFmtId="0" fontId="3" fillId="0" borderId="66" xfId="0" applyNumberFormat="1" applyFont="1" applyFill="1" applyBorder="1" applyAlignment="1" applyProtection="1">
      <alignment vertical="center" wrapText="1"/>
      <protection locked="0"/>
    </xf>
    <xf numFmtId="3" fontId="2" fillId="0" borderId="64" xfId="0" applyNumberFormat="1" applyFont="1" applyFill="1" applyBorder="1" applyAlignment="1" applyProtection="1">
      <alignment vertical="center"/>
      <protection locked="0"/>
    </xf>
    <xf numFmtId="0" fontId="3" fillId="0" borderId="67" xfId="0" applyNumberFormat="1" applyFont="1" applyFill="1" applyBorder="1" applyAlignment="1" applyProtection="1">
      <alignment vertical="center" wrapText="1"/>
      <protection locked="0"/>
    </xf>
    <xf numFmtId="0" fontId="3" fillId="0" borderId="65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65" xfId="0" applyNumberFormat="1" applyFont="1" applyFill="1" applyBorder="1" applyAlignment="1" applyProtection="1">
      <alignment vertical="center" wrapText="1"/>
      <protection locked="0"/>
    </xf>
    <xf numFmtId="0" fontId="3" fillId="0" borderId="65" xfId="0" applyNumberFormat="1" applyFont="1" applyFill="1" applyBorder="1" applyAlignment="1" applyProtection="1">
      <alignment vertical="center" wrapText="1"/>
      <protection locked="0"/>
    </xf>
    <xf numFmtId="0" fontId="4" fillId="0" borderId="67" xfId="0" applyNumberFormat="1" applyFont="1" applyFill="1" applyBorder="1" applyAlignment="1" applyProtection="1">
      <alignment vertical="center" wrapText="1"/>
      <protection locked="0"/>
    </xf>
    <xf numFmtId="3" fontId="4" fillId="0" borderId="52" xfId="0" applyNumberFormat="1" applyFont="1" applyFill="1" applyBorder="1" applyAlignment="1" applyProtection="1">
      <alignment vertical="center"/>
      <protection locked="0"/>
    </xf>
    <xf numFmtId="3" fontId="2" fillId="0" borderId="65" xfId="0" applyNumberFormat="1" applyFont="1" applyFill="1" applyBorder="1" applyAlignment="1" applyProtection="1">
      <alignment vertical="center" wrapText="1"/>
      <protection locked="0"/>
    </xf>
    <xf numFmtId="0" fontId="4" fillId="0" borderId="66" xfId="0" applyNumberFormat="1" applyFont="1" applyFill="1" applyBorder="1" applyAlignment="1" applyProtection="1">
      <alignment vertical="center" wrapText="1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65" fontId="5" fillId="0" borderId="53" xfId="0" applyNumberFormat="1" applyFont="1" applyFill="1" applyBorder="1" applyAlignment="1" applyProtection="1">
      <alignment vertical="center" wrapText="1"/>
      <protection locked="0"/>
    </xf>
    <xf numFmtId="164" fontId="5" fillId="0" borderId="59" xfId="0" applyNumberFormat="1" applyFont="1" applyFill="1" applyBorder="1" applyAlignment="1" applyProtection="1">
      <alignment vertical="center" wrapText="1"/>
      <protection locked="0"/>
    </xf>
    <xf numFmtId="0" fontId="12" fillId="0" borderId="65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49" xfId="0" applyNumberFormat="1" applyFont="1" applyBorder="1" applyAlignment="1">
      <alignment vertical="center"/>
    </xf>
    <xf numFmtId="3" fontId="21" fillId="0" borderId="46" xfId="0" applyNumberFormat="1" applyFont="1" applyBorder="1" applyAlignment="1">
      <alignment vertical="center"/>
    </xf>
    <xf numFmtId="165" fontId="22" fillId="0" borderId="34" xfId="0" applyNumberFormat="1" applyFont="1" applyBorder="1" applyAlignment="1">
      <alignment vertical="center"/>
    </xf>
    <xf numFmtId="0" fontId="4" fillId="0" borderId="65" xfId="0" applyNumberFormat="1" applyFont="1" applyFill="1" applyBorder="1" applyAlignment="1" applyProtection="1">
      <alignment vertical="center" wrapText="1"/>
      <protection locked="0"/>
    </xf>
    <xf numFmtId="3" fontId="21" fillId="0" borderId="15" xfId="0" applyNumberFormat="1" applyFont="1" applyBorder="1" applyAlignment="1">
      <alignment vertical="center"/>
    </xf>
    <xf numFmtId="3" fontId="21" fillId="0" borderId="6" xfId="0" applyNumberFormat="1" applyFont="1" applyBorder="1" applyAlignment="1">
      <alignment vertical="center"/>
    </xf>
    <xf numFmtId="165" fontId="22" fillId="0" borderId="16" xfId="0" applyNumberFormat="1" applyFont="1" applyBorder="1" applyAlignment="1">
      <alignment vertical="center"/>
    </xf>
    <xf numFmtId="3" fontId="21" fillId="0" borderId="47" xfId="0" applyNumberFormat="1" applyFont="1" applyBorder="1" applyAlignment="1">
      <alignment vertical="center"/>
    </xf>
    <xf numFmtId="3" fontId="21" fillId="0" borderId="48" xfId="0" applyNumberFormat="1" applyFont="1" applyBorder="1" applyAlignment="1">
      <alignment vertical="center"/>
    </xf>
    <xf numFmtId="165" fontId="22" fillId="0" borderId="45" xfId="0" applyNumberFormat="1" applyFont="1" applyBorder="1" applyAlignment="1">
      <alignment vertical="center"/>
    </xf>
    <xf numFmtId="0" fontId="2" fillId="0" borderId="46" xfId="0" applyNumberFormat="1" applyFont="1" applyFill="1" applyBorder="1" applyAlignment="1" applyProtection="1">
      <alignment vertical="center" wrapText="1"/>
      <protection locked="0"/>
    </xf>
    <xf numFmtId="3" fontId="23" fillId="0" borderId="49" xfId="0" applyNumberFormat="1" applyFont="1" applyBorder="1" applyAlignment="1">
      <alignment vertical="center"/>
    </xf>
    <xf numFmtId="3" fontId="23" fillId="0" borderId="46" xfId="0" applyNumberFormat="1" applyFont="1" applyBorder="1" applyAlignment="1">
      <alignment vertical="center"/>
    </xf>
    <xf numFmtId="165" fontId="22" fillId="0" borderId="34" xfId="0" applyNumberFormat="1" applyFont="1" applyBorder="1" applyAlignment="1">
      <alignment vertical="center"/>
    </xf>
    <xf numFmtId="49" fontId="2" fillId="0" borderId="24" xfId="0" applyNumberFormat="1" applyFont="1" applyFill="1" applyBorder="1" applyAlignment="1" applyProtection="1">
      <alignment horizontal="centerContinuous" vertical="center"/>
      <protection locked="0"/>
    </xf>
    <xf numFmtId="0" fontId="2" fillId="0" borderId="68" xfId="0" applyNumberFormat="1" applyFont="1" applyFill="1" applyBorder="1" applyAlignment="1" applyProtection="1">
      <alignment vertical="center" wrapText="1"/>
      <protection locked="0"/>
    </xf>
    <xf numFmtId="3" fontId="2" fillId="0" borderId="17" xfId="0" applyNumberFormat="1" applyFont="1" applyFill="1" applyBorder="1" applyAlignment="1" applyProtection="1">
      <alignment vertical="center" wrapText="1"/>
      <protection locked="0"/>
    </xf>
    <xf numFmtId="3" fontId="2" fillId="0" borderId="56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 applyProtection="1">
      <alignment vertical="center" wrapText="1"/>
      <protection locked="0"/>
    </xf>
    <xf numFmtId="165" fontId="6" fillId="0" borderId="25" xfId="0" applyNumberFormat="1" applyFont="1" applyFill="1" applyBorder="1" applyAlignment="1" applyProtection="1">
      <alignment vertical="center" wrapText="1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3" fontId="2" fillId="0" borderId="56" xfId="0" applyNumberFormat="1" applyFont="1" applyFill="1" applyBorder="1" applyAlignment="1" applyProtection="1">
      <alignment vertical="center"/>
      <protection locked="0"/>
    </xf>
    <xf numFmtId="164" fontId="5" fillId="0" borderId="25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 locked="0"/>
    </xf>
    <xf numFmtId="164" fontId="5" fillId="0" borderId="36" xfId="0" applyNumberFormat="1" applyFont="1" applyFill="1" applyBorder="1" applyAlignment="1" applyProtection="1">
      <alignment vertical="center"/>
      <protection locked="0"/>
    </xf>
    <xf numFmtId="0" fontId="5" fillId="0" borderId="66" xfId="0" applyNumberFormat="1" applyFont="1" applyFill="1" applyBorder="1" applyAlignment="1" applyProtection="1">
      <alignment vertical="center" wrapText="1"/>
      <protection locked="0"/>
    </xf>
    <xf numFmtId="164" fontId="3" fillId="0" borderId="53" xfId="0" applyNumberFormat="1" applyFont="1" applyFill="1" applyBorder="1" applyAlignment="1" applyProtection="1">
      <alignment vertical="center" wrapText="1"/>
      <protection locked="0"/>
    </xf>
    <xf numFmtId="49" fontId="15" fillId="0" borderId="15" xfId="0" applyNumberFormat="1" applyFont="1" applyFill="1" applyBorder="1" applyAlignment="1" applyProtection="1">
      <alignment horizontal="centerContinuous" vertical="center"/>
      <protection locked="0"/>
    </xf>
    <xf numFmtId="0" fontId="24" fillId="0" borderId="4" xfId="0" applyNumberFormat="1" applyFont="1" applyFill="1" applyBorder="1" applyAlignment="1" applyProtection="1">
      <alignment vertical="center" wrapText="1"/>
      <protection locked="0"/>
    </xf>
    <xf numFmtId="3" fontId="15" fillId="0" borderId="26" xfId="0" applyNumberFormat="1" applyFont="1" applyFill="1" applyBorder="1" applyAlignment="1" applyProtection="1">
      <alignment vertical="center" wrapText="1"/>
      <protection locked="0"/>
    </xf>
    <xf numFmtId="3" fontId="15" fillId="0" borderId="6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3" fontId="15" fillId="0" borderId="15" xfId="0" applyNumberFormat="1" applyFont="1" applyFill="1" applyBorder="1" applyAlignment="1" applyProtection="1">
      <alignment vertical="center"/>
      <protection locked="0"/>
    </xf>
    <xf numFmtId="3" fontId="15" fillId="0" borderId="6" xfId="0" applyNumberFormat="1" applyFont="1" applyFill="1" applyBorder="1" applyAlignment="1" applyProtection="1">
      <alignment vertical="center"/>
      <protection locked="0"/>
    </xf>
    <xf numFmtId="165" fontId="17" fillId="0" borderId="16" xfId="0" applyNumberFormat="1" applyFont="1" applyFill="1" applyBorder="1" applyAlignment="1" applyProtection="1">
      <alignment vertical="center" wrapText="1"/>
      <protection locked="0"/>
    </xf>
    <xf numFmtId="3" fontId="15" fillId="0" borderId="15" xfId="0" applyNumberFormat="1" applyFont="1" applyFill="1" applyBorder="1" applyAlignment="1" applyProtection="1">
      <alignment vertical="center"/>
      <protection locked="0"/>
    </xf>
    <xf numFmtId="3" fontId="15" fillId="0" borderId="6" xfId="0" applyNumberFormat="1" applyFont="1" applyFill="1" applyBorder="1" applyAlignment="1" applyProtection="1">
      <alignment vertical="center"/>
      <protection locked="0"/>
    </xf>
    <xf numFmtId="164" fontId="17" fillId="0" borderId="16" xfId="0" applyNumberFormat="1" applyFont="1" applyFill="1" applyBorder="1" applyAlignment="1" applyProtection="1">
      <alignment vertical="center"/>
      <protection locked="0"/>
    </xf>
    <xf numFmtId="165" fontId="17" fillId="0" borderId="16" xfId="0" applyNumberFormat="1" applyFont="1" applyFill="1" applyBorder="1" applyAlignment="1" applyProtection="1">
      <alignment vertical="center" wrapText="1"/>
      <protection locked="0"/>
    </xf>
    <xf numFmtId="165" fontId="17" fillId="0" borderId="16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/>
    </xf>
    <xf numFmtId="49" fontId="15" fillId="0" borderId="47" xfId="0" applyNumberFormat="1" applyFont="1" applyFill="1" applyBorder="1" applyAlignment="1" applyProtection="1">
      <alignment horizontal="centerContinuous" vertical="center"/>
      <protection locked="0"/>
    </xf>
    <xf numFmtId="0" fontId="24" fillId="0" borderId="66" xfId="0" applyNumberFormat="1" applyFont="1" applyFill="1" applyBorder="1" applyAlignment="1" applyProtection="1">
      <alignment vertical="center" wrapText="1"/>
      <protection locked="0"/>
    </xf>
    <xf numFmtId="3" fontId="15" fillId="0" borderId="44" xfId="0" applyNumberFormat="1" applyFont="1" applyFill="1" applyBorder="1" applyAlignment="1" applyProtection="1">
      <alignment vertical="center" wrapText="1"/>
      <protection locked="0"/>
    </xf>
    <xf numFmtId="3" fontId="15" fillId="0" borderId="48" xfId="0" applyNumberFormat="1" applyFont="1" applyFill="1" applyBorder="1" applyAlignment="1" applyProtection="1">
      <alignment vertical="center" wrapText="1"/>
      <protection locked="0"/>
    </xf>
    <xf numFmtId="164" fontId="16" fillId="0" borderId="45" xfId="0" applyNumberFormat="1" applyFont="1" applyFill="1" applyBorder="1" applyAlignment="1" applyProtection="1">
      <alignment vertical="center" wrapText="1"/>
      <protection locked="0"/>
    </xf>
    <xf numFmtId="3" fontId="15" fillId="0" borderId="47" xfId="0" applyNumberFormat="1" applyFont="1" applyFill="1" applyBorder="1" applyAlignment="1" applyProtection="1">
      <alignment vertical="center"/>
      <protection locked="0"/>
    </xf>
    <xf numFmtId="3" fontId="15" fillId="0" borderId="48" xfId="0" applyNumberFormat="1" applyFont="1" applyFill="1" applyBorder="1" applyAlignment="1" applyProtection="1">
      <alignment vertical="center"/>
      <protection locked="0"/>
    </xf>
    <xf numFmtId="165" fontId="17" fillId="0" borderId="45" xfId="0" applyNumberFormat="1" applyFont="1" applyFill="1" applyBorder="1" applyAlignment="1" applyProtection="1">
      <alignment vertical="center" wrapText="1"/>
      <protection locked="0"/>
    </xf>
    <xf numFmtId="3" fontId="15" fillId="0" borderId="47" xfId="0" applyNumberFormat="1" applyFont="1" applyFill="1" applyBorder="1" applyAlignment="1" applyProtection="1">
      <alignment vertical="center"/>
      <protection locked="0"/>
    </xf>
    <xf numFmtId="3" fontId="15" fillId="0" borderId="48" xfId="0" applyNumberFormat="1" applyFont="1" applyFill="1" applyBorder="1" applyAlignment="1" applyProtection="1">
      <alignment vertical="center"/>
      <protection locked="0"/>
    </xf>
    <xf numFmtId="164" fontId="17" fillId="0" borderId="45" xfId="0" applyNumberFormat="1" applyFont="1" applyFill="1" applyBorder="1" applyAlignment="1" applyProtection="1">
      <alignment vertical="center"/>
      <protection locked="0"/>
    </xf>
    <xf numFmtId="165" fontId="17" fillId="0" borderId="45" xfId="0" applyNumberFormat="1" applyFont="1" applyFill="1" applyBorder="1" applyAlignment="1" applyProtection="1">
      <alignment vertical="center" wrapText="1"/>
      <protection locked="0"/>
    </xf>
    <xf numFmtId="165" fontId="17" fillId="0" borderId="45" xfId="0" applyNumberFormat="1" applyFont="1" applyFill="1" applyBorder="1" applyAlignment="1" applyProtection="1">
      <alignment vertical="center"/>
      <protection locked="0"/>
    </xf>
    <xf numFmtId="49" fontId="15" fillId="0" borderId="24" xfId="0" applyNumberFormat="1" applyFont="1" applyFill="1" applyBorder="1" applyAlignment="1" applyProtection="1">
      <alignment horizontal="centerContinuous" vertical="center"/>
      <protection locked="0"/>
    </xf>
    <xf numFmtId="0" fontId="24" fillId="0" borderId="68" xfId="0" applyNumberFormat="1" applyFont="1" applyFill="1" applyBorder="1" applyAlignment="1" applyProtection="1">
      <alignment vertical="center" wrapText="1"/>
      <protection locked="0"/>
    </xf>
    <xf numFmtId="3" fontId="15" fillId="0" borderId="17" xfId="0" applyNumberFormat="1" applyFont="1" applyFill="1" applyBorder="1" applyAlignment="1" applyProtection="1">
      <alignment vertical="center" wrapText="1"/>
      <protection locked="0"/>
    </xf>
    <xf numFmtId="3" fontId="15" fillId="0" borderId="56" xfId="0" applyNumberFormat="1" applyFont="1" applyFill="1" applyBorder="1" applyAlignment="1" applyProtection="1">
      <alignment vertical="center" wrapText="1"/>
      <protection locked="0"/>
    </xf>
    <xf numFmtId="164" fontId="16" fillId="0" borderId="25" xfId="0" applyNumberFormat="1" applyFont="1" applyFill="1" applyBorder="1" applyAlignment="1" applyProtection="1">
      <alignment vertical="center" wrapText="1"/>
      <protection locked="0"/>
    </xf>
    <xf numFmtId="3" fontId="15" fillId="0" borderId="24" xfId="0" applyNumberFormat="1" applyFont="1" applyFill="1" applyBorder="1" applyAlignment="1" applyProtection="1">
      <alignment vertical="center"/>
      <protection locked="0"/>
    </xf>
    <xf numFmtId="3" fontId="15" fillId="0" borderId="56" xfId="0" applyNumberFormat="1" applyFont="1" applyFill="1" applyBorder="1" applyAlignment="1" applyProtection="1">
      <alignment vertical="center"/>
      <protection locked="0"/>
    </xf>
    <xf numFmtId="165" fontId="17" fillId="0" borderId="25" xfId="0" applyNumberFormat="1" applyFont="1" applyFill="1" applyBorder="1" applyAlignment="1" applyProtection="1">
      <alignment vertical="center" wrapText="1"/>
      <protection locked="0"/>
    </xf>
    <xf numFmtId="3" fontId="15" fillId="0" borderId="24" xfId="0" applyNumberFormat="1" applyFont="1" applyFill="1" applyBorder="1" applyAlignment="1" applyProtection="1">
      <alignment vertical="center"/>
      <protection locked="0"/>
    </xf>
    <xf numFmtId="3" fontId="15" fillId="0" borderId="56" xfId="0" applyNumberFormat="1" applyFont="1" applyFill="1" applyBorder="1" applyAlignment="1" applyProtection="1">
      <alignment vertical="center"/>
      <protection locked="0"/>
    </xf>
    <xf numFmtId="164" fontId="17" fillId="0" borderId="25" xfId="0" applyNumberFormat="1" applyFont="1" applyFill="1" applyBorder="1" applyAlignment="1" applyProtection="1">
      <alignment vertical="center"/>
      <protection locked="0"/>
    </xf>
    <xf numFmtId="165" fontId="17" fillId="0" borderId="25" xfId="0" applyNumberFormat="1" applyFont="1" applyFill="1" applyBorder="1" applyAlignment="1" applyProtection="1">
      <alignment vertical="center" wrapText="1"/>
      <protection locked="0"/>
    </xf>
    <xf numFmtId="165" fontId="17" fillId="0" borderId="25" xfId="0" applyNumberFormat="1" applyFont="1" applyFill="1" applyBorder="1" applyAlignment="1" applyProtection="1">
      <alignment vertical="center"/>
      <protection locked="0"/>
    </xf>
    <xf numFmtId="164" fontId="6" fillId="0" borderId="36" xfId="0" applyNumberFormat="1" applyFont="1" applyFill="1" applyBorder="1" applyAlignment="1" applyProtection="1">
      <alignment vertical="center"/>
      <protection locked="0"/>
    </xf>
    <xf numFmtId="49" fontId="2" fillId="0" borderId="47" xfId="0" applyNumberFormat="1" applyFont="1" applyFill="1" applyBorder="1" applyAlignment="1" applyProtection="1">
      <alignment horizontal="centerContinuous" vertical="center"/>
      <protection locked="0"/>
    </xf>
    <xf numFmtId="0" fontId="2" fillId="0" borderId="66" xfId="0" applyNumberFormat="1" applyFont="1" applyFill="1" applyBorder="1" applyAlignment="1" applyProtection="1">
      <alignment vertical="center" wrapText="1"/>
      <protection locked="0"/>
    </xf>
    <xf numFmtId="49" fontId="2" fillId="0" borderId="49" xfId="0" applyNumberFormat="1" applyFont="1" applyFill="1" applyBorder="1" applyAlignment="1" applyProtection="1">
      <alignment horizontal="centerContinuous" vertical="center"/>
      <protection locked="0"/>
    </xf>
    <xf numFmtId="3" fontId="2" fillId="0" borderId="61" xfId="0" applyNumberFormat="1" applyFont="1" applyFill="1" applyBorder="1" applyAlignment="1" applyProtection="1">
      <alignment vertical="center" wrapText="1"/>
      <protection locked="0"/>
    </xf>
    <xf numFmtId="3" fontId="2" fillId="0" borderId="64" xfId="0" applyNumberFormat="1" applyFont="1" applyFill="1" applyBorder="1" applyAlignment="1" applyProtection="1">
      <alignment vertical="center"/>
      <protection locked="0"/>
    </xf>
    <xf numFmtId="165" fontId="6" fillId="0" borderId="65" xfId="0" applyNumberFormat="1" applyFont="1" applyFill="1" applyBorder="1" applyAlignment="1" applyProtection="1">
      <alignment vertical="center" wrapText="1"/>
      <protection locked="0"/>
    </xf>
    <xf numFmtId="3" fontId="4" fillId="0" borderId="69" xfId="0" applyNumberFormat="1" applyFont="1" applyFill="1" applyBorder="1" applyAlignment="1" applyProtection="1">
      <alignment vertical="center" wrapText="1"/>
      <protection locked="0"/>
    </xf>
    <xf numFmtId="3" fontId="4" fillId="0" borderId="70" xfId="0" applyNumberFormat="1" applyFont="1" applyFill="1" applyBorder="1" applyAlignment="1" applyProtection="1">
      <alignment vertical="center"/>
      <protection locked="0"/>
    </xf>
    <xf numFmtId="165" fontId="5" fillId="0" borderId="67" xfId="0" applyNumberFormat="1" applyFont="1" applyFill="1" applyBorder="1" applyAlignment="1" applyProtection="1">
      <alignment vertical="center" wrapText="1"/>
      <protection locked="0"/>
    </xf>
    <xf numFmtId="49" fontId="2" fillId="0" borderId="37" xfId="0" applyNumberFormat="1" applyFont="1" applyFill="1" applyBorder="1" applyAlignment="1" applyProtection="1">
      <alignment horizontal="centerContinuous" vertical="center"/>
      <protection locked="0"/>
    </xf>
    <xf numFmtId="0" fontId="2" fillId="0" borderId="39" xfId="0" applyNumberFormat="1" applyFont="1" applyFill="1" applyBorder="1" applyAlignment="1" applyProtection="1">
      <alignment vertical="center" wrapText="1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164" fontId="12" fillId="0" borderId="22" xfId="0" applyNumberFormat="1" applyFont="1" applyFill="1" applyBorder="1" applyAlignment="1" applyProtection="1">
      <alignment vertical="center" wrapText="1"/>
      <protection locked="0"/>
    </xf>
    <xf numFmtId="165" fontId="6" fillId="0" borderId="71" xfId="0" applyNumberFormat="1" applyFont="1" applyFill="1" applyBorder="1" applyAlignment="1" applyProtection="1">
      <alignment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164" fontId="6" fillId="0" borderId="39" xfId="0" applyNumberFormat="1" applyFont="1" applyFill="1" applyBorder="1" applyAlignment="1" applyProtection="1">
      <alignment vertical="center"/>
      <protection locked="0"/>
    </xf>
    <xf numFmtId="3" fontId="2" fillId="0" borderId="72" xfId="0" applyNumberFormat="1" applyFont="1" applyFill="1" applyBorder="1" applyAlignment="1" applyProtection="1">
      <alignment vertical="center"/>
      <protection locked="0"/>
    </xf>
    <xf numFmtId="165" fontId="6" fillId="0" borderId="39" xfId="0" applyNumberFormat="1" applyFont="1" applyFill="1" applyBorder="1" applyAlignment="1" applyProtection="1">
      <alignment vertical="center"/>
      <protection locked="0"/>
    </xf>
    <xf numFmtId="165" fontId="6" fillId="0" borderId="39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 wrapText="1"/>
      <protection locked="0"/>
    </xf>
    <xf numFmtId="0" fontId="0" fillId="0" borderId="69" xfId="0" applyBorder="1" applyAlignment="1">
      <alignment/>
    </xf>
    <xf numFmtId="164" fontId="3" fillId="0" borderId="45" xfId="0" applyNumberFormat="1" applyFont="1" applyFill="1" applyBorder="1" applyAlignment="1" applyProtection="1">
      <alignment vertical="center" wrapText="1"/>
      <protection locked="0"/>
    </xf>
    <xf numFmtId="0" fontId="12" fillId="0" borderId="66" xfId="0" applyNumberFormat="1" applyFont="1" applyFill="1" applyBorder="1" applyAlignment="1" applyProtection="1">
      <alignment vertical="center" wrapText="1"/>
      <protection locked="0"/>
    </xf>
    <xf numFmtId="3" fontId="19" fillId="0" borderId="46" xfId="0" applyNumberFormat="1" applyFont="1" applyBorder="1" applyAlignment="1">
      <alignment vertical="center"/>
    </xf>
    <xf numFmtId="3" fontId="4" fillId="0" borderId="64" xfId="0" applyNumberFormat="1" applyFont="1" applyFill="1" applyBorder="1" applyAlignment="1" applyProtection="1">
      <alignment vertical="center" wrapText="1"/>
      <protection locked="0"/>
    </xf>
    <xf numFmtId="3" fontId="19" fillId="0" borderId="6" xfId="0" applyNumberFormat="1" applyFont="1" applyBorder="1" applyAlignment="1">
      <alignment vertical="center"/>
    </xf>
    <xf numFmtId="3" fontId="19" fillId="0" borderId="3" xfId="0" applyNumberFormat="1" applyFont="1" applyBorder="1" applyAlignment="1">
      <alignment vertical="center"/>
    </xf>
    <xf numFmtId="3" fontId="4" fillId="0" borderId="24" xfId="0" applyNumberFormat="1" applyFont="1" applyFill="1" applyBorder="1" applyAlignment="1" applyProtection="1">
      <alignment vertical="center" wrapText="1"/>
      <protection locked="0"/>
    </xf>
    <xf numFmtId="3" fontId="19" fillId="0" borderId="73" xfId="0" applyNumberFormat="1" applyFont="1" applyBorder="1" applyAlignment="1">
      <alignment vertical="center"/>
    </xf>
    <xf numFmtId="164" fontId="3" fillId="0" borderId="25" xfId="0" applyNumberFormat="1" applyFont="1" applyFill="1" applyBorder="1" applyAlignment="1" applyProtection="1">
      <alignment vertical="center" wrapText="1"/>
      <protection locked="0"/>
    </xf>
    <xf numFmtId="3" fontId="4" fillId="0" borderId="73" xfId="0" applyNumberFormat="1" applyFont="1" applyFill="1" applyBorder="1" applyAlignment="1" applyProtection="1">
      <alignment vertical="center"/>
      <protection locked="0"/>
    </xf>
    <xf numFmtId="165" fontId="5" fillId="0" borderId="25" xfId="0" applyNumberFormat="1" applyFont="1" applyFill="1" applyBorder="1" applyAlignment="1" applyProtection="1">
      <alignment vertical="center" wrapText="1"/>
      <protection locked="0"/>
    </xf>
    <xf numFmtId="165" fontId="5" fillId="0" borderId="25" xfId="0" applyNumberFormat="1" applyFont="1" applyFill="1" applyBorder="1" applyAlignment="1" applyProtection="1">
      <alignment vertical="center"/>
      <protection locked="0"/>
    </xf>
    <xf numFmtId="0" fontId="2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4" xfId="0" applyBorder="1" applyAlignment="1">
      <alignment horizontal="center" vertical="center" wrapText="1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4" fontId="12" fillId="0" borderId="30" xfId="0" applyNumberFormat="1" applyFont="1" applyFill="1" applyBorder="1" applyAlignment="1" applyProtection="1">
      <alignment vertical="center"/>
      <protection locked="0"/>
    </xf>
    <xf numFmtId="4" fontId="12" fillId="0" borderId="73" xfId="0" applyNumberFormat="1" applyFont="1" applyFill="1" applyBorder="1" applyAlignment="1" applyProtection="1">
      <alignment vertical="center"/>
      <protection locked="0"/>
    </xf>
    <xf numFmtId="164" fontId="12" fillId="0" borderId="25" xfId="0" applyNumberFormat="1" applyFont="1" applyFill="1" applyBorder="1" applyAlignment="1" applyProtection="1">
      <alignment vertical="center"/>
      <protection locked="0"/>
    </xf>
    <xf numFmtId="3" fontId="12" fillId="0" borderId="73" xfId="0" applyNumberFormat="1" applyFont="1" applyFill="1" applyBorder="1" applyAlignment="1" applyProtection="1">
      <alignment vertical="center"/>
      <protection locked="0"/>
    </xf>
    <xf numFmtId="4" fontId="12" fillId="0" borderId="24" xfId="0" applyNumberFormat="1" applyFont="1" applyFill="1" applyBorder="1" applyAlignment="1" applyProtection="1">
      <alignment vertical="center"/>
      <protection locked="0"/>
    </xf>
    <xf numFmtId="4" fontId="12" fillId="0" borderId="56" xfId="0" applyNumberFormat="1" applyFont="1" applyFill="1" applyBorder="1" applyAlignment="1" applyProtection="1">
      <alignment vertical="center"/>
      <protection locked="0"/>
    </xf>
    <xf numFmtId="164" fontId="6" fillId="0" borderId="25" xfId="0" applyNumberFormat="1" applyFont="1" applyFill="1" applyBorder="1" applyAlignment="1" applyProtection="1">
      <alignment vertical="center" wrapText="1"/>
      <protection locked="0"/>
    </xf>
    <xf numFmtId="3" fontId="12" fillId="0" borderId="56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/>
    </xf>
    <xf numFmtId="3" fontId="12" fillId="0" borderId="15" xfId="0" applyNumberFormat="1" applyFont="1" applyFill="1" applyBorder="1" applyAlignment="1" applyProtection="1">
      <alignment horizontal="right" vertical="center"/>
      <protection locked="0"/>
    </xf>
    <xf numFmtId="4" fontId="12" fillId="0" borderId="6" xfId="0" applyNumberFormat="1" applyFont="1" applyFill="1" applyBorder="1" applyAlignment="1" applyProtection="1">
      <alignment vertical="center" wrapText="1"/>
      <protection locked="0"/>
    </xf>
    <xf numFmtId="3" fontId="12" fillId="0" borderId="6" xfId="0" applyNumberFormat="1" applyFont="1" applyFill="1" applyBorder="1" applyAlignment="1" applyProtection="1">
      <alignment vertical="center" wrapText="1"/>
      <protection locked="0"/>
    </xf>
    <xf numFmtId="164" fontId="12" fillId="0" borderId="16" xfId="0" applyNumberFormat="1" applyFont="1" applyFill="1" applyBorder="1" applyAlignment="1" applyProtection="1">
      <alignment horizontal="right" vertical="center"/>
      <protection locked="0"/>
    </xf>
    <xf numFmtId="3" fontId="12" fillId="0" borderId="6" xfId="0" applyNumberFormat="1" applyFont="1" applyFill="1" applyBorder="1" applyAlignment="1" applyProtection="1">
      <alignment horizontal="right" vertical="center"/>
      <protection locked="0"/>
    </xf>
    <xf numFmtId="165" fontId="6" fillId="0" borderId="16" xfId="0" applyNumberFormat="1" applyFont="1" applyFill="1" applyBorder="1" applyAlignment="1" applyProtection="1">
      <alignment horizontal="right" vertical="center"/>
      <protection locked="0"/>
    </xf>
    <xf numFmtId="4" fontId="12" fillId="0" borderId="15" xfId="0" applyNumberFormat="1" applyFont="1" applyFill="1" applyBorder="1" applyAlignment="1" applyProtection="1">
      <alignment horizontal="right" vertical="center"/>
      <protection locked="0"/>
    </xf>
    <xf numFmtId="4" fontId="12" fillId="0" borderId="6" xfId="0" applyNumberFormat="1" applyFont="1" applyFill="1" applyBorder="1" applyAlignment="1" applyProtection="1">
      <alignment horizontal="right" vertical="center"/>
      <protection locked="0"/>
    </xf>
    <xf numFmtId="164" fontId="6" fillId="0" borderId="16" xfId="0" applyNumberFormat="1" applyFont="1" applyFill="1" applyBorder="1" applyAlignment="1" applyProtection="1">
      <alignment horizontal="right" vertical="center"/>
      <protection locked="0"/>
    </xf>
    <xf numFmtId="3" fontId="12" fillId="0" borderId="7" xfId="0" applyNumberFormat="1" applyFont="1" applyFill="1" applyBorder="1" applyAlignment="1" applyProtection="1">
      <alignment horizontal="right" vertical="center"/>
      <protection locked="0"/>
    </xf>
    <xf numFmtId="3" fontId="12" fillId="0" borderId="28" xfId="0" applyNumberFormat="1" applyFont="1" applyFill="1" applyBorder="1" applyAlignment="1" applyProtection="1">
      <alignment horizontal="right" vertical="center"/>
      <protection locked="0"/>
    </xf>
    <xf numFmtId="165" fontId="6" fillId="0" borderId="16" xfId="0" applyNumberFormat="1" applyFont="1" applyFill="1" applyBorder="1" applyAlignment="1" applyProtection="1">
      <alignment vertical="center"/>
      <protection locked="0"/>
    </xf>
    <xf numFmtId="3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27" xfId="0" applyFont="1" applyBorder="1" applyAlignment="1">
      <alignment horizontal="center" vertical="center"/>
    </xf>
    <xf numFmtId="3" fontId="16" fillId="0" borderId="1" xfId="0" applyNumberFormat="1" applyFont="1" applyFill="1" applyBorder="1" applyAlignment="1" applyProtection="1">
      <alignment vertical="center" wrapText="1"/>
      <protection locked="0"/>
    </xf>
    <xf numFmtId="0" fontId="25" fillId="0" borderId="1" xfId="0" applyFont="1" applyBorder="1" applyAlignment="1">
      <alignment vertical="center" wrapText="1"/>
    </xf>
    <xf numFmtId="3" fontId="16" fillId="0" borderId="15" xfId="0" applyNumberFormat="1" applyFont="1" applyFill="1" applyBorder="1" applyAlignment="1" applyProtection="1">
      <alignment horizontal="right" vertical="center"/>
      <protection locked="0"/>
    </xf>
    <xf numFmtId="3" fontId="16" fillId="0" borderId="6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horizontal="right" vertical="center"/>
      <protection locked="0"/>
    </xf>
    <xf numFmtId="3" fontId="16" fillId="0" borderId="6" xfId="0" applyNumberFormat="1" applyFont="1" applyFill="1" applyBorder="1" applyAlignment="1" applyProtection="1">
      <alignment horizontal="right" vertical="center"/>
      <protection locked="0"/>
    </xf>
    <xf numFmtId="165" fontId="17" fillId="0" borderId="16" xfId="0" applyNumberFormat="1" applyFont="1" applyFill="1" applyBorder="1" applyAlignment="1" applyProtection="1">
      <alignment horizontal="right" vertical="center"/>
      <protection locked="0"/>
    </xf>
    <xf numFmtId="4" fontId="16" fillId="0" borderId="15" xfId="0" applyNumberFormat="1" applyFont="1" applyFill="1" applyBorder="1" applyAlignment="1" applyProtection="1">
      <alignment horizontal="right" vertical="center"/>
      <protection locked="0"/>
    </xf>
    <xf numFmtId="4" fontId="16" fillId="0" borderId="6" xfId="0" applyNumberFormat="1" applyFont="1" applyFill="1" applyBorder="1" applyAlignment="1" applyProtection="1">
      <alignment horizontal="right" vertical="center"/>
      <protection locked="0"/>
    </xf>
    <xf numFmtId="164" fontId="17" fillId="0" borderId="16" xfId="0" applyNumberFormat="1" applyFont="1" applyFill="1" applyBorder="1" applyAlignment="1" applyProtection="1">
      <alignment horizontal="right" vertical="center"/>
      <protection locked="0"/>
    </xf>
    <xf numFmtId="3" fontId="12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27" xfId="0" applyFont="1" applyBorder="1" applyAlignment="1">
      <alignment horizontal="center" vertical="center"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3" fontId="6" fillId="0" borderId="6" xfId="0" applyNumberFormat="1" applyFont="1" applyFill="1" applyBorder="1" applyAlignment="1" applyProtection="1">
      <alignment horizontal="right" vertical="center"/>
      <protection locked="0"/>
    </xf>
    <xf numFmtId="3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>
      <alignment horizontal="center" vertical="center" wrapText="1"/>
    </xf>
    <xf numFmtId="3" fontId="12" fillId="0" borderId="17" xfId="0" applyNumberFormat="1" applyFont="1" applyFill="1" applyBorder="1" applyAlignment="1" applyProtection="1">
      <alignment horizontal="right" vertical="center"/>
      <protection locked="0"/>
    </xf>
    <xf numFmtId="3" fontId="12" fillId="0" borderId="56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 applyProtection="1">
      <alignment horizontal="right" vertical="center"/>
      <protection locked="0"/>
    </xf>
    <xf numFmtId="3" fontId="12" fillId="0" borderId="56" xfId="0" applyNumberFormat="1" applyFont="1" applyFill="1" applyBorder="1" applyAlignment="1" applyProtection="1">
      <alignment horizontal="right" vertical="center"/>
      <protection locked="0"/>
    </xf>
    <xf numFmtId="165" fontId="6" fillId="0" borderId="25" xfId="0" applyNumberFormat="1" applyFont="1" applyFill="1" applyBorder="1" applyAlignment="1" applyProtection="1">
      <alignment horizontal="right" vertical="center"/>
      <protection locked="0"/>
    </xf>
    <xf numFmtId="4" fontId="12" fillId="0" borderId="24" xfId="0" applyNumberFormat="1" applyFont="1" applyFill="1" applyBorder="1" applyAlignment="1" applyProtection="1">
      <alignment horizontal="right" vertical="center"/>
      <protection locked="0"/>
    </xf>
    <xf numFmtId="4" fontId="12" fillId="0" borderId="56" xfId="0" applyNumberFormat="1" applyFont="1" applyFill="1" applyBorder="1" applyAlignment="1" applyProtection="1">
      <alignment horizontal="right" vertical="center"/>
      <protection locked="0"/>
    </xf>
    <xf numFmtId="164" fontId="6" fillId="0" borderId="25" xfId="0" applyNumberFormat="1" applyFont="1" applyFill="1" applyBorder="1" applyAlignment="1" applyProtection="1">
      <alignment horizontal="right" vertical="center"/>
      <protection locked="0"/>
    </xf>
    <xf numFmtId="3" fontId="12" fillId="0" borderId="24" xfId="0" applyNumberFormat="1" applyFont="1" applyFill="1" applyBorder="1" applyAlignment="1" applyProtection="1">
      <alignment horizontal="right" vertical="center"/>
      <protection locked="0"/>
    </xf>
    <xf numFmtId="165" fontId="6" fillId="0" borderId="25" xfId="0" applyNumberFormat="1" applyFont="1" applyFill="1" applyBorder="1" applyAlignment="1" applyProtection="1">
      <alignment vertical="center"/>
      <protection locked="0"/>
    </xf>
    <xf numFmtId="3" fontId="1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7" xfId="0" applyFont="1" applyBorder="1" applyAlignment="1">
      <alignment horizontal="center" vertical="center" wrapText="1"/>
    </xf>
    <xf numFmtId="3" fontId="14" fillId="0" borderId="26" xfId="0" applyNumberFormat="1" applyFont="1" applyFill="1" applyBorder="1" applyAlignment="1" applyProtection="1">
      <alignment horizontal="right" vertical="center"/>
      <protection locked="0"/>
    </xf>
    <xf numFmtId="4" fontId="14" fillId="0" borderId="6" xfId="0" applyNumberFormat="1" applyFont="1" applyFill="1" applyBorder="1" applyAlignment="1" applyProtection="1">
      <alignment vertical="center" wrapText="1"/>
      <protection locked="0"/>
    </xf>
    <xf numFmtId="164" fontId="14" fillId="0" borderId="16" xfId="0" applyNumberFormat="1" applyFont="1" applyFill="1" applyBorder="1" applyAlignment="1" applyProtection="1">
      <alignment horizontal="right" vertical="center"/>
      <protection locked="0"/>
    </xf>
    <xf numFmtId="3" fontId="14" fillId="0" borderId="15" xfId="0" applyNumberFormat="1" applyFont="1" applyFill="1" applyBorder="1" applyAlignment="1" applyProtection="1">
      <alignment horizontal="right" vertical="center"/>
      <protection locked="0"/>
    </xf>
    <xf numFmtId="3" fontId="14" fillId="0" borderId="6" xfId="0" applyNumberFormat="1" applyFont="1" applyFill="1" applyBorder="1" applyAlignment="1" applyProtection="1">
      <alignment horizontal="right" vertical="center"/>
      <protection locked="0"/>
    </xf>
    <xf numFmtId="165" fontId="26" fillId="0" borderId="16" xfId="0" applyNumberFormat="1" applyFont="1" applyFill="1" applyBorder="1" applyAlignment="1" applyProtection="1">
      <alignment horizontal="right" vertical="center"/>
      <protection locked="0"/>
    </xf>
    <xf numFmtId="4" fontId="14" fillId="0" borderId="15" xfId="0" applyNumberFormat="1" applyFont="1" applyFill="1" applyBorder="1" applyAlignment="1" applyProtection="1">
      <alignment horizontal="right" vertical="center"/>
      <protection locked="0"/>
    </xf>
    <xf numFmtId="4" fontId="14" fillId="0" borderId="6" xfId="0" applyNumberFormat="1" applyFont="1" applyFill="1" applyBorder="1" applyAlignment="1" applyProtection="1">
      <alignment horizontal="right" vertical="center"/>
      <protection locked="0"/>
    </xf>
    <xf numFmtId="164" fontId="26" fillId="0" borderId="16" xfId="0" applyNumberFormat="1" applyFont="1" applyFill="1" applyBorder="1" applyAlignment="1" applyProtection="1">
      <alignment horizontal="right" vertical="center"/>
      <protection locked="0"/>
    </xf>
    <xf numFmtId="165" fontId="26" fillId="0" borderId="16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/>
    </xf>
    <xf numFmtId="3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Border="1" applyAlignment="1">
      <alignment horizontal="center" vertical="center" wrapText="1"/>
    </xf>
    <xf numFmtId="3" fontId="14" fillId="0" borderId="40" xfId="0" applyNumberFormat="1" applyFont="1" applyFill="1" applyBorder="1" applyAlignment="1" applyProtection="1">
      <alignment horizontal="right" vertical="center"/>
      <protection locked="0"/>
    </xf>
    <xf numFmtId="3" fontId="14" fillId="0" borderId="30" xfId="0" applyNumberFormat="1" applyFont="1" applyFill="1" applyBorder="1" applyAlignment="1" applyProtection="1">
      <alignment vertical="center" wrapText="1"/>
      <protection locked="0"/>
    </xf>
    <xf numFmtId="164" fontId="14" fillId="0" borderId="42" xfId="0" applyNumberFormat="1" applyFont="1" applyFill="1" applyBorder="1" applyAlignment="1" applyProtection="1">
      <alignment horizontal="right" vertical="center"/>
      <protection locked="0"/>
    </xf>
    <xf numFmtId="3" fontId="14" fillId="0" borderId="30" xfId="0" applyNumberFormat="1" applyFont="1" applyFill="1" applyBorder="1" applyAlignment="1" applyProtection="1">
      <alignment horizontal="right" vertical="center"/>
      <protection locked="0"/>
    </xf>
    <xf numFmtId="165" fontId="26" fillId="0" borderId="42" xfId="0" applyNumberFormat="1" applyFont="1" applyFill="1" applyBorder="1" applyAlignment="1" applyProtection="1">
      <alignment horizontal="right" vertical="center"/>
      <protection locked="0"/>
    </xf>
    <xf numFmtId="4" fontId="14" fillId="0" borderId="43" xfId="0" applyNumberFormat="1" applyFont="1" applyFill="1" applyBorder="1" applyAlignment="1" applyProtection="1">
      <alignment horizontal="right" vertical="center"/>
      <protection locked="0"/>
    </xf>
    <xf numFmtId="4" fontId="14" fillId="0" borderId="30" xfId="0" applyNumberFormat="1" applyFont="1" applyFill="1" applyBorder="1" applyAlignment="1" applyProtection="1">
      <alignment horizontal="right" vertical="center"/>
      <protection locked="0"/>
    </xf>
    <xf numFmtId="164" fontId="26" fillId="0" borderId="42" xfId="0" applyNumberFormat="1" applyFont="1" applyFill="1" applyBorder="1" applyAlignment="1" applyProtection="1">
      <alignment horizontal="right" vertical="center"/>
      <protection locked="0"/>
    </xf>
    <xf numFmtId="3" fontId="14" fillId="0" borderId="43" xfId="0" applyNumberFormat="1" applyFont="1" applyFill="1" applyBorder="1" applyAlignment="1" applyProtection="1">
      <alignment horizontal="right" vertical="center"/>
      <protection locked="0"/>
    </xf>
    <xf numFmtId="165" fontId="26" fillId="0" borderId="42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Alignment="1">
      <alignment/>
    </xf>
    <xf numFmtId="164" fontId="0" fillId="0" borderId="0" xfId="0" applyNumberFormat="1" applyFont="1" applyAlignment="1">
      <alignment/>
    </xf>
    <xf numFmtId="0" fontId="29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wrapText="1"/>
    </xf>
    <xf numFmtId="3" fontId="32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165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wrapText="1"/>
    </xf>
    <xf numFmtId="3" fontId="32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165" fontId="17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16" fillId="0" borderId="0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 vertical="center"/>
    </xf>
    <xf numFmtId="3" fontId="33" fillId="0" borderId="0" xfId="0" applyNumberFormat="1" applyFont="1" applyBorder="1" applyAlignment="1">
      <alignment horizontal="centerContinuous" vertical="center"/>
    </xf>
    <xf numFmtId="1" fontId="3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9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3" fontId="33" fillId="0" borderId="0" xfId="0" applyNumberFormat="1" applyFont="1" applyFill="1" applyBorder="1" applyAlignment="1" applyProtection="1">
      <alignment horizontal="centerContinuous" vertical="center"/>
      <protection locked="0"/>
    </xf>
    <xf numFmtId="3" fontId="32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17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14" fillId="0" borderId="0" xfId="0" applyNumberFormat="1" applyFont="1" applyFill="1" applyBorder="1" applyAlignment="1" applyProtection="1">
      <alignment horizontal="centerContinuous" vertical="center"/>
      <protection locked="0"/>
    </xf>
    <xf numFmtId="3" fontId="0" fillId="0" borderId="0" xfId="0" applyNumberFormat="1" applyFont="1" applyAlignment="1">
      <alignment horizontal="centerContinuous"/>
    </xf>
    <xf numFmtId="165" fontId="9" fillId="0" borderId="0" xfId="0" applyNumberFormat="1" applyFont="1" applyBorder="1" applyAlignment="1">
      <alignment vertical="center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wrapText="1"/>
      <protection locked="0"/>
    </xf>
    <xf numFmtId="3" fontId="32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16" fillId="0" borderId="0" xfId="0" applyNumberFormat="1" applyFont="1" applyFill="1" applyBorder="1" applyAlignment="1" applyProtection="1">
      <alignment horizontal="centerContinuous" vertical="center"/>
      <protection locked="0"/>
    </xf>
    <xf numFmtId="3" fontId="32" fillId="0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Fill="1" applyBorder="1" applyAlignment="1" applyProtection="1">
      <alignment horizontal="left" vertical="center"/>
      <protection locked="0"/>
    </xf>
    <xf numFmtId="3" fontId="32" fillId="0" borderId="0" xfId="0" applyNumberFormat="1" applyFont="1" applyAlignment="1">
      <alignment horizontal="centerContinuous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65" fontId="4" fillId="0" borderId="29" xfId="0" applyNumberFormat="1" applyFont="1" applyFill="1" applyBorder="1" applyAlignment="1" applyProtection="1">
      <alignment horizontal="centerContinuous" vertical="center" wrapText="1"/>
      <protection locked="0"/>
    </xf>
    <xf numFmtId="3" fontId="9" fillId="0" borderId="9" xfId="0" applyNumberFormat="1" applyFont="1" applyFill="1" applyBorder="1" applyAlignment="1" applyProtection="1">
      <alignment horizontal="centerContinuous" vertical="center"/>
      <protection locked="0"/>
    </xf>
    <xf numFmtId="3" fontId="32" fillId="0" borderId="10" xfId="0" applyNumberFormat="1" applyFont="1" applyFill="1" applyBorder="1" applyAlignment="1" applyProtection="1">
      <alignment horizontal="centerContinuous" vertical="center"/>
      <protection locked="0"/>
    </xf>
    <xf numFmtId="3" fontId="33" fillId="0" borderId="10" xfId="0" applyNumberFormat="1" applyFont="1" applyFill="1" applyBorder="1" applyAlignment="1" applyProtection="1">
      <alignment horizontal="centerContinuous" vertical="center"/>
      <protection locked="0"/>
    </xf>
    <xf numFmtId="165" fontId="17" fillId="0" borderId="11" xfId="0" applyNumberFormat="1" applyFont="1" applyFill="1" applyBorder="1" applyAlignment="1" applyProtection="1">
      <alignment horizontal="centerContinuous" vertical="center"/>
      <protection locked="0"/>
    </xf>
    <xf numFmtId="3" fontId="2" fillId="0" borderId="13" xfId="0" applyNumberFormat="1" applyFont="1" applyFill="1" applyBorder="1" applyAlignment="1" applyProtection="1">
      <alignment horizontal="centerContinuous" vertical="center"/>
      <protection locked="0"/>
    </xf>
    <xf numFmtId="3" fontId="2" fillId="0" borderId="10" xfId="0" applyNumberFormat="1" applyFont="1" applyFill="1" applyBorder="1" applyAlignment="1" applyProtection="1">
      <alignment horizontal="centerContinuous" vertical="center"/>
      <protection locked="0"/>
    </xf>
    <xf numFmtId="165" fontId="3" fillId="0" borderId="11" xfId="0" applyNumberFormat="1" applyFont="1" applyFill="1" applyBorder="1" applyAlignment="1" applyProtection="1">
      <alignment horizontal="centerContinuous" vertical="center"/>
      <protection locked="0"/>
    </xf>
    <xf numFmtId="3" fontId="33" fillId="0" borderId="10" xfId="0" applyNumberFormat="1" applyFont="1" applyBorder="1" applyAlignment="1">
      <alignment horizontal="centerContinuous" vertical="center" wrapText="1"/>
    </xf>
    <xf numFmtId="3" fontId="33" fillId="0" borderId="14" xfId="0" applyNumberFormat="1" applyFont="1" applyFill="1" applyBorder="1" applyAlignment="1" applyProtection="1">
      <alignment horizontal="centerContinuous" vertical="center"/>
      <protection locked="0"/>
    </xf>
    <xf numFmtId="165" fontId="14" fillId="0" borderId="36" xfId="0" applyNumberFormat="1" applyFont="1" applyFill="1" applyBorder="1" applyAlignment="1" applyProtection="1">
      <alignment horizontal="centerContinuous" vertical="center"/>
      <protection locked="0"/>
    </xf>
    <xf numFmtId="3" fontId="2" fillId="0" borderId="12" xfId="0" applyNumberFormat="1" applyFont="1" applyFill="1" applyBorder="1" applyAlignment="1" applyProtection="1">
      <alignment horizontal="centerContinuous" vertical="center"/>
      <protection locked="0"/>
    </xf>
    <xf numFmtId="3" fontId="33" fillId="0" borderId="13" xfId="0" applyNumberFormat="1" applyFont="1" applyFill="1" applyBorder="1" applyAlignment="1" applyProtection="1">
      <alignment horizontal="centerContinuous" vertical="center"/>
      <protection locked="0"/>
    </xf>
    <xf numFmtId="165" fontId="3" fillId="0" borderId="14" xfId="0" applyNumberFormat="1" applyFont="1" applyFill="1" applyBorder="1" applyAlignment="1" applyProtection="1">
      <alignment horizontal="centerContinuous" vertical="center"/>
      <protection locked="0"/>
    </xf>
    <xf numFmtId="3" fontId="33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0" borderId="36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0" xfId="0" applyNumberFormat="1" applyFont="1" applyBorder="1" applyAlignment="1">
      <alignment vertical="center"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" xfId="18" applyNumberFormat="1" applyFont="1" applyFill="1" applyBorder="1" applyAlignment="1" applyProtection="1">
      <alignment horizontal="center" vertical="center" wrapText="1"/>
      <protection locked="0"/>
    </xf>
    <xf numFmtId="3" fontId="33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54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57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67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5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54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Border="1" applyAlignment="1">
      <alignment horizontal="center" vertical="center"/>
    </xf>
    <xf numFmtId="1" fontId="5" fillId="0" borderId="43" xfId="0" applyNumberFormat="1" applyFont="1" applyFill="1" applyBorder="1" applyAlignment="1" applyProtection="1">
      <alignment horizontal="centerContinuous" vertical="center"/>
      <protection locked="0"/>
    </xf>
    <xf numFmtId="1" fontId="5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43" xfId="0" applyNumberFormat="1" applyFont="1" applyFill="1" applyBorder="1" applyAlignment="1" applyProtection="1">
      <alignment horizontal="center" vertical="center"/>
      <protection locked="0"/>
    </xf>
    <xf numFmtId="3" fontId="5" fillId="0" borderId="30" xfId="0" applyNumberFormat="1" applyFont="1" applyFill="1" applyBorder="1" applyAlignment="1" applyProtection="1">
      <alignment horizontal="center" vertical="center"/>
      <protection locked="0"/>
    </xf>
    <xf numFmtId="3" fontId="5" fillId="0" borderId="31" xfId="0" applyNumberFormat="1" applyFont="1" applyFill="1" applyBorder="1" applyAlignment="1" applyProtection="1">
      <alignment horizontal="center" vertical="center"/>
      <protection locked="0"/>
    </xf>
    <xf numFmtId="3" fontId="5" fillId="0" borderId="60" xfId="0" applyNumberFormat="1" applyFont="1" applyFill="1" applyBorder="1" applyAlignment="1" applyProtection="1">
      <alignment horizontal="center" vertical="center"/>
      <protection locked="0"/>
    </xf>
    <xf numFmtId="3" fontId="5" fillId="0" borderId="42" xfId="0" applyNumberFormat="1" applyFont="1" applyFill="1" applyBorder="1" applyAlignment="1" applyProtection="1">
      <alignment horizontal="center" vertical="center"/>
      <protection locked="0"/>
    </xf>
    <xf numFmtId="3" fontId="17" fillId="0" borderId="42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>
      <alignment/>
    </xf>
    <xf numFmtId="49" fontId="2" fillId="0" borderId="43" xfId="0" applyNumberFormat="1" applyFont="1" applyFill="1" applyBorder="1" applyAlignment="1" applyProtection="1">
      <alignment horizontal="centerContinuous" vertical="center"/>
      <protection locked="0"/>
    </xf>
    <xf numFmtId="1" fontId="2" fillId="0" borderId="41" xfId="0" applyNumberFormat="1" applyFont="1" applyFill="1" applyBorder="1" applyAlignment="1" applyProtection="1">
      <alignment horizontal="left" vertical="center" wrapText="1"/>
      <protection locked="0"/>
    </xf>
    <xf numFmtId="3" fontId="33" fillId="0" borderId="43" xfId="0" applyNumberFormat="1" applyFont="1" applyFill="1" applyBorder="1" applyAlignment="1" applyProtection="1">
      <alignment horizontal="right" vertical="center"/>
      <protection locked="0"/>
    </xf>
    <xf numFmtId="3" fontId="33" fillId="0" borderId="30" xfId="0" applyNumberFormat="1" applyFont="1" applyFill="1" applyBorder="1" applyAlignment="1" applyProtection="1">
      <alignment vertical="center"/>
      <protection locked="0"/>
    </xf>
    <xf numFmtId="165" fontId="17" fillId="0" borderId="31" xfId="0" applyNumberFormat="1" applyFont="1" applyFill="1" applyBorder="1" applyAlignment="1" applyProtection="1">
      <alignment horizontal="right" vertical="center"/>
      <protection locked="0"/>
    </xf>
    <xf numFmtId="3" fontId="33" fillId="0" borderId="30" xfId="0" applyNumberFormat="1" applyFont="1" applyFill="1" applyBorder="1" applyAlignment="1" applyProtection="1">
      <alignment horizontal="right" vertical="center"/>
      <protection locked="0"/>
    </xf>
    <xf numFmtId="165" fontId="16" fillId="0" borderId="42" xfId="0" applyNumberFormat="1" applyFont="1" applyFill="1" applyBorder="1" applyAlignment="1" applyProtection="1">
      <alignment horizontal="right" vertical="center"/>
      <protection locked="0"/>
    </xf>
    <xf numFmtId="3" fontId="33" fillId="0" borderId="60" xfId="0" applyNumberFormat="1" applyFont="1" applyFill="1" applyBorder="1" applyAlignment="1" applyProtection="1">
      <alignment vertical="center"/>
      <protection locked="0"/>
    </xf>
    <xf numFmtId="3" fontId="33" fillId="0" borderId="30" xfId="0" applyNumberFormat="1" applyFont="1" applyFill="1" applyBorder="1" applyAlignment="1" applyProtection="1">
      <alignment vertical="center"/>
      <protection locked="0"/>
    </xf>
    <xf numFmtId="165" fontId="26" fillId="0" borderId="42" xfId="0" applyNumberFormat="1" applyFont="1" applyFill="1" applyBorder="1" applyAlignment="1" applyProtection="1">
      <alignment vertical="center"/>
      <protection locked="0"/>
    </xf>
    <xf numFmtId="3" fontId="33" fillId="0" borderId="30" xfId="0" applyNumberFormat="1" applyFont="1" applyFill="1" applyBorder="1" applyAlignment="1" applyProtection="1">
      <alignment horizontal="center" vertical="center"/>
      <protection locked="0"/>
    </xf>
    <xf numFmtId="165" fontId="3" fillId="0" borderId="42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>
      <alignment/>
    </xf>
    <xf numFmtId="49" fontId="2" fillId="0" borderId="35" xfId="0" applyNumberFormat="1" applyFont="1" applyFill="1" applyBorder="1" applyAlignment="1" applyProtection="1">
      <alignment horizontal="centerContinuous" vertical="center"/>
      <protection locked="0"/>
    </xf>
    <xf numFmtId="1" fontId="2" fillId="0" borderId="32" xfId="0" applyNumberFormat="1" applyFont="1" applyFill="1" applyBorder="1" applyAlignment="1" applyProtection="1">
      <alignment horizontal="left" vertical="center" wrapText="1"/>
      <protection locked="0"/>
    </xf>
    <xf numFmtId="3" fontId="33" fillId="0" borderId="35" xfId="0" applyNumberFormat="1" applyFont="1" applyFill="1" applyBorder="1" applyAlignment="1" applyProtection="1">
      <alignment horizontal="right" vertical="center"/>
      <protection locked="0"/>
    </xf>
    <xf numFmtId="3" fontId="33" fillId="0" borderId="33" xfId="0" applyNumberFormat="1" applyFont="1" applyFill="1" applyBorder="1" applyAlignment="1" applyProtection="1">
      <alignment vertical="center"/>
      <protection locked="0"/>
    </xf>
    <xf numFmtId="165" fontId="17" fillId="0" borderId="14" xfId="0" applyNumberFormat="1" applyFont="1" applyFill="1" applyBorder="1" applyAlignment="1" applyProtection="1">
      <alignment horizontal="right" vertical="center"/>
      <protection locked="0"/>
    </xf>
    <xf numFmtId="3" fontId="33" fillId="0" borderId="33" xfId="0" applyNumberFormat="1" applyFont="1" applyFill="1" applyBorder="1" applyAlignment="1" applyProtection="1">
      <alignment horizontal="right" vertical="center"/>
      <protection locked="0"/>
    </xf>
    <xf numFmtId="3" fontId="33" fillId="0" borderId="75" xfId="0" applyNumberFormat="1" applyFont="1" applyFill="1" applyBorder="1" applyAlignment="1" applyProtection="1">
      <alignment horizontal="right" vertical="center"/>
      <protection locked="0"/>
    </xf>
    <xf numFmtId="165" fontId="16" fillId="0" borderId="36" xfId="0" applyNumberFormat="1" applyFont="1" applyFill="1" applyBorder="1" applyAlignment="1" applyProtection="1">
      <alignment horizontal="right" vertical="center"/>
      <protection locked="0"/>
    </xf>
    <xf numFmtId="3" fontId="33" fillId="0" borderId="75" xfId="0" applyNumberFormat="1" applyFont="1" applyFill="1" applyBorder="1" applyAlignment="1" applyProtection="1">
      <alignment vertical="center"/>
      <protection locked="0"/>
    </xf>
    <xf numFmtId="3" fontId="33" fillId="0" borderId="33" xfId="0" applyNumberFormat="1" applyFont="1" applyFill="1" applyBorder="1" applyAlignment="1" applyProtection="1">
      <alignment vertical="center"/>
      <protection locked="0"/>
    </xf>
    <xf numFmtId="165" fontId="14" fillId="0" borderId="36" xfId="0" applyNumberFormat="1" applyFont="1" applyFill="1" applyBorder="1" applyAlignment="1" applyProtection="1">
      <alignment vertical="center"/>
      <protection locked="0"/>
    </xf>
    <xf numFmtId="3" fontId="33" fillId="0" borderId="33" xfId="0" applyNumberFormat="1" applyFont="1" applyFill="1" applyBorder="1" applyAlignment="1" applyProtection="1">
      <alignment horizontal="center" vertical="center"/>
      <protection locked="0"/>
    </xf>
    <xf numFmtId="165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4" fillId="0" borderId="4" xfId="0" applyNumberFormat="1" applyFont="1" applyFill="1" applyBorder="1" applyAlignment="1" applyProtection="1">
      <alignment horizontal="left" vertical="center" wrapText="1"/>
      <protection locked="0"/>
    </xf>
    <xf numFmtId="3" fontId="32" fillId="0" borderId="15" xfId="0" applyNumberFormat="1" applyFont="1" applyFill="1" applyBorder="1" applyAlignment="1" applyProtection="1">
      <alignment horizontal="right" vertical="center"/>
      <protection locked="0"/>
    </xf>
    <xf numFmtId="3" fontId="32" fillId="0" borderId="6" xfId="0" applyNumberFormat="1" applyFont="1" applyFill="1" applyBorder="1" applyAlignment="1" applyProtection="1">
      <alignment vertical="center"/>
      <protection locked="0"/>
    </xf>
    <xf numFmtId="165" fontId="17" fillId="0" borderId="27" xfId="0" applyNumberFormat="1" applyFont="1" applyFill="1" applyBorder="1" applyAlignment="1" applyProtection="1">
      <alignment horizontal="right" vertical="center"/>
      <protection locked="0"/>
    </xf>
    <xf numFmtId="3" fontId="32" fillId="0" borderId="6" xfId="0" applyNumberFormat="1" applyFont="1" applyFill="1" applyBorder="1" applyAlignment="1" applyProtection="1">
      <alignment horizontal="right" vertical="center"/>
      <protection locked="0"/>
    </xf>
    <xf numFmtId="3" fontId="32" fillId="0" borderId="3" xfId="0" applyNumberFormat="1" applyFont="1" applyFill="1" applyBorder="1" applyAlignment="1" applyProtection="1">
      <alignment horizontal="right" vertical="center"/>
      <protection locked="0"/>
    </xf>
    <xf numFmtId="165" fontId="16" fillId="0" borderId="16" xfId="0" applyNumberFormat="1" applyFont="1" applyFill="1" applyBorder="1" applyAlignment="1" applyProtection="1">
      <alignment horizontal="right" vertical="center"/>
      <protection locked="0"/>
    </xf>
    <xf numFmtId="3" fontId="32" fillId="0" borderId="3" xfId="0" applyNumberFormat="1" applyFont="1" applyFill="1" applyBorder="1" applyAlignment="1" applyProtection="1">
      <alignment vertical="center"/>
      <protection locked="0"/>
    </xf>
    <xf numFmtId="165" fontId="16" fillId="0" borderId="16" xfId="0" applyNumberFormat="1" applyFont="1" applyFill="1" applyBorder="1" applyAlignment="1" applyProtection="1">
      <alignment vertical="center"/>
      <protection locked="0"/>
    </xf>
    <xf numFmtId="3" fontId="32" fillId="0" borderId="6" xfId="0" applyNumberFormat="1" applyFont="1" applyFill="1" applyBorder="1" applyAlignment="1" applyProtection="1">
      <alignment horizontal="center" vertical="center"/>
      <protection locked="0"/>
    </xf>
    <xf numFmtId="165" fontId="3" fillId="0" borderId="16" xfId="0" applyNumberFormat="1" applyFont="1" applyFill="1" applyBorder="1" applyAlignment="1" applyProtection="1">
      <alignment horizontal="center" vertical="center"/>
      <protection locked="0"/>
    </xf>
    <xf numFmtId="165" fontId="16" fillId="0" borderId="53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Border="1" applyAlignment="1">
      <alignment/>
    </xf>
    <xf numFmtId="1" fontId="2" fillId="0" borderId="65" xfId="0" applyNumberFormat="1" applyFont="1" applyFill="1" applyBorder="1" applyAlignment="1" applyProtection="1">
      <alignment horizontal="left" vertical="center" wrapText="1"/>
      <protection locked="0"/>
    </xf>
    <xf numFmtId="3" fontId="33" fillId="0" borderId="49" xfId="0" applyNumberFormat="1" applyFont="1" applyFill="1" applyBorder="1" applyAlignment="1" applyProtection="1">
      <alignment horizontal="right" vertical="center"/>
      <protection locked="0"/>
    </xf>
    <xf numFmtId="3" fontId="33" fillId="0" borderId="46" xfId="0" applyNumberFormat="1" applyFont="1" applyFill="1" applyBorder="1" applyAlignment="1" applyProtection="1">
      <alignment horizontal="right" vertical="center"/>
      <protection locked="0"/>
    </xf>
    <xf numFmtId="3" fontId="33" fillId="0" borderId="46" xfId="0" applyNumberFormat="1" applyFont="1" applyFill="1" applyBorder="1" applyAlignment="1" applyProtection="1">
      <alignment vertical="center"/>
      <protection locked="0"/>
    </xf>
    <xf numFmtId="165" fontId="17" fillId="0" borderId="51" xfId="0" applyNumberFormat="1" applyFont="1" applyFill="1" applyBorder="1" applyAlignment="1" applyProtection="1">
      <alignment horizontal="right" vertical="center"/>
      <protection locked="0"/>
    </xf>
    <xf numFmtId="3" fontId="33" fillId="0" borderId="46" xfId="0" applyNumberFormat="1" applyFont="1" applyFill="1" applyBorder="1" applyAlignment="1" applyProtection="1">
      <alignment horizontal="center" vertical="center"/>
      <protection locked="0"/>
    </xf>
    <xf numFmtId="3" fontId="33" fillId="0" borderId="64" xfId="0" applyNumberFormat="1" applyFont="1" applyFill="1" applyBorder="1" applyAlignment="1" applyProtection="1">
      <alignment horizontal="center" vertical="center"/>
      <protection locked="0"/>
    </xf>
    <xf numFmtId="165" fontId="3" fillId="0" borderId="34" xfId="0" applyNumberFormat="1" applyFont="1" applyFill="1" applyBorder="1" applyAlignment="1" applyProtection="1">
      <alignment horizontal="center" vertical="center"/>
      <protection locked="0"/>
    </xf>
    <xf numFmtId="3" fontId="33" fillId="0" borderId="64" xfId="0" applyNumberFormat="1" applyFont="1" applyFill="1" applyBorder="1" applyAlignment="1" applyProtection="1">
      <alignment vertical="center"/>
      <protection locked="0"/>
    </xf>
    <xf numFmtId="165" fontId="14" fillId="0" borderId="34" xfId="0" applyNumberFormat="1" applyFont="1" applyFill="1" applyBorder="1" applyAlignment="1" applyProtection="1">
      <alignment vertical="center"/>
      <protection locked="0"/>
    </xf>
    <xf numFmtId="3" fontId="33" fillId="0" borderId="46" xfId="0" applyNumberFormat="1" applyFont="1" applyFill="1" applyBorder="1" applyAlignment="1" applyProtection="1">
      <alignment horizontal="right" vertical="center"/>
      <protection locked="0"/>
    </xf>
    <xf numFmtId="165" fontId="16" fillId="0" borderId="34" xfId="0" applyNumberFormat="1" applyFont="1" applyFill="1" applyBorder="1" applyAlignment="1" applyProtection="1">
      <alignment horizontal="right" vertical="center"/>
      <protection locked="0"/>
    </xf>
    <xf numFmtId="3" fontId="32" fillId="0" borderId="15" xfId="0" applyNumberFormat="1" applyFont="1" applyFill="1" applyBorder="1" applyAlignment="1" applyProtection="1">
      <alignment vertical="center"/>
      <protection locked="0"/>
    </xf>
    <xf numFmtId="3" fontId="32" fillId="0" borderId="6" xfId="0" applyNumberFormat="1" applyFont="1" applyFill="1" applyBorder="1" applyAlignment="1" applyProtection="1">
      <alignment vertical="center"/>
      <protection locked="0"/>
    </xf>
    <xf numFmtId="165" fontId="17" fillId="0" borderId="57" xfId="0" applyNumberFormat="1" applyFont="1" applyFill="1" applyBorder="1" applyAlignment="1" applyProtection="1">
      <alignment horizontal="right" vertical="center"/>
      <protection locked="0"/>
    </xf>
    <xf numFmtId="3" fontId="32" fillId="0" borderId="3" xfId="0" applyNumberFormat="1" applyFont="1" applyFill="1" applyBorder="1" applyAlignment="1" applyProtection="1">
      <alignment horizontal="center" vertical="center"/>
      <protection locked="0"/>
    </xf>
    <xf numFmtId="3" fontId="32" fillId="0" borderId="55" xfId="0" applyNumberFormat="1" applyFont="1" applyFill="1" applyBorder="1" applyAlignment="1" applyProtection="1">
      <alignment vertical="center"/>
      <protection locked="0"/>
    </xf>
    <xf numFmtId="3" fontId="32" fillId="0" borderId="54" xfId="0" applyNumberFormat="1" applyFont="1" applyFill="1" applyBorder="1" applyAlignment="1" applyProtection="1">
      <alignment horizontal="right" vertical="center"/>
      <protection locked="0"/>
    </xf>
    <xf numFmtId="1" fontId="2" fillId="0" borderId="65" xfId="0" applyNumberFormat="1" applyFont="1" applyFill="1" applyBorder="1" applyAlignment="1" applyProtection="1">
      <alignment horizontal="left" vertical="center" wrapText="1"/>
      <protection locked="0"/>
    </xf>
    <xf numFmtId="3" fontId="33" fillId="0" borderId="49" xfId="0" applyNumberFormat="1" applyFont="1" applyFill="1" applyBorder="1" applyAlignment="1" applyProtection="1">
      <alignment vertical="center"/>
      <protection locked="0"/>
    </xf>
    <xf numFmtId="3" fontId="33" fillId="0" borderId="46" xfId="0" applyNumberFormat="1" applyFont="1" applyFill="1" applyBorder="1" applyAlignment="1" applyProtection="1">
      <alignment vertical="center"/>
      <protection locked="0"/>
    </xf>
    <xf numFmtId="165" fontId="26" fillId="0" borderId="51" xfId="0" applyNumberFormat="1" applyFont="1" applyFill="1" applyBorder="1" applyAlignment="1" applyProtection="1">
      <alignment horizontal="right" vertical="center"/>
      <protection locked="0"/>
    </xf>
    <xf numFmtId="3" fontId="33" fillId="0" borderId="65" xfId="0" applyNumberFormat="1" applyFont="1" applyFill="1" applyBorder="1" applyAlignment="1" applyProtection="1">
      <alignment horizontal="right" vertical="center"/>
      <protection locked="0"/>
    </xf>
    <xf numFmtId="3" fontId="33" fillId="0" borderId="64" xfId="0" applyNumberFormat="1" applyFont="1" applyFill="1" applyBorder="1" applyAlignment="1" applyProtection="1">
      <alignment vertical="center"/>
      <protection locked="0"/>
    </xf>
    <xf numFmtId="3" fontId="33" fillId="0" borderId="46" xfId="0" applyNumberFormat="1" applyFont="1" applyFill="1" applyBorder="1" applyAlignment="1" applyProtection="1">
      <alignment horizontal="center" vertical="center"/>
      <protection locked="0"/>
    </xf>
    <xf numFmtId="165" fontId="12" fillId="0" borderId="34" xfId="0" applyNumberFormat="1" applyFont="1" applyFill="1" applyBorder="1" applyAlignment="1" applyProtection="1">
      <alignment horizontal="center" vertical="center"/>
      <protection locked="0"/>
    </xf>
    <xf numFmtId="3" fontId="33" fillId="0" borderId="49" xfId="0" applyNumberFormat="1" applyFont="1" applyFill="1" applyBorder="1" applyAlignment="1" applyProtection="1">
      <alignment horizontal="right" vertical="center"/>
      <protection locked="0"/>
    </xf>
    <xf numFmtId="165" fontId="14" fillId="0" borderId="51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Border="1" applyAlignment="1">
      <alignment/>
    </xf>
    <xf numFmtId="1" fontId="4" fillId="0" borderId="67" xfId="0" applyNumberFormat="1" applyFont="1" applyFill="1" applyBorder="1" applyAlignment="1" applyProtection="1">
      <alignment horizontal="left" vertical="center" wrapText="1"/>
      <protection locked="0"/>
    </xf>
    <xf numFmtId="3" fontId="32" fillId="0" borderId="55" xfId="0" applyNumberFormat="1" applyFont="1" applyFill="1" applyBorder="1" applyAlignment="1" applyProtection="1">
      <alignment vertical="center"/>
      <protection locked="0"/>
    </xf>
    <xf numFmtId="3" fontId="32" fillId="0" borderId="54" xfId="0" applyNumberFormat="1" applyFont="1" applyFill="1" applyBorder="1" applyAlignment="1" applyProtection="1">
      <alignment vertical="center"/>
      <protection locked="0"/>
    </xf>
    <xf numFmtId="3" fontId="32" fillId="0" borderId="54" xfId="0" applyNumberFormat="1" applyFont="1" applyFill="1" applyBorder="1" applyAlignment="1" applyProtection="1">
      <alignment vertical="center"/>
      <protection locked="0"/>
    </xf>
    <xf numFmtId="165" fontId="26" fillId="0" borderId="57" xfId="0" applyNumberFormat="1" applyFont="1" applyFill="1" applyBorder="1" applyAlignment="1" applyProtection="1">
      <alignment horizontal="right" vertical="center"/>
      <protection locked="0"/>
    </xf>
    <xf numFmtId="3" fontId="32" fillId="0" borderId="67" xfId="0" applyNumberFormat="1" applyFont="1" applyFill="1" applyBorder="1" applyAlignment="1" applyProtection="1">
      <alignment horizontal="right" vertical="center"/>
      <protection locked="0"/>
    </xf>
    <xf numFmtId="3" fontId="32" fillId="0" borderId="70" xfId="0" applyNumberFormat="1" applyFont="1" applyFill="1" applyBorder="1" applyAlignment="1" applyProtection="1">
      <alignment vertical="center"/>
      <protection locked="0"/>
    </xf>
    <xf numFmtId="165" fontId="16" fillId="0" borderId="53" xfId="0" applyNumberFormat="1" applyFont="1" applyFill="1" applyBorder="1" applyAlignment="1" applyProtection="1">
      <alignment vertical="center"/>
      <protection locked="0"/>
    </xf>
    <xf numFmtId="3" fontId="32" fillId="0" borderId="54" xfId="0" applyNumberFormat="1" applyFont="1" applyFill="1" applyBorder="1" applyAlignment="1" applyProtection="1">
      <alignment horizontal="center" vertical="center"/>
      <protection locked="0"/>
    </xf>
    <xf numFmtId="165" fontId="3" fillId="0" borderId="53" xfId="0" applyNumberFormat="1" applyFont="1" applyFill="1" applyBorder="1" applyAlignment="1" applyProtection="1">
      <alignment horizontal="center" vertical="center"/>
      <protection locked="0"/>
    </xf>
    <xf numFmtId="3" fontId="32" fillId="0" borderId="55" xfId="0" applyNumberFormat="1" applyFont="1" applyFill="1" applyBorder="1" applyAlignment="1" applyProtection="1">
      <alignment horizontal="right" vertical="center"/>
      <protection locked="0"/>
    </xf>
    <xf numFmtId="165" fontId="16" fillId="0" borderId="57" xfId="0" applyNumberFormat="1" applyFont="1" applyFill="1" applyBorder="1" applyAlignment="1" applyProtection="1">
      <alignment horizontal="right" vertical="center"/>
      <protection locked="0"/>
    </xf>
    <xf numFmtId="3" fontId="33" fillId="0" borderId="54" xfId="0" applyNumberFormat="1" applyFont="1" applyFill="1" applyBorder="1" applyAlignment="1" applyProtection="1">
      <alignment vertical="center"/>
      <protection locked="0"/>
    </xf>
    <xf numFmtId="165" fontId="26" fillId="0" borderId="34" xfId="0" applyNumberFormat="1" applyFont="1" applyFill="1" applyBorder="1" applyAlignment="1" applyProtection="1">
      <alignment vertical="center"/>
      <protection locked="0"/>
    </xf>
    <xf numFmtId="3" fontId="32" fillId="0" borderId="15" xfId="0" applyNumberFormat="1" applyFont="1" applyFill="1" applyBorder="1" applyAlignment="1" applyProtection="1">
      <alignment vertical="center"/>
      <protection locked="0"/>
    </xf>
    <xf numFmtId="3" fontId="32" fillId="0" borderId="4" xfId="0" applyNumberFormat="1" applyFont="1" applyFill="1" applyBorder="1" applyAlignment="1" applyProtection="1">
      <alignment horizontal="right" vertical="center"/>
      <protection locked="0"/>
    </xf>
    <xf numFmtId="165" fontId="16" fillId="0" borderId="27" xfId="0" applyNumberFormat="1" applyFont="1" applyFill="1" applyBorder="1" applyAlignment="1" applyProtection="1">
      <alignment horizontal="right" vertical="center"/>
      <protection locked="0"/>
    </xf>
    <xf numFmtId="165" fontId="26" fillId="0" borderId="27" xfId="0" applyNumberFormat="1" applyFont="1" applyFill="1" applyBorder="1" applyAlignment="1" applyProtection="1">
      <alignment horizontal="right" vertical="center"/>
      <protection locked="0"/>
    </xf>
    <xf numFmtId="3" fontId="32" fillId="0" borderId="56" xfId="0" applyNumberFormat="1" applyFont="1" applyFill="1" applyBorder="1" applyAlignment="1" applyProtection="1">
      <alignment vertical="center"/>
      <protection locked="0"/>
    </xf>
    <xf numFmtId="3" fontId="33" fillId="0" borderId="60" xfId="0" applyNumberFormat="1" applyFont="1" applyFill="1" applyBorder="1" applyAlignment="1" applyProtection="1">
      <alignment horizontal="center" vertical="center"/>
      <protection locked="0"/>
    </xf>
    <xf numFmtId="165" fontId="14" fillId="0" borderId="42" xfId="0" applyNumberFormat="1" applyFont="1" applyFill="1" applyBorder="1" applyAlignment="1" applyProtection="1">
      <alignment horizontal="center" vertical="center"/>
      <protection locked="0"/>
    </xf>
    <xf numFmtId="165" fontId="3" fillId="0" borderId="31" xfId="0" applyNumberFormat="1" applyFont="1" applyFill="1" applyBorder="1" applyAlignment="1" applyProtection="1">
      <alignment horizontal="right" vertical="center"/>
      <protection locked="0"/>
    </xf>
    <xf numFmtId="165" fontId="17" fillId="0" borderId="59" xfId="0" applyNumberFormat="1" applyFont="1" applyFill="1" applyBorder="1" applyAlignment="1" applyProtection="1">
      <alignment horizontal="right" vertical="center"/>
      <protection locked="0"/>
    </xf>
    <xf numFmtId="165" fontId="14" fillId="0" borderId="34" xfId="0" applyNumberFormat="1" applyFont="1" applyFill="1" applyBorder="1" applyAlignment="1" applyProtection="1">
      <alignment horizontal="center" vertical="center"/>
      <protection locked="0"/>
    </xf>
    <xf numFmtId="165" fontId="16" fillId="0" borderId="45" xfId="0" applyNumberFormat="1" applyFont="1" applyFill="1" applyBorder="1" applyAlignment="1" applyProtection="1">
      <alignment horizontal="right" vertical="center"/>
      <protection locked="0"/>
    </xf>
    <xf numFmtId="165" fontId="3" fillId="0" borderId="51" xfId="0" applyNumberFormat="1" applyFont="1" applyFill="1" applyBorder="1" applyAlignment="1" applyProtection="1">
      <alignment horizontal="right" vertical="center"/>
      <protection locked="0"/>
    </xf>
    <xf numFmtId="1" fontId="4" fillId="0" borderId="55" xfId="0" applyNumberFormat="1" applyFont="1" applyFill="1" applyBorder="1" applyAlignment="1" applyProtection="1">
      <alignment horizontal="centerContinuous" vertical="center"/>
      <protection locked="0"/>
    </xf>
    <xf numFmtId="1" fontId="4" fillId="0" borderId="67" xfId="0" applyNumberFormat="1" applyFont="1" applyFill="1" applyBorder="1" applyAlignment="1" applyProtection="1">
      <alignment horizontal="left" vertical="center" wrapText="1"/>
      <protection locked="0"/>
    </xf>
    <xf numFmtId="3" fontId="32" fillId="0" borderId="54" xfId="0" applyNumberFormat="1" applyFont="1" applyFill="1" applyBorder="1" applyAlignment="1" applyProtection="1">
      <alignment horizontal="center" vertical="center"/>
      <protection locked="0"/>
    </xf>
    <xf numFmtId="3" fontId="32" fillId="0" borderId="70" xfId="0" applyNumberFormat="1" applyFont="1" applyFill="1" applyBorder="1" applyAlignment="1" applyProtection="1">
      <alignment horizontal="center" vertical="center"/>
      <protection locked="0"/>
    </xf>
    <xf numFmtId="165" fontId="16" fillId="0" borderId="53" xfId="0" applyNumberFormat="1" applyFont="1" applyFill="1" applyBorder="1" applyAlignment="1" applyProtection="1">
      <alignment horizontal="center" vertical="center"/>
      <protection locked="0"/>
    </xf>
    <xf numFmtId="3" fontId="32" fillId="0" borderId="54" xfId="0" applyNumberFormat="1" applyFont="1" applyFill="1" applyBorder="1" applyAlignment="1" applyProtection="1">
      <alignment horizontal="right" vertical="center"/>
      <protection locked="0"/>
    </xf>
    <xf numFmtId="3" fontId="32" fillId="0" borderId="55" xfId="0" applyNumberFormat="1" applyFont="1" applyFill="1" applyBorder="1" applyAlignment="1" applyProtection="1">
      <alignment horizontal="right" vertical="center"/>
      <protection locked="0"/>
    </xf>
    <xf numFmtId="165" fontId="3" fillId="0" borderId="57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Border="1" applyAlignment="1">
      <alignment/>
    </xf>
    <xf numFmtId="1" fontId="2" fillId="0" borderId="43" xfId="0" applyNumberFormat="1" applyFont="1" applyFill="1" applyBorder="1" applyAlignment="1" applyProtection="1">
      <alignment horizontal="centerContinuous" vertical="center"/>
      <protection locked="0"/>
    </xf>
    <xf numFmtId="165" fontId="2" fillId="0" borderId="41" xfId="18" applyNumberFormat="1" applyFont="1" applyFill="1" applyBorder="1" applyAlignment="1" applyProtection="1">
      <alignment vertical="center" wrapText="1"/>
      <protection locked="0"/>
    </xf>
    <xf numFmtId="3" fontId="33" fillId="0" borderId="43" xfId="0" applyNumberFormat="1" applyFont="1" applyFill="1" applyBorder="1" applyAlignment="1" applyProtection="1">
      <alignment vertical="center"/>
      <protection locked="0"/>
    </xf>
    <xf numFmtId="165" fontId="14" fillId="0" borderId="42" xfId="0" applyNumberFormat="1" applyFont="1" applyFill="1" applyBorder="1" applyAlignment="1" applyProtection="1">
      <alignment vertical="center"/>
      <protection locked="0"/>
    </xf>
    <xf numFmtId="165" fontId="3" fillId="0" borderId="42" xfId="0" applyNumberFormat="1" applyFont="1" applyFill="1" applyBorder="1" applyAlignment="1" applyProtection="1">
      <alignment vertical="center"/>
      <protection locked="0"/>
    </xf>
    <xf numFmtId="165" fontId="2" fillId="0" borderId="0" xfId="0" applyNumberFormat="1" applyFont="1" applyBorder="1" applyAlignment="1">
      <alignment/>
    </xf>
    <xf numFmtId="1" fontId="2" fillId="0" borderId="49" xfId="0" applyNumberFormat="1" applyFont="1" applyFill="1" applyBorder="1" applyAlignment="1" applyProtection="1">
      <alignment horizontal="centerContinuous" vertical="center"/>
      <protection locked="0"/>
    </xf>
    <xf numFmtId="165" fontId="2" fillId="0" borderId="65" xfId="18" applyNumberFormat="1" applyFont="1" applyFill="1" applyBorder="1" applyAlignment="1" applyProtection="1">
      <alignment horizontal="left" vertical="center" wrapText="1"/>
      <protection locked="0"/>
    </xf>
    <xf numFmtId="3" fontId="33" fillId="0" borderId="49" xfId="0" applyNumberFormat="1" applyFont="1" applyFill="1" applyBorder="1" applyAlignment="1" applyProtection="1">
      <alignment vertical="center"/>
      <protection locked="0"/>
    </xf>
    <xf numFmtId="3" fontId="33" fillId="0" borderId="48" xfId="0" applyNumberFormat="1" applyFont="1" applyFill="1" applyBorder="1" applyAlignment="1" applyProtection="1">
      <alignment vertical="center"/>
      <protection locked="0"/>
    </xf>
    <xf numFmtId="1" fontId="4" fillId="0" borderId="15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4" xfId="18" applyNumberFormat="1" applyFont="1" applyFill="1" applyBorder="1" applyAlignment="1" applyProtection="1">
      <alignment horizontal="left" vertical="center" wrapText="1"/>
      <protection locked="0"/>
    </xf>
    <xf numFmtId="3" fontId="32" fillId="0" borderId="3" xfId="0" applyNumberFormat="1" applyFont="1" applyFill="1" applyBorder="1" applyAlignment="1" applyProtection="1">
      <alignment vertical="center"/>
      <protection locked="0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3" fontId="32" fillId="0" borderId="15" xfId="0" applyNumberFormat="1" applyFont="1" applyFill="1" applyBorder="1" applyAlignment="1" applyProtection="1">
      <alignment horizontal="right" vertical="center"/>
      <protection locked="0"/>
    </xf>
    <xf numFmtId="3" fontId="32" fillId="0" borderId="6" xfId="0" applyNumberFormat="1" applyFont="1" applyFill="1" applyBorder="1" applyAlignment="1" applyProtection="1">
      <alignment horizontal="right" vertical="center"/>
      <protection locked="0"/>
    </xf>
    <xf numFmtId="165" fontId="3" fillId="0" borderId="27" xfId="0" applyNumberFormat="1" applyFont="1" applyFill="1" applyBorder="1" applyAlignment="1" applyProtection="1">
      <alignment horizontal="right" vertical="center"/>
      <protection locked="0"/>
    </xf>
    <xf numFmtId="165" fontId="4" fillId="0" borderId="4" xfId="18" applyNumberFormat="1" applyFont="1" applyFill="1" applyBorder="1" applyAlignment="1" applyProtection="1">
      <alignment vertical="center" wrapText="1"/>
      <protection locked="0"/>
    </xf>
    <xf numFmtId="3" fontId="32" fillId="0" borderId="24" xfId="0" applyNumberFormat="1" applyFont="1" applyFill="1" applyBorder="1" applyAlignment="1" applyProtection="1">
      <alignment vertical="center"/>
      <protection locked="0"/>
    </xf>
    <xf numFmtId="165" fontId="3" fillId="0" borderId="27" xfId="0" applyNumberFormat="1" applyFont="1" applyFill="1" applyBorder="1" applyAlignment="1" applyProtection="1">
      <alignment vertical="center"/>
      <protection locked="0"/>
    </xf>
    <xf numFmtId="1" fontId="2" fillId="0" borderId="43" xfId="0" applyNumberFormat="1" applyFont="1" applyFill="1" applyBorder="1" applyAlignment="1" applyProtection="1">
      <alignment horizontal="centerContinuous" vertical="center"/>
      <protection locked="0"/>
    </xf>
    <xf numFmtId="165" fontId="2" fillId="0" borderId="41" xfId="18" applyNumberFormat="1" applyFont="1" applyFill="1" applyBorder="1" applyAlignment="1" applyProtection="1">
      <alignment vertical="center" wrapText="1"/>
      <protection locked="0"/>
    </xf>
    <xf numFmtId="3" fontId="33" fillId="0" borderId="43" xfId="0" applyNumberFormat="1" applyFont="1" applyFill="1" applyBorder="1" applyAlignment="1" applyProtection="1">
      <alignment vertical="center"/>
      <protection locked="0"/>
    </xf>
    <xf numFmtId="165" fontId="26" fillId="0" borderId="31" xfId="0" applyNumberFormat="1" applyFont="1" applyFill="1" applyBorder="1" applyAlignment="1" applyProtection="1">
      <alignment horizontal="right" vertical="center"/>
      <protection locked="0"/>
    </xf>
    <xf numFmtId="165" fontId="17" fillId="0" borderId="42" xfId="0" applyNumberFormat="1" applyFont="1" applyFill="1" applyBorder="1" applyAlignment="1" applyProtection="1">
      <alignment horizontal="right" vertical="center"/>
      <protection locked="0"/>
    </xf>
    <xf numFmtId="3" fontId="33" fillId="0" borderId="60" xfId="0" applyNumberFormat="1" applyFont="1" applyFill="1" applyBorder="1" applyAlignment="1" applyProtection="1">
      <alignment vertical="center"/>
      <protection locked="0"/>
    </xf>
    <xf numFmtId="165" fontId="14" fillId="0" borderId="42" xfId="0" applyNumberFormat="1" applyFont="1" applyFill="1" applyBorder="1" applyAlignment="1" applyProtection="1">
      <alignment horizontal="right" vertical="center"/>
      <protection locked="0"/>
    </xf>
    <xf numFmtId="165" fontId="12" fillId="0" borderId="31" xfId="0" applyNumberFormat="1" applyFont="1" applyFill="1" applyBorder="1" applyAlignment="1" applyProtection="1">
      <alignment vertical="center"/>
      <protection locked="0"/>
    </xf>
    <xf numFmtId="1" fontId="2" fillId="0" borderId="15" xfId="0" applyNumberFormat="1" applyFont="1" applyFill="1" applyBorder="1" applyAlignment="1" applyProtection="1">
      <alignment horizontal="centerContinuous" vertical="center"/>
      <protection locked="0"/>
    </xf>
    <xf numFmtId="165" fontId="2" fillId="0" borderId="29" xfId="18" applyNumberFormat="1" applyFont="1" applyFill="1" applyBorder="1" applyAlignment="1" applyProtection="1">
      <alignment vertical="center" wrapText="1"/>
      <protection locked="0"/>
    </xf>
    <xf numFmtId="3" fontId="33" fillId="0" borderId="15" xfId="0" applyNumberFormat="1" applyFont="1" applyFill="1" applyBorder="1" applyAlignment="1" applyProtection="1">
      <alignment vertical="center"/>
      <protection locked="0"/>
    </xf>
    <xf numFmtId="3" fontId="33" fillId="0" borderId="6" xfId="0" applyNumberFormat="1" applyFont="1" applyFill="1" applyBorder="1" applyAlignment="1" applyProtection="1">
      <alignment vertical="center"/>
      <protection locked="0"/>
    </xf>
    <xf numFmtId="3" fontId="33" fillId="0" borderId="3" xfId="0" applyNumberFormat="1" applyFont="1" applyFill="1" applyBorder="1" applyAlignment="1" applyProtection="1">
      <alignment vertical="center"/>
      <protection locked="0"/>
    </xf>
    <xf numFmtId="165" fontId="14" fillId="0" borderId="16" xfId="0" applyNumberFormat="1" applyFont="1" applyFill="1" applyBorder="1" applyAlignment="1" applyProtection="1">
      <alignment vertical="center"/>
      <protection locked="0"/>
    </xf>
    <xf numFmtId="3" fontId="33" fillId="0" borderId="4" xfId="0" applyNumberFormat="1" applyFont="1" applyFill="1" applyBorder="1" applyAlignment="1" applyProtection="1">
      <alignment vertical="center"/>
      <protection locked="0"/>
    </xf>
    <xf numFmtId="3" fontId="33" fillId="0" borderId="28" xfId="0" applyNumberFormat="1" applyFont="1" applyFill="1" applyBorder="1" applyAlignment="1" applyProtection="1">
      <alignment vertical="center"/>
      <protection locked="0"/>
    </xf>
    <xf numFmtId="165" fontId="14" fillId="0" borderId="16" xfId="0" applyNumberFormat="1" applyFont="1" applyFill="1" applyBorder="1" applyAlignment="1" applyProtection="1">
      <alignment horizontal="right" vertical="center"/>
      <protection locked="0"/>
    </xf>
    <xf numFmtId="165" fontId="12" fillId="0" borderId="27" xfId="0" applyNumberFormat="1" applyFont="1" applyFill="1" applyBorder="1" applyAlignment="1" applyProtection="1">
      <alignment vertical="center"/>
      <protection locked="0"/>
    </xf>
    <xf numFmtId="1" fontId="4" fillId="0" borderId="55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67" xfId="18" applyNumberFormat="1" applyFont="1" applyFill="1" applyBorder="1" applyAlignment="1" applyProtection="1">
      <alignment vertical="center" wrapText="1"/>
      <protection locked="0"/>
    </xf>
    <xf numFmtId="165" fontId="17" fillId="0" borderId="53" xfId="0" applyNumberFormat="1" applyFont="1" applyFill="1" applyBorder="1" applyAlignment="1" applyProtection="1">
      <alignment horizontal="right" vertical="center"/>
      <protection locked="0"/>
    </xf>
    <xf numFmtId="3" fontId="32" fillId="0" borderId="67" xfId="0" applyNumberFormat="1" applyFont="1" applyFill="1" applyBorder="1" applyAlignment="1" applyProtection="1">
      <alignment vertical="center"/>
      <protection locked="0"/>
    </xf>
    <xf numFmtId="165" fontId="3" fillId="0" borderId="57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Border="1" applyAlignment="1">
      <alignment/>
    </xf>
    <xf numFmtId="1" fontId="4" fillId="0" borderId="47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45" xfId="18" applyNumberFormat="1" applyFont="1" applyFill="1" applyBorder="1" applyAlignment="1" applyProtection="1">
      <alignment vertical="center" wrapText="1"/>
      <protection locked="0"/>
    </xf>
    <xf numFmtId="3" fontId="32" fillId="0" borderId="47" xfId="0" applyNumberFormat="1" applyFont="1" applyFill="1" applyBorder="1" applyAlignment="1" applyProtection="1">
      <alignment vertical="center"/>
      <protection locked="0"/>
    </xf>
    <xf numFmtId="3" fontId="32" fillId="0" borderId="48" xfId="0" applyNumberFormat="1" applyFont="1" applyFill="1" applyBorder="1" applyAlignment="1" applyProtection="1">
      <alignment vertical="center"/>
      <protection locked="0"/>
    </xf>
    <xf numFmtId="165" fontId="17" fillId="0" borderId="45" xfId="0" applyNumberFormat="1" applyFont="1" applyFill="1" applyBorder="1" applyAlignment="1" applyProtection="1">
      <alignment horizontal="right" vertical="center"/>
      <protection locked="0"/>
    </xf>
    <xf numFmtId="3" fontId="32" fillId="0" borderId="62" xfId="0" applyNumberFormat="1" applyFont="1" applyFill="1" applyBorder="1" applyAlignment="1" applyProtection="1">
      <alignment vertical="center"/>
      <protection locked="0"/>
    </xf>
    <xf numFmtId="165" fontId="16" fillId="0" borderId="45" xfId="0" applyNumberFormat="1" applyFont="1" applyFill="1" applyBorder="1" applyAlignment="1" applyProtection="1">
      <alignment vertical="center"/>
      <protection locked="0"/>
    </xf>
    <xf numFmtId="3" fontId="32" fillId="0" borderId="66" xfId="0" applyNumberFormat="1" applyFont="1" applyFill="1" applyBorder="1" applyAlignment="1" applyProtection="1">
      <alignment vertical="center"/>
      <protection locked="0"/>
    </xf>
    <xf numFmtId="165" fontId="3" fillId="0" borderId="59" xfId="0" applyNumberFormat="1" applyFont="1" applyFill="1" applyBorder="1" applyAlignment="1" applyProtection="1">
      <alignment vertical="center"/>
      <protection locked="0"/>
    </xf>
    <xf numFmtId="165" fontId="2" fillId="0" borderId="45" xfId="18" applyNumberFormat="1" applyFont="1" applyFill="1" applyBorder="1" applyAlignment="1" applyProtection="1">
      <alignment vertical="center" wrapText="1"/>
      <protection locked="0"/>
    </xf>
    <xf numFmtId="165" fontId="26" fillId="0" borderId="59" xfId="0" applyNumberFormat="1" applyFont="1" applyFill="1" applyBorder="1" applyAlignment="1" applyProtection="1">
      <alignment horizontal="right" vertical="center"/>
      <protection locked="0"/>
    </xf>
    <xf numFmtId="3" fontId="33" fillId="0" borderId="6" xfId="0" applyNumberFormat="1" applyFont="1" applyFill="1" applyBorder="1" applyAlignment="1" applyProtection="1">
      <alignment horizontal="right" vertical="center"/>
      <protection locked="0"/>
    </xf>
    <xf numFmtId="165" fontId="12" fillId="0" borderId="16" xfId="0" applyNumberFormat="1" applyFont="1" applyFill="1" applyBorder="1" applyAlignment="1" applyProtection="1">
      <alignment vertical="center"/>
      <protection locked="0"/>
    </xf>
    <xf numFmtId="165" fontId="2" fillId="0" borderId="0" xfId="0" applyNumberFormat="1" applyFont="1" applyBorder="1" applyAlignment="1">
      <alignment/>
    </xf>
    <xf numFmtId="165" fontId="4" fillId="0" borderId="67" xfId="18" applyNumberFormat="1" applyFont="1" applyFill="1" applyBorder="1" applyAlignment="1" applyProtection="1">
      <alignment vertical="center" wrapText="1"/>
      <protection locked="0"/>
    </xf>
    <xf numFmtId="3" fontId="32" fillId="0" borderId="70" xfId="0" applyNumberFormat="1" applyFont="1" applyFill="1" applyBorder="1" applyAlignment="1" applyProtection="1">
      <alignment vertical="center"/>
      <protection locked="0"/>
    </xf>
    <xf numFmtId="3" fontId="32" fillId="0" borderId="67" xfId="0" applyNumberFormat="1" applyFont="1" applyFill="1" applyBorder="1" applyAlignment="1" applyProtection="1">
      <alignment vertical="center"/>
      <protection locked="0"/>
    </xf>
    <xf numFmtId="165" fontId="3" fillId="0" borderId="53" xfId="0" applyNumberFormat="1" applyFont="1" applyFill="1" applyBorder="1" applyAlignment="1" applyProtection="1">
      <alignment vertical="center"/>
      <protection locked="0"/>
    </xf>
    <xf numFmtId="165" fontId="4" fillId="0" borderId="66" xfId="18" applyNumberFormat="1" applyFont="1" applyFill="1" applyBorder="1" applyAlignment="1" applyProtection="1">
      <alignment vertical="center" wrapText="1"/>
      <protection locked="0"/>
    </xf>
    <xf numFmtId="3" fontId="32" fillId="0" borderId="47" xfId="0" applyNumberFormat="1" applyFont="1" applyFill="1" applyBorder="1" applyAlignment="1" applyProtection="1">
      <alignment vertical="center"/>
      <protection locked="0"/>
    </xf>
    <xf numFmtId="3" fontId="32" fillId="0" borderId="62" xfId="0" applyNumberFormat="1" applyFont="1" applyFill="1" applyBorder="1" applyAlignment="1" applyProtection="1">
      <alignment vertical="center"/>
      <protection locked="0"/>
    </xf>
    <xf numFmtId="3" fontId="32" fillId="0" borderId="48" xfId="0" applyNumberFormat="1" applyFont="1" applyFill="1" applyBorder="1" applyAlignment="1" applyProtection="1">
      <alignment horizontal="right" vertical="center"/>
      <protection locked="0"/>
    </xf>
    <xf numFmtId="3" fontId="32" fillId="0" borderId="66" xfId="0" applyNumberFormat="1" applyFont="1" applyFill="1" applyBorder="1" applyAlignment="1" applyProtection="1">
      <alignment vertical="center"/>
      <protection locked="0"/>
    </xf>
    <xf numFmtId="3" fontId="32" fillId="0" borderId="48" xfId="0" applyNumberFormat="1" applyFont="1" applyFill="1" applyBorder="1" applyAlignment="1" applyProtection="1">
      <alignment vertical="center"/>
      <protection locked="0"/>
    </xf>
    <xf numFmtId="165" fontId="3" fillId="0" borderId="45" xfId="0" applyNumberFormat="1" applyFont="1" applyFill="1" applyBorder="1" applyAlignment="1" applyProtection="1">
      <alignment vertical="center"/>
      <protection locked="0"/>
    </xf>
    <xf numFmtId="1" fontId="2" fillId="0" borderId="49" xfId="0" applyNumberFormat="1" applyFont="1" applyFill="1" applyBorder="1" applyAlignment="1" applyProtection="1">
      <alignment horizontal="centerContinuous" vertical="center"/>
      <protection locked="0"/>
    </xf>
    <xf numFmtId="165" fontId="2" fillId="0" borderId="65" xfId="18" applyNumberFormat="1" applyFont="1" applyFill="1" applyBorder="1" applyAlignment="1" applyProtection="1">
      <alignment horizontal="left" vertical="center" wrapText="1"/>
      <protection locked="0"/>
    </xf>
    <xf numFmtId="3" fontId="33" fillId="0" borderId="64" xfId="0" applyNumberFormat="1" applyFont="1" applyFill="1" applyBorder="1" applyAlignment="1" applyProtection="1">
      <alignment horizontal="right" vertical="center"/>
      <protection locked="0"/>
    </xf>
    <xf numFmtId="165" fontId="5" fillId="0" borderId="34" xfId="0" applyNumberFormat="1" applyFont="1" applyFill="1" applyBorder="1" applyAlignment="1" applyProtection="1">
      <alignment horizontal="right" vertical="center"/>
      <protection locked="0"/>
    </xf>
    <xf numFmtId="165" fontId="14" fillId="0" borderId="34" xfId="0" applyNumberFormat="1" applyFont="1" applyFill="1" applyBorder="1" applyAlignment="1" applyProtection="1">
      <alignment horizontal="right" vertical="center"/>
      <protection locked="0"/>
    </xf>
    <xf numFmtId="3" fontId="32" fillId="0" borderId="3" xfId="0" applyNumberFormat="1" applyFont="1" applyFill="1" applyBorder="1" applyAlignment="1" applyProtection="1">
      <alignment horizontal="right" vertical="center"/>
      <protection locked="0"/>
    </xf>
    <xf numFmtId="165" fontId="3" fillId="0" borderId="16" xfId="0" applyNumberFormat="1" applyFont="1" applyFill="1" applyBorder="1" applyAlignment="1" applyProtection="1">
      <alignment horizontal="right" vertical="center"/>
      <protection locked="0"/>
    </xf>
    <xf numFmtId="3" fontId="32" fillId="0" borderId="26" xfId="0" applyNumberFormat="1" applyFont="1" applyFill="1" applyBorder="1" applyAlignment="1" applyProtection="1">
      <alignment vertical="center"/>
      <protection locked="0"/>
    </xf>
    <xf numFmtId="1" fontId="15" fillId="0" borderId="15" xfId="0" applyNumberFormat="1" applyFont="1" applyFill="1" applyBorder="1" applyAlignment="1" applyProtection="1">
      <alignment horizontal="centerContinuous" vertical="center"/>
      <protection locked="0"/>
    </xf>
    <xf numFmtId="165" fontId="15" fillId="0" borderId="4" xfId="18" applyNumberFormat="1" applyFont="1" applyFill="1" applyBorder="1" applyAlignment="1" applyProtection="1">
      <alignment vertical="center" wrapText="1"/>
      <protection locked="0"/>
    </xf>
    <xf numFmtId="3" fontId="35" fillId="0" borderId="15" xfId="0" applyNumberFormat="1" applyFont="1" applyFill="1" applyBorder="1" applyAlignment="1" applyProtection="1">
      <alignment vertical="center"/>
      <protection locked="0"/>
    </xf>
    <xf numFmtId="3" fontId="35" fillId="0" borderId="6" xfId="0" applyNumberFormat="1" applyFont="1" applyFill="1" applyBorder="1" applyAlignment="1" applyProtection="1">
      <alignment vertical="center"/>
      <protection locked="0"/>
    </xf>
    <xf numFmtId="3" fontId="35" fillId="0" borderId="3" xfId="0" applyNumberFormat="1" applyFont="1" applyFill="1" applyBorder="1" applyAlignment="1" applyProtection="1">
      <alignment vertical="center"/>
      <protection locked="0"/>
    </xf>
    <xf numFmtId="3" fontId="35" fillId="0" borderId="26" xfId="0" applyNumberFormat="1" applyFont="1" applyFill="1" applyBorder="1" applyAlignment="1" applyProtection="1">
      <alignment vertical="center"/>
      <protection locked="0"/>
    </xf>
    <xf numFmtId="165" fontId="15" fillId="0" borderId="0" xfId="0" applyNumberFormat="1" applyFont="1" applyBorder="1" applyAlignment="1">
      <alignment/>
    </xf>
    <xf numFmtId="1" fontId="15" fillId="0" borderId="55" xfId="0" applyNumberFormat="1" applyFont="1" applyFill="1" applyBorder="1" applyAlignment="1" applyProtection="1">
      <alignment horizontal="centerContinuous" vertical="center"/>
      <protection locked="0"/>
    </xf>
    <xf numFmtId="165" fontId="15" fillId="0" borderId="67" xfId="18" applyNumberFormat="1" applyFont="1" applyFill="1" applyBorder="1" applyAlignment="1" applyProtection="1">
      <alignment vertical="center" wrapText="1"/>
      <protection locked="0"/>
    </xf>
    <xf numFmtId="3" fontId="35" fillId="0" borderId="55" xfId="0" applyNumberFormat="1" applyFont="1" applyFill="1" applyBorder="1" applyAlignment="1" applyProtection="1">
      <alignment vertical="center"/>
      <protection locked="0"/>
    </xf>
    <xf numFmtId="3" fontId="35" fillId="0" borderId="54" xfId="0" applyNumberFormat="1" applyFont="1" applyFill="1" applyBorder="1" applyAlignment="1" applyProtection="1">
      <alignment vertical="center"/>
      <protection locked="0"/>
    </xf>
    <xf numFmtId="3" fontId="35" fillId="0" borderId="70" xfId="0" applyNumberFormat="1" applyFont="1" applyFill="1" applyBorder="1" applyAlignment="1" applyProtection="1">
      <alignment vertical="center"/>
      <protection locked="0"/>
    </xf>
    <xf numFmtId="3" fontId="35" fillId="0" borderId="52" xfId="0" applyNumberFormat="1" applyFont="1" applyFill="1" applyBorder="1" applyAlignment="1" applyProtection="1">
      <alignment vertical="center"/>
      <protection locked="0"/>
    </xf>
    <xf numFmtId="165" fontId="15" fillId="0" borderId="0" xfId="18" applyNumberFormat="1" applyFont="1" applyFill="1" applyBorder="1" applyAlignment="1" applyProtection="1">
      <alignment vertical="center" wrapText="1"/>
      <protection locked="0"/>
    </xf>
    <xf numFmtId="1" fontId="15" fillId="0" borderId="47" xfId="0" applyNumberFormat="1" applyFont="1" applyFill="1" applyBorder="1" applyAlignment="1" applyProtection="1">
      <alignment horizontal="centerContinuous" vertical="center"/>
      <protection locked="0"/>
    </xf>
    <xf numFmtId="165" fontId="15" fillId="0" borderId="66" xfId="18" applyNumberFormat="1" applyFont="1" applyFill="1" applyBorder="1" applyAlignment="1" applyProtection="1">
      <alignment vertical="center" wrapText="1"/>
      <protection locked="0"/>
    </xf>
    <xf numFmtId="3" fontId="35" fillId="0" borderId="47" xfId="0" applyNumberFormat="1" applyFont="1" applyFill="1" applyBorder="1" applyAlignment="1" applyProtection="1">
      <alignment vertical="center"/>
      <protection locked="0"/>
    </xf>
    <xf numFmtId="3" fontId="35" fillId="0" borderId="48" xfId="0" applyNumberFormat="1" applyFont="1" applyFill="1" applyBorder="1" applyAlignment="1" applyProtection="1">
      <alignment vertical="center"/>
      <protection locked="0"/>
    </xf>
    <xf numFmtId="3" fontId="35" fillId="0" borderId="62" xfId="0" applyNumberFormat="1" applyFont="1" applyFill="1" applyBorder="1" applyAlignment="1" applyProtection="1">
      <alignment vertical="center"/>
      <protection locked="0"/>
    </xf>
    <xf numFmtId="3" fontId="35" fillId="0" borderId="44" xfId="0" applyNumberFormat="1" applyFont="1" applyFill="1" applyBorder="1" applyAlignment="1" applyProtection="1">
      <alignment vertical="center"/>
      <protection locked="0"/>
    </xf>
    <xf numFmtId="165" fontId="16" fillId="0" borderId="59" xfId="0" applyNumberFormat="1" applyFont="1" applyFill="1" applyBorder="1" applyAlignment="1" applyProtection="1">
      <alignment horizontal="right" vertical="center"/>
      <protection locked="0"/>
    </xf>
    <xf numFmtId="3" fontId="33" fillId="0" borderId="64" xfId="0" applyNumberFormat="1" applyFont="1" applyFill="1" applyBorder="1" applyAlignment="1" applyProtection="1">
      <alignment horizontal="right" vertical="center"/>
      <protection locked="0"/>
    </xf>
    <xf numFmtId="165" fontId="3" fillId="0" borderId="34" xfId="0" applyNumberFormat="1" applyFont="1" applyFill="1" applyBorder="1" applyAlignment="1" applyProtection="1">
      <alignment horizontal="right" vertical="center"/>
      <protection locked="0"/>
    </xf>
    <xf numFmtId="165" fontId="4" fillId="0" borderId="16" xfId="18" applyNumberFormat="1" applyFont="1" applyFill="1" applyBorder="1" applyAlignment="1" applyProtection="1">
      <alignment vertical="center" wrapText="1"/>
      <protection locked="0"/>
    </xf>
    <xf numFmtId="0" fontId="15" fillId="0" borderId="4" xfId="0" applyFont="1" applyBorder="1" applyAlignment="1">
      <alignment horizontal="left" vertical="center" wrapText="1"/>
    </xf>
    <xf numFmtId="3" fontId="35" fillId="0" borderId="6" xfId="0" applyNumberFormat="1" applyFont="1" applyFill="1" applyBorder="1" applyAlignment="1" applyProtection="1">
      <alignment horizontal="right" vertical="center"/>
      <protection locked="0"/>
    </xf>
    <xf numFmtId="165" fontId="16" fillId="0" borderId="27" xfId="0" applyNumberFormat="1" applyFont="1" applyFill="1" applyBorder="1" applyAlignment="1" applyProtection="1">
      <alignment vertical="center"/>
      <protection locked="0"/>
    </xf>
    <xf numFmtId="0" fontId="15" fillId="0" borderId="67" xfId="0" applyFont="1" applyBorder="1" applyAlignment="1">
      <alignment horizontal="left" vertical="center" wrapText="1"/>
    </xf>
    <xf numFmtId="3" fontId="35" fillId="0" borderId="54" xfId="0" applyNumberFormat="1" applyFont="1" applyFill="1" applyBorder="1" applyAlignment="1" applyProtection="1">
      <alignment horizontal="right" vertical="center"/>
      <protection locked="0"/>
    </xf>
    <xf numFmtId="165" fontId="16" fillId="0" borderId="57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165" fontId="12" fillId="0" borderId="34" xfId="0" applyNumberFormat="1" applyFont="1" applyFill="1" applyBorder="1" applyAlignment="1" applyProtection="1">
      <alignment vertical="center"/>
      <protection locked="0"/>
    </xf>
    <xf numFmtId="165" fontId="12" fillId="0" borderId="51" xfId="0" applyNumberFormat="1" applyFont="1" applyFill="1" applyBorder="1" applyAlignment="1" applyProtection="1">
      <alignment vertical="center"/>
      <protection locked="0"/>
    </xf>
    <xf numFmtId="1" fontId="4" fillId="0" borderId="15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Font="1" applyBorder="1" applyAlignment="1">
      <alignment horizontal="left" vertical="center" wrapText="1"/>
    </xf>
    <xf numFmtId="3" fontId="32" fillId="0" borderId="48" xfId="0" applyNumberFormat="1" applyFont="1" applyFill="1" applyBorder="1" applyAlignment="1" applyProtection="1">
      <alignment horizontal="right" vertical="center"/>
      <protection locked="0"/>
    </xf>
    <xf numFmtId="1" fontId="2" fillId="0" borderId="47" xfId="0" applyNumberFormat="1" applyFont="1" applyFill="1" applyBorder="1" applyAlignment="1" applyProtection="1">
      <alignment horizontal="centerContinuous" vertical="center"/>
      <protection locked="0"/>
    </xf>
    <xf numFmtId="165" fontId="2" fillId="0" borderId="66" xfId="18" applyNumberFormat="1" applyFont="1" applyFill="1" applyBorder="1" applyAlignment="1" applyProtection="1">
      <alignment vertical="center" wrapText="1"/>
      <protection locked="0"/>
    </xf>
    <xf numFmtId="3" fontId="33" fillId="0" borderId="47" xfId="0" applyNumberFormat="1" applyFont="1" applyFill="1" applyBorder="1" applyAlignment="1" applyProtection="1">
      <alignment vertical="center"/>
      <protection locked="0"/>
    </xf>
    <xf numFmtId="3" fontId="33" fillId="0" borderId="62" xfId="0" applyNumberFormat="1" applyFont="1" applyFill="1" applyBorder="1" applyAlignment="1" applyProtection="1">
      <alignment vertical="center"/>
      <protection locked="0"/>
    </xf>
    <xf numFmtId="3" fontId="33" fillId="0" borderId="48" xfId="0" applyNumberFormat="1" applyFont="1" applyFill="1" applyBorder="1" applyAlignment="1" applyProtection="1">
      <alignment horizontal="right" vertical="center"/>
      <protection locked="0"/>
    </xf>
    <xf numFmtId="165" fontId="14" fillId="0" borderId="45" xfId="0" applyNumberFormat="1" applyFont="1" applyFill="1" applyBorder="1" applyAlignment="1" applyProtection="1">
      <alignment horizontal="right" vertical="center"/>
      <protection locked="0"/>
    </xf>
    <xf numFmtId="165" fontId="12" fillId="0" borderId="45" xfId="0" applyNumberFormat="1" applyFont="1" applyFill="1" applyBorder="1" applyAlignment="1" applyProtection="1">
      <alignment vertical="center"/>
      <protection locked="0"/>
    </xf>
    <xf numFmtId="165" fontId="12" fillId="0" borderId="59" xfId="0" applyNumberFormat="1" applyFont="1" applyFill="1" applyBorder="1" applyAlignment="1" applyProtection="1">
      <alignment vertical="center"/>
      <protection locked="0"/>
    </xf>
    <xf numFmtId="3" fontId="2" fillId="0" borderId="65" xfId="18" applyNumberFormat="1" applyFont="1" applyFill="1" applyBorder="1" applyAlignment="1" applyProtection="1">
      <alignment vertical="center" wrapText="1"/>
      <protection locked="0"/>
    </xf>
    <xf numFmtId="3" fontId="33" fillId="0" borderId="50" xfId="0" applyNumberFormat="1" applyFont="1" applyFill="1" applyBorder="1" applyAlignment="1" applyProtection="1">
      <alignment vertical="center"/>
      <protection locked="0"/>
    </xf>
    <xf numFmtId="165" fontId="3" fillId="0" borderId="51" xfId="0" applyNumberFormat="1" applyFont="1" applyFill="1" applyBorder="1" applyAlignment="1" applyProtection="1">
      <alignment vertical="center"/>
      <protection locked="0"/>
    </xf>
    <xf numFmtId="0" fontId="4" fillId="0" borderId="69" xfId="0" applyFont="1" applyBorder="1" applyAlignment="1">
      <alignment horizontal="left" vertical="center" wrapText="1"/>
    </xf>
    <xf numFmtId="1" fontId="2" fillId="0" borderId="15" xfId="0" applyNumberFormat="1" applyFont="1" applyFill="1" applyBorder="1" applyAlignment="1" applyProtection="1">
      <alignment horizontal="centerContinuous" vertical="center"/>
      <protection locked="0"/>
    </xf>
    <xf numFmtId="165" fontId="2" fillId="0" borderId="4" xfId="18" applyNumberFormat="1" applyFont="1" applyFill="1" applyBorder="1" applyAlignment="1" applyProtection="1">
      <alignment vertical="center" wrapText="1"/>
      <protection locked="0"/>
    </xf>
    <xf numFmtId="3" fontId="33" fillId="0" borderId="15" xfId="0" applyNumberFormat="1" applyFont="1" applyFill="1" applyBorder="1" applyAlignment="1" applyProtection="1">
      <alignment vertical="center"/>
      <protection locked="0"/>
    </xf>
    <xf numFmtId="3" fontId="33" fillId="0" borderId="6" xfId="0" applyNumberFormat="1" applyFont="1" applyFill="1" applyBorder="1" applyAlignment="1" applyProtection="1">
      <alignment vertical="center"/>
      <protection locked="0"/>
    </xf>
    <xf numFmtId="3" fontId="33" fillId="0" borderId="3" xfId="0" applyNumberFormat="1" applyFont="1" applyFill="1" applyBorder="1" applyAlignment="1" applyProtection="1">
      <alignment vertical="center"/>
      <protection locked="0"/>
    </xf>
    <xf numFmtId="1" fontId="4" fillId="0" borderId="15" xfId="0" applyNumberFormat="1" applyFont="1" applyFill="1" applyBorder="1" applyAlignment="1" applyProtection="1">
      <alignment horizontal="center" vertical="center"/>
      <protection locked="0"/>
    </xf>
    <xf numFmtId="165" fontId="4" fillId="0" borderId="16" xfId="18" applyNumberFormat="1" applyFont="1" applyFill="1" applyBorder="1" applyAlignment="1" applyProtection="1">
      <alignment vertical="center" wrapText="1"/>
      <protection locked="0"/>
    </xf>
    <xf numFmtId="165" fontId="4" fillId="0" borderId="53" xfId="18" applyNumberFormat="1" applyFont="1" applyFill="1" applyBorder="1" applyAlignment="1" applyProtection="1">
      <alignment vertical="center" wrapText="1"/>
      <protection locked="0"/>
    </xf>
    <xf numFmtId="165" fontId="16" fillId="0" borderId="31" xfId="0" applyNumberFormat="1" applyFont="1" applyFill="1" applyBorder="1" applyAlignment="1" applyProtection="1">
      <alignment horizontal="right" vertical="center"/>
      <protection locked="0"/>
    </xf>
    <xf numFmtId="165" fontId="3" fillId="0" borderId="31" xfId="0" applyNumberFormat="1" applyFont="1" applyFill="1" applyBorder="1" applyAlignment="1" applyProtection="1">
      <alignment vertical="center"/>
      <protection locked="0"/>
    </xf>
    <xf numFmtId="165" fontId="2" fillId="0" borderId="65" xfId="18" applyNumberFormat="1" applyFont="1" applyFill="1" applyBorder="1" applyAlignment="1" applyProtection="1">
      <alignment vertical="center" wrapText="1"/>
      <protection locked="0"/>
    </xf>
    <xf numFmtId="165" fontId="16" fillId="0" borderId="14" xfId="0" applyNumberFormat="1" applyFont="1" applyFill="1" applyBorder="1" applyAlignment="1" applyProtection="1">
      <alignment horizontal="right" vertical="center"/>
      <protection locked="0"/>
    </xf>
    <xf numFmtId="165" fontId="2" fillId="0" borderId="65" xfId="18" applyNumberFormat="1" applyFont="1" applyFill="1" applyBorder="1" applyAlignment="1" applyProtection="1">
      <alignment vertical="center" wrapText="1"/>
      <protection locked="0"/>
    </xf>
    <xf numFmtId="165" fontId="16" fillId="0" borderId="51" xfId="0" applyNumberFormat="1" applyFont="1" applyFill="1" applyBorder="1" applyAlignment="1" applyProtection="1">
      <alignment horizontal="right" vertical="center"/>
      <protection locked="0"/>
    </xf>
    <xf numFmtId="1" fontId="24" fillId="0" borderId="15" xfId="0" applyNumberFormat="1" applyFont="1" applyFill="1" applyBorder="1" applyAlignment="1" applyProtection="1">
      <alignment horizontal="centerContinuous" vertical="center"/>
      <protection locked="0"/>
    </xf>
    <xf numFmtId="165" fontId="24" fillId="0" borderId="4" xfId="18" applyNumberFormat="1" applyFont="1" applyFill="1" applyBorder="1" applyAlignment="1" applyProtection="1">
      <alignment vertical="center" wrapText="1"/>
      <protection locked="0"/>
    </xf>
    <xf numFmtId="3" fontId="36" fillId="0" borderId="15" xfId="0" applyNumberFormat="1" applyFont="1" applyFill="1" applyBorder="1" applyAlignment="1" applyProtection="1">
      <alignment vertical="center"/>
      <protection locked="0"/>
    </xf>
    <xf numFmtId="3" fontId="36" fillId="0" borderId="6" xfId="0" applyNumberFormat="1" applyFont="1" applyFill="1" applyBorder="1" applyAlignment="1" applyProtection="1">
      <alignment vertical="center"/>
      <protection locked="0"/>
    </xf>
    <xf numFmtId="3" fontId="36" fillId="0" borderId="3" xfId="0" applyNumberFormat="1" applyFont="1" applyFill="1" applyBorder="1" applyAlignment="1" applyProtection="1">
      <alignment vertical="center"/>
      <protection locked="0"/>
    </xf>
    <xf numFmtId="165" fontId="14" fillId="0" borderId="27" xfId="0" applyNumberFormat="1" applyFont="1" applyFill="1" applyBorder="1" applyAlignment="1" applyProtection="1">
      <alignment vertical="center"/>
      <protection locked="0"/>
    </xf>
    <xf numFmtId="165" fontId="24" fillId="0" borderId="0" xfId="0" applyNumberFormat="1" applyFont="1" applyBorder="1" applyAlignment="1">
      <alignment/>
    </xf>
    <xf numFmtId="165" fontId="4" fillId="0" borderId="4" xfId="18" applyNumberFormat="1" applyFont="1" applyFill="1" applyBorder="1" applyAlignment="1" applyProtection="1">
      <alignment vertical="center" wrapText="1"/>
      <protection locked="0"/>
    </xf>
    <xf numFmtId="165" fontId="5" fillId="0" borderId="27" xfId="0" applyNumberFormat="1" applyFont="1" applyFill="1" applyBorder="1" applyAlignment="1" applyProtection="1">
      <alignment horizontal="right" vertical="center"/>
      <protection locked="0"/>
    </xf>
    <xf numFmtId="1" fontId="2" fillId="0" borderId="47" xfId="0" applyNumberFormat="1" applyFont="1" applyFill="1" applyBorder="1" applyAlignment="1" applyProtection="1">
      <alignment horizontal="centerContinuous" vertical="center"/>
      <protection locked="0"/>
    </xf>
    <xf numFmtId="165" fontId="2" fillId="0" borderId="66" xfId="18" applyNumberFormat="1" applyFont="1" applyFill="1" applyBorder="1" applyAlignment="1" applyProtection="1">
      <alignment vertical="center" wrapText="1"/>
      <protection locked="0"/>
    </xf>
    <xf numFmtId="3" fontId="33" fillId="0" borderId="47" xfId="0" applyNumberFormat="1" applyFont="1" applyFill="1" applyBorder="1" applyAlignment="1" applyProtection="1">
      <alignment vertical="center"/>
      <protection locked="0"/>
    </xf>
    <xf numFmtId="3" fontId="33" fillId="0" borderId="44" xfId="0" applyNumberFormat="1" applyFont="1" applyFill="1" applyBorder="1" applyAlignment="1" applyProtection="1">
      <alignment vertical="center"/>
      <protection locked="0"/>
    </xf>
    <xf numFmtId="3" fontId="33" fillId="0" borderId="48" xfId="0" applyNumberFormat="1" applyFont="1" applyFill="1" applyBorder="1" applyAlignment="1" applyProtection="1">
      <alignment vertical="center"/>
      <protection locked="0"/>
    </xf>
    <xf numFmtId="3" fontId="33" fillId="0" borderId="62" xfId="0" applyNumberFormat="1" applyFont="1" applyFill="1" applyBorder="1" applyAlignment="1" applyProtection="1">
      <alignment vertical="center"/>
      <protection locked="0"/>
    </xf>
    <xf numFmtId="165" fontId="14" fillId="0" borderId="45" xfId="0" applyNumberFormat="1" applyFont="1" applyFill="1" applyBorder="1" applyAlignment="1" applyProtection="1">
      <alignment vertical="center"/>
      <protection locked="0"/>
    </xf>
    <xf numFmtId="1" fontId="4" fillId="0" borderId="47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45" xfId="18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horizontal="left" vertical="center" wrapText="1"/>
      <protection locked="0"/>
    </xf>
    <xf numFmtId="1" fontId="15" fillId="0" borderId="15" xfId="0" applyNumberFormat="1" applyFont="1" applyFill="1" applyBorder="1" applyAlignment="1" applyProtection="1">
      <alignment horizontal="centerContinuous" vertical="center"/>
      <protection locked="0"/>
    </xf>
    <xf numFmtId="165" fontId="15" fillId="0" borderId="4" xfId="18" applyNumberFormat="1" applyFont="1" applyFill="1" applyBorder="1" applyAlignment="1" applyProtection="1">
      <alignment vertical="center" wrapText="1"/>
      <protection locked="0"/>
    </xf>
    <xf numFmtId="3" fontId="35" fillId="0" borderId="15" xfId="0" applyNumberFormat="1" applyFont="1" applyFill="1" applyBorder="1" applyAlignment="1" applyProtection="1">
      <alignment vertical="center"/>
      <protection locked="0"/>
    </xf>
    <xf numFmtId="3" fontId="35" fillId="0" borderId="6" xfId="0" applyNumberFormat="1" applyFont="1" applyFill="1" applyBorder="1" applyAlignment="1" applyProtection="1">
      <alignment vertical="center"/>
      <protection locked="0"/>
    </xf>
    <xf numFmtId="3" fontId="35" fillId="0" borderId="3" xfId="0" applyNumberFormat="1" applyFont="1" applyFill="1" applyBorder="1" applyAlignment="1" applyProtection="1">
      <alignment vertical="center"/>
      <protection locked="0"/>
    </xf>
    <xf numFmtId="165" fontId="15" fillId="0" borderId="0" xfId="0" applyNumberFormat="1" applyFont="1" applyBorder="1" applyAlignment="1">
      <alignment/>
    </xf>
    <xf numFmtId="1" fontId="2" fillId="0" borderId="35" xfId="0" applyNumberFormat="1" applyFont="1" applyFill="1" applyBorder="1" applyAlignment="1" applyProtection="1">
      <alignment horizontal="centerContinuous" vertical="center"/>
      <protection locked="0"/>
    </xf>
    <xf numFmtId="165" fontId="2" fillId="0" borderId="32" xfId="18" applyNumberFormat="1" applyFont="1" applyFill="1" applyBorder="1" applyAlignment="1" applyProtection="1">
      <alignment vertical="center" wrapText="1"/>
      <protection locked="0"/>
    </xf>
    <xf numFmtId="3" fontId="33" fillId="0" borderId="35" xfId="0" applyNumberFormat="1" applyFont="1" applyFill="1" applyBorder="1" applyAlignment="1" applyProtection="1">
      <alignment vertical="center"/>
      <protection locked="0"/>
    </xf>
    <xf numFmtId="3" fontId="33" fillId="0" borderId="12" xfId="0" applyNumberFormat="1" applyFont="1" applyFill="1" applyBorder="1" applyAlignment="1" applyProtection="1">
      <alignment vertical="center"/>
      <protection locked="0"/>
    </xf>
    <xf numFmtId="3" fontId="33" fillId="0" borderId="75" xfId="0" applyNumberFormat="1" applyFont="1" applyFill="1" applyBorder="1" applyAlignment="1" applyProtection="1">
      <alignment vertical="center"/>
      <protection locked="0"/>
    </xf>
    <xf numFmtId="165" fontId="14" fillId="0" borderId="36" xfId="0" applyNumberFormat="1" applyFont="1" applyFill="1" applyBorder="1" applyAlignment="1" applyProtection="1">
      <alignment horizontal="right" vertical="center"/>
      <protection locked="0"/>
    </xf>
    <xf numFmtId="3" fontId="32" fillId="0" borderId="26" xfId="0" applyNumberFormat="1" applyFont="1" applyFill="1" applyBorder="1" applyAlignment="1" applyProtection="1">
      <alignment vertical="center"/>
      <protection locked="0"/>
    </xf>
    <xf numFmtId="165" fontId="17" fillId="0" borderId="34" xfId="0" applyNumberFormat="1" applyFont="1" applyFill="1" applyBorder="1" applyAlignment="1" applyProtection="1">
      <alignment horizontal="right" vertical="center"/>
      <protection locked="0"/>
    </xf>
    <xf numFmtId="1" fontId="4" fillId="0" borderId="49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65" xfId="18" applyNumberFormat="1" applyFont="1" applyFill="1" applyBorder="1" applyAlignment="1" applyProtection="1">
      <alignment vertical="center" wrapText="1"/>
      <protection locked="0"/>
    </xf>
    <xf numFmtId="3" fontId="32" fillId="0" borderId="49" xfId="0" applyNumberFormat="1" applyFont="1" applyFill="1" applyBorder="1" applyAlignment="1" applyProtection="1">
      <alignment vertical="center"/>
      <protection locked="0"/>
    </xf>
    <xf numFmtId="3" fontId="32" fillId="0" borderId="46" xfId="0" applyNumberFormat="1" applyFont="1" applyFill="1" applyBorder="1" applyAlignment="1" applyProtection="1">
      <alignment vertical="center"/>
      <protection locked="0"/>
    </xf>
    <xf numFmtId="3" fontId="32" fillId="0" borderId="46" xfId="0" applyNumberFormat="1" applyFont="1" applyFill="1" applyBorder="1" applyAlignment="1" applyProtection="1">
      <alignment vertical="center"/>
      <protection locked="0"/>
    </xf>
    <xf numFmtId="3" fontId="32" fillId="0" borderId="64" xfId="0" applyNumberFormat="1" applyFont="1" applyFill="1" applyBorder="1" applyAlignment="1" applyProtection="1">
      <alignment vertical="center"/>
      <protection locked="0"/>
    </xf>
    <xf numFmtId="165" fontId="16" fillId="0" borderId="34" xfId="0" applyNumberFormat="1" applyFont="1" applyFill="1" applyBorder="1" applyAlignment="1" applyProtection="1">
      <alignment vertical="center"/>
      <protection locked="0"/>
    </xf>
    <xf numFmtId="3" fontId="32" fillId="0" borderId="4" xfId="0" applyNumberFormat="1" applyFont="1" applyFill="1" applyBorder="1" applyAlignment="1" applyProtection="1">
      <alignment vertical="center"/>
      <protection locked="0"/>
    </xf>
    <xf numFmtId="3" fontId="32" fillId="0" borderId="16" xfId="0" applyNumberFormat="1" applyFont="1" applyFill="1" applyBorder="1" applyAlignment="1" applyProtection="1">
      <alignment vertical="center"/>
      <protection locked="0"/>
    </xf>
    <xf numFmtId="3" fontId="32" fillId="0" borderId="0" xfId="0" applyNumberFormat="1" applyFont="1" applyFill="1" applyBorder="1" applyAlignment="1" applyProtection="1">
      <alignment vertical="center"/>
      <protection locked="0"/>
    </xf>
    <xf numFmtId="3" fontId="33" fillId="0" borderId="61" xfId="0" applyNumberFormat="1" applyFont="1" applyFill="1" applyBorder="1" applyAlignment="1" applyProtection="1">
      <alignment vertical="center"/>
      <protection locked="0"/>
    </xf>
    <xf numFmtId="3" fontId="32" fillId="0" borderId="56" xfId="0" applyNumberFormat="1" applyFont="1" applyFill="1" applyBorder="1" applyAlignment="1" applyProtection="1">
      <alignment vertical="center"/>
      <protection locked="0"/>
    </xf>
    <xf numFmtId="165" fontId="26" fillId="0" borderId="42" xfId="0" applyNumberFormat="1" applyFont="1" applyFill="1" applyBorder="1" applyAlignment="1" applyProtection="1">
      <alignment horizontal="right" vertical="center"/>
      <protection locked="0"/>
    </xf>
    <xf numFmtId="3" fontId="33" fillId="0" borderId="40" xfId="0" applyNumberFormat="1" applyFont="1" applyFill="1" applyBorder="1" applyAlignment="1" applyProtection="1">
      <alignment vertical="center"/>
      <protection locked="0"/>
    </xf>
    <xf numFmtId="165" fontId="26" fillId="0" borderId="45" xfId="0" applyNumberFormat="1" applyFont="1" applyFill="1" applyBorder="1" applyAlignment="1" applyProtection="1">
      <alignment horizontal="right" vertical="center"/>
      <protection locked="0"/>
    </xf>
    <xf numFmtId="3" fontId="32" fillId="0" borderId="69" xfId="0" applyNumberFormat="1" applyFont="1" applyFill="1" applyBorder="1" applyAlignment="1" applyProtection="1">
      <alignment vertical="center"/>
      <protection locked="0"/>
    </xf>
    <xf numFmtId="3" fontId="32" fillId="0" borderId="44" xfId="0" applyNumberFormat="1" applyFont="1" applyFill="1" applyBorder="1" applyAlignment="1" applyProtection="1">
      <alignment vertical="center"/>
      <protection locked="0"/>
    </xf>
    <xf numFmtId="3" fontId="32" fillId="0" borderId="48" xfId="0" applyNumberFormat="1" applyFont="1" applyBorder="1" applyAlignment="1">
      <alignment/>
    </xf>
    <xf numFmtId="3" fontId="32" fillId="0" borderId="62" xfId="0" applyNumberFormat="1" applyFont="1" applyBorder="1" applyAlignment="1">
      <alignment/>
    </xf>
    <xf numFmtId="165" fontId="3" fillId="0" borderId="45" xfId="0" applyNumberFormat="1" applyFont="1" applyBorder="1" applyAlignment="1">
      <alignment/>
    </xf>
    <xf numFmtId="3" fontId="32" fillId="0" borderId="47" xfId="0" applyNumberFormat="1" applyFont="1" applyBorder="1" applyAlignment="1">
      <alignment/>
    </xf>
    <xf numFmtId="165" fontId="3" fillId="0" borderId="59" xfId="0" applyNumberFormat="1" applyFont="1" applyBorder="1" applyAlignment="1">
      <alignment/>
    </xf>
    <xf numFmtId="165" fontId="2" fillId="0" borderId="65" xfId="0" applyNumberFormat="1" applyFont="1" applyBorder="1" applyAlignment="1">
      <alignment vertical="center" wrapText="1"/>
    </xf>
    <xf numFmtId="3" fontId="15" fillId="0" borderId="3" xfId="0" applyNumberFormat="1" applyFont="1" applyFill="1" applyBorder="1" applyAlignment="1" applyProtection="1">
      <alignment vertical="center"/>
      <protection locked="0"/>
    </xf>
    <xf numFmtId="165" fontId="16" fillId="0" borderId="59" xfId="0" applyNumberFormat="1" applyFont="1" applyFill="1" applyBorder="1" applyAlignment="1" applyProtection="1">
      <alignment vertical="center"/>
      <protection locked="0"/>
    </xf>
    <xf numFmtId="1" fontId="2" fillId="0" borderId="49" xfId="0" applyNumberFormat="1" applyFont="1" applyBorder="1" applyAlignment="1">
      <alignment horizontal="centerContinuous" vertical="center"/>
    </xf>
    <xf numFmtId="165" fontId="2" fillId="0" borderId="0" xfId="0" applyNumberFormat="1" applyFont="1" applyBorder="1" applyAlignment="1">
      <alignment vertical="center"/>
    </xf>
    <xf numFmtId="1" fontId="4" fillId="0" borderId="15" xfId="0" applyNumberFormat="1" applyFont="1" applyBorder="1" applyAlignment="1">
      <alignment horizontal="centerContinuous" vertical="center"/>
    </xf>
    <xf numFmtId="1" fontId="4" fillId="0" borderId="47" xfId="0" applyNumberFormat="1" applyFont="1" applyBorder="1" applyAlignment="1">
      <alignment horizontal="centerContinuous" vertical="center"/>
    </xf>
    <xf numFmtId="3" fontId="32" fillId="0" borderId="58" xfId="0" applyNumberFormat="1" applyFont="1" applyFill="1" applyBorder="1" applyAlignment="1" applyProtection="1">
      <alignment vertical="center"/>
      <protection locked="0"/>
    </xf>
    <xf numFmtId="1" fontId="2" fillId="0" borderId="49" xfId="0" applyNumberFormat="1" applyFont="1" applyBorder="1" applyAlignment="1">
      <alignment horizontal="centerContinuous" vertical="center"/>
    </xf>
    <xf numFmtId="165" fontId="2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4" fillId="0" borderId="15" xfId="0" applyNumberFormat="1" applyFont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165" fontId="2" fillId="0" borderId="4" xfId="18" applyNumberFormat="1" applyFont="1" applyFill="1" applyBorder="1" applyAlignment="1" applyProtection="1">
      <alignment vertical="center" wrapText="1"/>
      <protection locked="0"/>
    </xf>
    <xf numFmtId="165" fontId="12" fillId="0" borderId="16" xfId="0" applyNumberFormat="1" applyFont="1" applyFill="1" applyBorder="1" applyAlignment="1" applyProtection="1">
      <alignment horizontal="right" vertical="center"/>
      <protection locked="0"/>
    </xf>
    <xf numFmtId="1" fontId="24" fillId="0" borderId="15" xfId="0" applyNumberFormat="1" applyFont="1" applyFill="1" applyBorder="1" applyAlignment="1" applyProtection="1">
      <alignment horizontal="centerContinuous" vertical="center"/>
      <protection locked="0"/>
    </xf>
    <xf numFmtId="165" fontId="24" fillId="0" borderId="4" xfId="18" applyNumberFormat="1" applyFont="1" applyFill="1" applyBorder="1" applyAlignment="1" applyProtection="1">
      <alignment vertical="center" wrapText="1"/>
      <protection locked="0"/>
    </xf>
    <xf numFmtId="3" fontId="24" fillId="0" borderId="15" xfId="0" applyNumberFormat="1" applyFont="1" applyFill="1" applyBorder="1" applyAlignment="1" applyProtection="1">
      <alignment vertical="center"/>
      <protection locked="0"/>
    </xf>
    <xf numFmtId="3" fontId="36" fillId="0" borderId="6" xfId="0" applyNumberFormat="1" applyFont="1" applyFill="1" applyBorder="1" applyAlignment="1" applyProtection="1">
      <alignment vertical="center"/>
      <protection locked="0"/>
    </xf>
    <xf numFmtId="165" fontId="26" fillId="0" borderId="27" xfId="0" applyNumberFormat="1" applyFont="1" applyFill="1" applyBorder="1" applyAlignment="1" applyProtection="1">
      <alignment horizontal="right" vertical="center"/>
      <protection locked="0"/>
    </xf>
    <xf numFmtId="3" fontId="24" fillId="0" borderId="6" xfId="0" applyNumberFormat="1" applyFont="1" applyFill="1" applyBorder="1" applyAlignment="1" applyProtection="1">
      <alignment vertical="center"/>
      <protection locked="0"/>
    </xf>
    <xf numFmtId="165" fontId="14" fillId="0" borderId="16" xfId="0" applyNumberFormat="1" applyFont="1" applyFill="1" applyBorder="1" applyAlignment="1" applyProtection="1">
      <alignment horizontal="right" vertical="center"/>
      <protection locked="0"/>
    </xf>
    <xf numFmtId="3" fontId="24" fillId="0" borderId="3" xfId="0" applyNumberFormat="1" applyFont="1" applyFill="1" applyBorder="1" applyAlignment="1" applyProtection="1">
      <alignment vertical="center"/>
      <protection locked="0"/>
    </xf>
    <xf numFmtId="165" fontId="14" fillId="0" borderId="16" xfId="0" applyNumberFormat="1" applyFont="1" applyFill="1" applyBorder="1" applyAlignment="1" applyProtection="1">
      <alignment vertical="center"/>
      <protection locked="0"/>
    </xf>
    <xf numFmtId="165" fontId="14" fillId="0" borderId="27" xfId="0" applyNumberFormat="1" applyFont="1" applyFill="1" applyBorder="1" applyAlignment="1" applyProtection="1">
      <alignment vertical="center"/>
      <protection locked="0"/>
    </xf>
    <xf numFmtId="165" fontId="24" fillId="0" borderId="0" xfId="0" applyNumberFormat="1" applyFont="1" applyBorder="1" applyAlignment="1">
      <alignment/>
    </xf>
    <xf numFmtId="165" fontId="5" fillId="0" borderId="27" xfId="0" applyNumberFormat="1" applyFont="1" applyFill="1" applyBorder="1" applyAlignment="1" applyProtection="1">
      <alignment horizontal="right" vertical="center"/>
      <protection locked="0"/>
    </xf>
    <xf numFmtId="165" fontId="3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3" xfId="0" applyNumberFormat="1" applyFont="1" applyFill="1" applyBorder="1" applyAlignment="1" applyProtection="1">
      <alignment vertical="center"/>
      <protection locked="0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165" fontId="3" fillId="0" borderId="27" xfId="0" applyNumberFormat="1" applyFont="1" applyFill="1" applyBorder="1" applyAlignment="1" applyProtection="1">
      <alignment vertical="center"/>
      <protection locked="0"/>
    </xf>
    <xf numFmtId="1" fontId="4" fillId="0" borderId="49" xfId="0" applyNumberFormat="1" applyFont="1" applyFill="1" applyBorder="1" applyAlignment="1" applyProtection="1">
      <alignment horizontal="centerContinuous" vertical="center"/>
      <protection locked="0"/>
    </xf>
    <xf numFmtId="3" fontId="32" fillId="0" borderId="49" xfId="0" applyNumberFormat="1" applyFont="1" applyFill="1" applyBorder="1" applyAlignment="1" applyProtection="1">
      <alignment vertical="center"/>
      <protection locked="0"/>
    </xf>
    <xf numFmtId="3" fontId="32" fillId="0" borderId="61" xfId="0" applyNumberFormat="1" applyFont="1" applyFill="1" applyBorder="1" applyAlignment="1" applyProtection="1">
      <alignment vertical="center"/>
      <protection locked="0"/>
    </xf>
    <xf numFmtId="3" fontId="32" fillId="0" borderId="64" xfId="0" applyNumberFormat="1" applyFont="1" applyFill="1" applyBorder="1" applyAlignment="1" applyProtection="1">
      <alignment vertical="center"/>
      <protection locked="0"/>
    </xf>
    <xf numFmtId="3" fontId="32" fillId="0" borderId="0" xfId="0" applyNumberFormat="1" applyFont="1" applyFill="1" applyBorder="1" applyAlignment="1" applyProtection="1">
      <alignment vertical="center"/>
      <protection locked="0"/>
    </xf>
    <xf numFmtId="3" fontId="33" fillId="0" borderId="65" xfId="0" applyNumberFormat="1" applyFont="1" applyFill="1" applyBorder="1" applyAlignment="1" applyProtection="1">
      <alignment vertical="center"/>
      <protection locked="0"/>
    </xf>
    <xf numFmtId="3" fontId="33" fillId="0" borderId="40" xfId="0" applyNumberFormat="1" applyFont="1" applyFill="1" applyBorder="1" applyAlignment="1" applyProtection="1">
      <alignment vertical="center"/>
      <protection locked="0"/>
    </xf>
    <xf numFmtId="165" fontId="12" fillId="0" borderId="42" xfId="0" applyNumberFormat="1" applyFont="1" applyFill="1" applyBorder="1" applyAlignment="1" applyProtection="1">
      <alignment vertical="center"/>
      <protection locked="0"/>
    </xf>
    <xf numFmtId="165" fontId="26" fillId="0" borderId="14" xfId="0" applyNumberFormat="1" applyFont="1" applyFill="1" applyBorder="1" applyAlignment="1" applyProtection="1">
      <alignment horizontal="right" vertical="center"/>
      <protection locked="0"/>
    </xf>
    <xf numFmtId="165" fontId="3" fillId="0" borderId="36" xfId="0" applyNumberFormat="1" applyFont="1" applyFill="1" applyBorder="1" applyAlignment="1" applyProtection="1">
      <alignment vertical="center"/>
      <protection locked="0"/>
    </xf>
    <xf numFmtId="165" fontId="12" fillId="0" borderId="36" xfId="0" applyNumberFormat="1" applyFont="1" applyFill="1" applyBorder="1" applyAlignment="1" applyProtection="1">
      <alignment vertical="center"/>
      <protection locked="0"/>
    </xf>
    <xf numFmtId="165" fontId="12" fillId="0" borderId="14" xfId="0" applyNumberFormat="1" applyFont="1" applyFill="1" applyBorder="1" applyAlignment="1" applyProtection="1">
      <alignment vertical="center"/>
      <protection locked="0"/>
    </xf>
    <xf numFmtId="1" fontId="2" fillId="0" borderId="35" xfId="0" applyNumberFormat="1" applyFont="1" applyFill="1" applyBorder="1" applyAlignment="1" applyProtection="1">
      <alignment horizontal="centerContinuous" vertical="center"/>
      <protection locked="0"/>
    </xf>
    <xf numFmtId="165" fontId="2" fillId="0" borderId="32" xfId="18" applyNumberFormat="1" applyFont="1" applyFill="1" applyBorder="1" applyAlignment="1" applyProtection="1">
      <alignment vertical="center" wrapText="1"/>
      <protection locked="0"/>
    </xf>
    <xf numFmtId="3" fontId="33" fillId="0" borderId="35" xfId="0" applyNumberFormat="1" applyFont="1" applyFill="1" applyBorder="1" applyAlignment="1" applyProtection="1">
      <alignment vertical="center"/>
      <protection locked="0"/>
    </xf>
    <xf numFmtId="165" fontId="4" fillId="0" borderId="66" xfId="18" applyNumberFormat="1" applyFont="1" applyFill="1" applyBorder="1" applyAlignment="1" applyProtection="1">
      <alignment vertical="center" wrapText="1"/>
      <protection locked="0"/>
    </xf>
    <xf numFmtId="165" fontId="2" fillId="0" borderId="5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32" fillId="0" borderId="6" xfId="0" applyNumberFormat="1" applyFont="1" applyBorder="1" applyAlignment="1">
      <alignment vertical="center"/>
    </xf>
    <xf numFmtId="165" fontId="4" fillId="0" borderId="45" xfId="18" applyNumberFormat="1" applyFont="1" applyFill="1" applyBorder="1" applyAlignment="1" applyProtection="1">
      <alignment horizontal="left" vertical="center" wrapText="1"/>
      <protection locked="0"/>
    </xf>
    <xf numFmtId="3" fontId="32" fillId="0" borderId="47" xfId="0" applyNumberFormat="1" applyFont="1" applyFill="1" applyBorder="1" applyAlignment="1" applyProtection="1">
      <alignment horizontal="right" vertical="center"/>
      <protection locked="0"/>
    </xf>
    <xf numFmtId="3" fontId="32" fillId="0" borderId="62" xfId="0" applyNumberFormat="1" applyFont="1" applyFill="1" applyBorder="1" applyAlignment="1" applyProtection="1">
      <alignment horizontal="right" vertical="center"/>
      <protection locked="0"/>
    </xf>
    <xf numFmtId="165" fontId="3" fillId="0" borderId="45" xfId="0" applyNumberFormat="1" applyFont="1" applyFill="1" applyBorder="1" applyAlignment="1" applyProtection="1">
      <alignment horizontal="right" vertical="center"/>
      <protection locked="0"/>
    </xf>
    <xf numFmtId="165" fontId="3" fillId="0" borderId="59" xfId="0" applyNumberFormat="1" applyFont="1" applyFill="1" applyBorder="1" applyAlignment="1" applyProtection="1">
      <alignment horizontal="right" vertical="center"/>
      <protection locked="0"/>
    </xf>
    <xf numFmtId="165" fontId="4" fillId="0" borderId="16" xfId="18" applyNumberFormat="1" applyFont="1" applyFill="1" applyBorder="1" applyAlignment="1" applyProtection="1">
      <alignment horizontal="left" vertical="center" wrapText="1"/>
      <protection locked="0"/>
    </xf>
    <xf numFmtId="165" fontId="4" fillId="0" borderId="66" xfId="18" applyNumberFormat="1" applyFont="1" applyFill="1" applyBorder="1" applyAlignment="1" applyProtection="1">
      <alignment horizontal="left" vertical="center" wrapText="1"/>
      <protection locked="0"/>
    </xf>
    <xf numFmtId="165" fontId="26" fillId="0" borderId="34" xfId="0" applyNumberFormat="1" applyFont="1" applyFill="1" applyBorder="1" applyAlignment="1" applyProtection="1">
      <alignment horizontal="right" vertical="center"/>
      <protection locked="0"/>
    </xf>
    <xf numFmtId="165" fontId="12" fillId="0" borderId="34" xfId="0" applyNumberFormat="1" applyFont="1" applyFill="1" applyBorder="1" applyAlignment="1" applyProtection="1">
      <alignment horizontal="right" vertical="center"/>
      <protection locked="0"/>
    </xf>
    <xf numFmtId="165" fontId="12" fillId="0" borderId="51" xfId="0" applyNumberFormat="1" applyFont="1" applyFill="1" applyBorder="1" applyAlignment="1" applyProtection="1">
      <alignment horizontal="right" vertical="center"/>
      <protection locked="0"/>
    </xf>
    <xf numFmtId="165" fontId="4" fillId="0" borderId="4" xfId="18" applyNumberFormat="1" applyFont="1" applyFill="1" applyBorder="1" applyAlignment="1" applyProtection="1">
      <alignment horizontal="left" vertical="center" wrapText="1"/>
      <protection locked="0"/>
    </xf>
    <xf numFmtId="165" fontId="2" fillId="0" borderId="41" xfId="18" applyNumberFormat="1" applyFont="1" applyFill="1" applyBorder="1" applyAlignment="1" applyProtection="1">
      <alignment horizontal="left" vertical="center" wrapText="1"/>
      <protection locked="0"/>
    </xf>
    <xf numFmtId="3" fontId="33" fillId="0" borderId="30" xfId="0" applyNumberFormat="1" applyFont="1" applyFill="1" applyBorder="1" applyAlignment="1" applyProtection="1">
      <alignment horizontal="right" vertical="center"/>
      <protection locked="0"/>
    </xf>
    <xf numFmtId="3" fontId="33" fillId="0" borderId="60" xfId="0" applyNumberFormat="1" applyFont="1" applyFill="1" applyBorder="1" applyAlignment="1" applyProtection="1">
      <alignment horizontal="right" vertical="center"/>
      <protection locked="0"/>
    </xf>
    <xf numFmtId="165" fontId="12" fillId="0" borderId="42" xfId="0" applyNumberFormat="1" applyFont="1" applyFill="1" applyBorder="1" applyAlignment="1" applyProtection="1">
      <alignment horizontal="right" vertical="center"/>
      <protection locked="0"/>
    </xf>
    <xf numFmtId="3" fontId="33" fillId="0" borderId="43" xfId="0" applyNumberFormat="1" applyFont="1" applyFill="1" applyBorder="1" applyAlignment="1" applyProtection="1">
      <alignment horizontal="right" vertical="center"/>
      <protection locked="0"/>
    </xf>
    <xf numFmtId="165" fontId="12" fillId="0" borderId="31" xfId="0" applyNumberFormat="1" applyFont="1" applyFill="1" applyBorder="1" applyAlignment="1" applyProtection="1">
      <alignment horizontal="right" vertical="center"/>
      <protection locked="0"/>
    </xf>
    <xf numFmtId="1" fontId="2" fillId="0" borderId="47" xfId="0" applyNumberFormat="1" applyFont="1" applyBorder="1" applyAlignment="1">
      <alignment horizontal="centerContinuous" vertical="center"/>
    </xf>
    <xf numFmtId="1" fontId="4" fillId="0" borderId="55" xfId="0" applyNumberFormat="1" applyFont="1" applyBorder="1" applyAlignment="1">
      <alignment horizontal="centerContinuous" vertical="center"/>
    </xf>
    <xf numFmtId="3" fontId="4" fillId="0" borderId="6" xfId="0" applyNumberFormat="1" applyFont="1" applyFill="1" applyBorder="1" applyAlignment="1" applyProtection="1">
      <alignment horizontal="right" vertical="center"/>
      <protection locked="0"/>
    </xf>
    <xf numFmtId="165" fontId="4" fillId="0" borderId="53" xfId="18" applyNumberFormat="1" applyFont="1" applyFill="1" applyBorder="1" applyAlignment="1" applyProtection="1">
      <alignment vertical="center" wrapText="1"/>
      <protection locked="0"/>
    </xf>
    <xf numFmtId="1" fontId="4" fillId="0" borderId="24" xfId="0" applyNumberFormat="1" applyFont="1" applyFill="1" applyBorder="1" applyAlignment="1" applyProtection="1">
      <alignment horizontal="centerContinuous" vertical="center"/>
      <protection locked="0"/>
    </xf>
    <xf numFmtId="165" fontId="17" fillId="0" borderId="19" xfId="0" applyNumberFormat="1" applyFont="1" applyFill="1" applyBorder="1" applyAlignment="1" applyProtection="1">
      <alignment horizontal="right" vertical="center"/>
      <protection locked="0"/>
    </xf>
    <xf numFmtId="165" fontId="5" fillId="0" borderId="36" xfId="0" applyNumberFormat="1" applyFont="1" applyFill="1" applyBorder="1" applyAlignment="1" applyProtection="1">
      <alignment vertical="center"/>
      <protection locked="0"/>
    </xf>
    <xf numFmtId="165" fontId="3" fillId="0" borderId="14" xfId="0" applyNumberFormat="1" applyFont="1" applyFill="1" applyBorder="1" applyAlignment="1" applyProtection="1">
      <alignment vertical="center"/>
      <protection locked="0"/>
    </xf>
    <xf numFmtId="0" fontId="4" fillId="0" borderId="15" xfId="0" applyNumberFormat="1" applyFont="1" applyFill="1" applyBorder="1" applyAlignment="1" applyProtection="1">
      <alignment horizontal="centerContinuous" vertical="center"/>
      <protection locked="0"/>
    </xf>
    <xf numFmtId="0" fontId="4" fillId="0" borderId="47" xfId="0" applyNumberFormat="1" applyFont="1" applyFill="1" applyBorder="1" applyAlignment="1" applyProtection="1">
      <alignment horizontal="centerContinuous" vertical="center"/>
      <protection locked="0"/>
    </xf>
    <xf numFmtId="3" fontId="32" fillId="0" borderId="58" xfId="0" applyNumberFormat="1" applyFont="1" applyFill="1" applyBorder="1" applyAlignment="1" applyProtection="1">
      <alignment vertical="center"/>
      <protection locked="0"/>
    </xf>
    <xf numFmtId="1" fontId="2" fillId="0" borderId="49" xfId="0" applyNumberFormat="1" applyFont="1" applyFill="1" applyBorder="1" applyAlignment="1" applyProtection="1">
      <alignment horizontal="center" vertical="center"/>
      <protection locked="0"/>
    </xf>
    <xf numFmtId="165" fontId="2" fillId="0" borderId="46" xfId="18" applyNumberFormat="1" applyFont="1" applyFill="1" applyBorder="1" applyAlignment="1" applyProtection="1">
      <alignment vertical="center" wrapText="1"/>
      <protection locked="0"/>
    </xf>
    <xf numFmtId="165" fontId="4" fillId="0" borderId="6" xfId="18" applyNumberFormat="1" applyFont="1" applyFill="1" applyBorder="1" applyAlignment="1" applyProtection="1">
      <alignment vertical="center" wrapText="1"/>
      <protection locked="0"/>
    </xf>
    <xf numFmtId="165" fontId="17" fillId="0" borderId="61" xfId="0" applyNumberFormat="1" applyFont="1" applyFill="1" applyBorder="1" applyAlignment="1" applyProtection="1">
      <alignment horizontal="right" vertical="center"/>
      <protection locked="0"/>
    </xf>
    <xf numFmtId="3" fontId="33" fillId="0" borderId="50" xfId="0" applyNumberFormat="1" applyFont="1" applyFill="1" applyBorder="1" applyAlignment="1" applyProtection="1">
      <alignment vertical="center"/>
      <protection locked="0"/>
    </xf>
    <xf numFmtId="3" fontId="33" fillId="0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right" vertical="center"/>
      <protection locked="0"/>
    </xf>
    <xf numFmtId="165" fontId="5" fillId="0" borderId="16" xfId="0" applyNumberFormat="1" applyFont="1" applyFill="1" applyBorder="1" applyAlignment="1" applyProtection="1">
      <alignment horizontal="right" vertical="center"/>
      <protection locked="0"/>
    </xf>
    <xf numFmtId="165" fontId="17" fillId="0" borderId="0" xfId="0" applyNumberFormat="1" applyFont="1" applyFill="1" applyBorder="1" applyAlignment="1" applyProtection="1">
      <alignment horizontal="right" vertical="center"/>
      <protection locked="0"/>
    </xf>
    <xf numFmtId="165" fontId="17" fillId="0" borderId="69" xfId="0" applyNumberFormat="1" applyFont="1" applyFill="1" applyBorder="1" applyAlignment="1" applyProtection="1">
      <alignment horizontal="right" vertical="center"/>
      <protection locked="0"/>
    </xf>
    <xf numFmtId="1" fontId="2" fillId="0" borderId="26" xfId="0" applyNumberFormat="1" applyFont="1" applyFill="1" applyBorder="1" applyAlignment="1" applyProtection="1">
      <alignment horizontal="centerContinuous" vertical="center"/>
      <protection locked="0"/>
    </xf>
    <xf numFmtId="1" fontId="2" fillId="0" borderId="16" xfId="0" applyNumberFormat="1" applyFont="1" applyFill="1" applyBorder="1" applyAlignment="1" applyProtection="1">
      <alignment vertical="center" wrapText="1"/>
      <protection locked="0"/>
    </xf>
    <xf numFmtId="165" fontId="4" fillId="0" borderId="54" xfId="18" applyNumberFormat="1" applyFont="1" applyFill="1" applyBorder="1" applyAlignment="1" applyProtection="1">
      <alignment vertical="center" wrapText="1"/>
      <protection locked="0"/>
    </xf>
    <xf numFmtId="165" fontId="17" fillId="0" borderId="76" xfId="0" applyNumberFormat="1" applyFont="1" applyFill="1" applyBorder="1" applyAlignment="1" applyProtection="1">
      <alignment horizontal="right" vertical="center"/>
      <protection locked="0"/>
    </xf>
    <xf numFmtId="165" fontId="17" fillId="0" borderId="13" xfId="0" applyNumberFormat="1" applyFont="1" applyFill="1" applyBorder="1" applyAlignment="1" applyProtection="1">
      <alignment horizontal="right" vertical="center"/>
      <protection locked="0"/>
    </xf>
    <xf numFmtId="165" fontId="16" fillId="0" borderId="42" xfId="0" applyNumberFormat="1" applyFont="1" applyFill="1" applyBorder="1" applyAlignment="1" applyProtection="1">
      <alignment vertical="center"/>
      <protection locked="0"/>
    </xf>
    <xf numFmtId="3" fontId="33" fillId="0" borderId="28" xfId="0" applyNumberFormat="1" applyFont="1" applyFill="1" applyBorder="1" applyAlignment="1" applyProtection="1">
      <alignment vertical="center"/>
      <protection locked="0"/>
    </xf>
    <xf numFmtId="165" fontId="17" fillId="0" borderId="36" xfId="0" applyNumberFormat="1" applyFont="1" applyFill="1" applyBorder="1" applyAlignment="1" applyProtection="1">
      <alignment horizontal="right" vertical="center"/>
      <protection locked="0"/>
    </xf>
    <xf numFmtId="165" fontId="17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48" xfId="18" applyNumberFormat="1" applyFont="1" applyFill="1" applyBorder="1" applyAlignment="1" applyProtection="1">
      <alignment vertical="center" wrapText="1"/>
      <protection locked="0"/>
    </xf>
    <xf numFmtId="165" fontId="17" fillId="0" borderId="58" xfId="0" applyNumberFormat="1" applyFont="1" applyFill="1" applyBorder="1" applyAlignment="1" applyProtection="1">
      <alignment horizontal="right" vertical="center"/>
      <protection locked="0"/>
    </xf>
    <xf numFmtId="1" fontId="4" fillId="0" borderId="55" xfId="0" applyNumberFormat="1" applyFont="1" applyFill="1" applyBorder="1" applyAlignment="1" applyProtection="1">
      <alignment horizontal="center" vertical="center"/>
      <protection locked="0"/>
    </xf>
    <xf numFmtId="165" fontId="5" fillId="0" borderId="51" xfId="0" applyNumberFormat="1" applyFont="1" applyFill="1" applyBorder="1" applyAlignment="1" applyProtection="1">
      <alignment vertical="center"/>
      <protection locked="0"/>
    </xf>
    <xf numFmtId="3" fontId="33" fillId="0" borderId="70" xfId="0" applyNumberFormat="1" applyFont="1" applyFill="1" applyBorder="1" applyAlignment="1" applyProtection="1">
      <alignment vertical="center"/>
      <protection locked="0"/>
    </xf>
    <xf numFmtId="3" fontId="33" fillId="0" borderId="54" xfId="0" applyNumberFormat="1" applyFont="1" applyFill="1" applyBorder="1" applyAlignment="1" applyProtection="1">
      <alignment vertical="center"/>
      <protection locked="0"/>
    </xf>
    <xf numFmtId="165" fontId="14" fillId="0" borderId="53" xfId="0" applyNumberFormat="1" applyFont="1" applyFill="1" applyBorder="1" applyAlignment="1" applyProtection="1">
      <alignment vertical="center"/>
      <protection locked="0"/>
    </xf>
    <xf numFmtId="3" fontId="33" fillId="0" borderId="55" xfId="0" applyNumberFormat="1" applyFont="1" applyFill="1" applyBorder="1" applyAlignment="1" applyProtection="1">
      <alignment vertical="center"/>
      <protection locked="0"/>
    </xf>
    <xf numFmtId="165" fontId="5" fillId="0" borderId="57" xfId="0" applyNumberFormat="1" applyFont="1" applyFill="1" applyBorder="1" applyAlignment="1" applyProtection="1">
      <alignment vertical="center"/>
      <protection locked="0"/>
    </xf>
    <xf numFmtId="165" fontId="5" fillId="0" borderId="27" xfId="0" applyNumberFormat="1" applyFont="1" applyFill="1" applyBorder="1" applyAlignment="1" applyProtection="1">
      <alignment vertical="center"/>
      <protection locked="0"/>
    </xf>
    <xf numFmtId="165" fontId="5" fillId="0" borderId="59" xfId="0" applyNumberFormat="1" applyFont="1" applyFill="1" applyBorder="1" applyAlignment="1" applyProtection="1">
      <alignment vertical="center"/>
      <protection locked="0"/>
    </xf>
    <xf numFmtId="165" fontId="4" fillId="0" borderId="54" xfId="18" applyNumberFormat="1" applyFont="1" applyFill="1" applyBorder="1" applyAlignment="1" applyProtection="1">
      <alignment vertical="center" wrapText="1"/>
      <protection locked="0"/>
    </xf>
    <xf numFmtId="165" fontId="4" fillId="0" borderId="25" xfId="18" applyNumberFormat="1" applyFont="1" applyFill="1" applyBorder="1" applyAlignment="1" applyProtection="1">
      <alignment vertical="center" wrapText="1"/>
      <protection locked="0"/>
    </xf>
    <xf numFmtId="3" fontId="32" fillId="0" borderId="0" xfId="0" applyNumberFormat="1" applyFont="1" applyFill="1" applyBorder="1" applyAlignment="1" applyProtection="1">
      <alignment horizontal="right" vertical="center"/>
      <protection locked="0"/>
    </xf>
    <xf numFmtId="1" fontId="33" fillId="0" borderId="43" xfId="0" applyNumberFormat="1" applyFont="1" applyFill="1" applyBorder="1" applyAlignment="1" applyProtection="1">
      <alignment horizontal="centerContinuous" vertical="center"/>
      <protection locked="0"/>
    </xf>
    <xf numFmtId="165" fontId="33" fillId="0" borderId="41" xfId="18" applyNumberFormat="1" applyFont="1" applyFill="1" applyBorder="1" applyAlignment="1" applyProtection="1">
      <alignment vertical="center" wrapText="1"/>
      <protection locked="0"/>
    </xf>
    <xf numFmtId="165" fontId="33" fillId="0" borderId="0" xfId="0" applyNumberFormat="1" applyFont="1" applyBorder="1" applyAlignment="1">
      <alignment/>
    </xf>
    <xf numFmtId="165" fontId="2" fillId="0" borderId="33" xfId="18" applyNumberFormat="1" applyFont="1" applyFill="1" applyBorder="1" applyAlignment="1" applyProtection="1">
      <alignment vertical="center" wrapText="1"/>
      <protection locked="0"/>
    </xf>
    <xf numFmtId="165" fontId="17" fillId="0" borderId="14" xfId="0" applyNumberFormat="1" applyFont="1" applyFill="1" applyBorder="1" applyAlignment="1" applyProtection="1">
      <alignment vertical="center"/>
      <protection locked="0"/>
    </xf>
    <xf numFmtId="165" fontId="3" fillId="0" borderId="14" xfId="0" applyNumberFormat="1" applyFont="1" applyFill="1" applyBorder="1" applyAlignment="1" applyProtection="1">
      <alignment horizontal="right" vertical="center"/>
      <protection locked="0"/>
    </xf>
    <xf numFmtId="165" fontId="17" fillId="0" borderId="27" xfId="0" applyNumberFormat="1" applyFont="1" applyFill="1" applyBorder="1" applyAlignment="1" applyProtection="1">
      <alignment vertical="center"/>
      <protection locked="0"/>
    </xf>
    <xf numFmtId="165" fontId="17" fillId="0" borderId="57" xfId="0" applyNumberFormat="1" applyFont="1" applyFill="1" applyBorder="1" applyAlignment="1" applyProtection="1">
      <alignment vertical="center"/>
      <protection locked="0"/>
    </xf>
    <xf numFmtId="165" fontId="2" fillId="0" borderId="48" xfId="18" applyNumberFormat="1" applyFont="1" applyFill="1" applyBorder="1" applyAlignment="1" applyProtection="1">
      <alignment vertical="center" wrapText="1"/>
      <protection locked="0"/>
    </xf>
    <xf numFmtId="165" fontId="26" fillId="0" borderId="58" xfId="0" applyNumberFormat="1" applyFont="1" applyFill="1" applyBorder="1" applyAlignment="1" applyProtection="1">
      <alignment horizontal="right" vertical="center"/>
      <protection locked="0"/>
    </xf>
    <xf numFmtId="3" fontId="33" fillId="0" borderId="44" xfId="0" applyNumberFormat="1" applyFont="1" applyFill="1" applyBorder="1" applyAlignment="1" applyProtection="1">
      <alignment vertical="center"/>
      <protection locked="0"/>
    </xf>
    <xf numFmtId="165" fontId="17" fillId="0" borderId="59" xfId="0" applyNumberFormat="1" applyFont="1" applyFill="1" applyBorder="1" applyAlignment="1" applyProtection="1">
      <alignment vertical="center"/>
      <protection locked="0"/>
    </xf>
    <xf numFmtId="165" fontId="4" fillId="0" borderId="6" xfId="18" applyNumberFormat="1" applyFont="1" applyFill="1" applyBorder="1" applyAlignment="1" applyProtection="1">
      <alignment vertical="center" wrapText="1"/>
      <protection locked="0"/>
    </xf>
    <xf numFmtId="165" fontId="4" fillId="0" borderId="48" xfId="18" applyNumberFormat="1" applyFont="1" applyFill="1" applyBorder="1" applyAlignment="1" applyProtection="1">
      <alignment vertical="center" wrapText="1"/>
      <protection locked="0"/>
    </xf>
    <xf numFmtId="165" fontId="2" fillId="0" borderId="46" xfId="18" applyNumberFormat="1" applyFont="1" applyFill="1" applyBorder="1" applyAlignment="1" applyProtection="1">
      <alignment vertical="center" wrapText="1"/>
      <protection locked="0"/>
    </xf>
    <xf numFmtId="165" fontId="2" fillId="0" borderId="48" xfId="18" applyNumberFormat="1" applyFont="1" applyFill="1" applyBorder="1" applyAlignment="1" applyProtection="1">
      <alignment vertical="center" wrapText="1"/>
      <protection locked="0"/>
    </xf>
    <xf numFmtId="1" fontId="4" fillId="0" borderId="24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25" xfId="18" applyNumberFormat="1" applyFont="1" applyFill="1" applyBorder="1" applyAlignment="1" applyProtection="1">
      <alignment vertical="center" wrapText="1"/>
      <protection locked="0"/>
    </xf>
    <xf numFmtId="3" fontId="32" fillId="0" borderId="24" xfId="0" applyNumberFormat="1" applyFont="1" applyFill="1" applyBorder="1" applyAlignment="1" applyProtection="1">
      <alignment vertical="center"/>
      <protection locked="0"/>
    </xf>
    <xf numFmtId="165" fontId="16" fillId="0" borderId="19" xfId="0" applyNumberFormat="1" applyFont="1" applyFill="1" applyBorder="1" applyAlignment="1" applyProtection="1">
      <alignment horizontal="right" vertical="center"/>
      <protection locked="0"/>
    </xf>
    <xf numFmtId="3" fontId="32" fillId="0" borderId="73" xfId="0" applyNumberFormat="1" applyFont="1" applyFill="1" applyBorder="1" applyAlignment="1" applyProtection="1">
      <alignment vertical="center"/>
      <protection locked="0"/>
    </xf>
    <xf numFmtId="165" fontId="16" fillId="0" borderId="25" xfId="0" applyNumberFormat="1" applyFont="1" applyFill="1" applyBorder="1" applyAlignment="1" applyProtection="1">
      <alignment horizontal="right" vertical="center"/>
      <protection locked="0"/>
    </xf>
    <xf numFmtId="165" fontId="3" fillId="0" borderId="25" xfId="0" applyNumberFormat="1" applyFont="1" applyFill="1" applyBorder="1" applyAlignment="1" applyProtection="1">
      <alignment vertical="center"/>
      <protection locked="0"/>
    </xf>
    <xf numFmtId="165" fontId="3" fillId="0" borderId="19" xfId="0" applyNumberFormat="1" applyFont="1" applyFill="1" applyBorder="1" applyAlignment="1" applyProtection="1">
      <alignment vertical="center"/>
      <protection locked="0"/>
    </xf>
    <xf numFmtId="165" fontId="17" fillId="0" borderId="66" xfId="0" applyNumberFormat="1" applyFont="1" applyFill="1" applyBorder="1" applyAlignment="1" applyProtection="1">
      <alignment horizontal="right" vertical="center"/>
      <protection locked="0"/>
    </xf>
    <xf numFmtId="165" fontId="26" fillId="0" borderId="65" xfId="0" applyNumberFormat="1" applyFont="1" applyFill="1" applyBorder="1" applyAlignment="1" applyProtection="1">
      <alignment horizontal="right" vertical="center"/>
      <protection locked="0"/>
    </xf>
    <xf numFmtId="165" fontId="17" fillId="0" borderId="53" xfId="0" applyNumberFormat="1" applyFont="1" applyFill="1" applyBorder="1" applyAlignment="1" applyProtection="1">
      <alignment vertical="center"/>
      <protection locked="0"/>
    </xf>
    <xf numFmtId="165" fontId="17" fillId="0" borderId="65" xfId="0" applyNumberFormat="1" applyFont="1" applyFill="1" applyBorder="1" applyAlignment="1" applyProtection="1">
      <alignment horizontal="right" vertical="center"/>
      <protection locked="0"/>
    </xf>
    <xf numFmtId="165" fontId="17" fillId="0" borderId="67" xfId="0" applyNumberFormat="1" applyFont="1" applyFill="1" applyBorder="1" applyAlignment="1" applyProtection="1">
      <alignment horizontal="right" vertical="center"/>
      <protection locked="0"/>
    </xf>
    <xf numFmtId="165" fontId="4" fillId="0" borderId="46" xfId="18" applyNumberFormat="1" applyFont="1" applyFill="1" applyBorder="1" applyAlignment="1" applyProtection="1">
      <alignment vertical="center" wrapText="1"/>
      <protection locked="0"/>
    </xf>
    <xf numFmtId="1" fontId="36" fillId="0" borderId="15" xfId="0" applyNumberFormat="1" applyFont="1" applyFill="1" applyBorder="1" applyAlignment="1" applyProtection="1">
      <alignment horizontal="centerContinuous" vertical="center"/>
      <protection locked="0"/>
    </xf>
    <xf numFmtId="165" fontId="36" fillId="0" borderId="6" xfId="18" applyNumberFormat="1" applyFont="1" applyFill="1" applyBorder="1" applyAlignment="1" applyProtection="1">
      <alignment vertical="center" wrapText="1"/>
      <protection locked="0"/>
    </xf>
    <xf numFmtId="165" fontId="36" fillId="0" borderId="4" xfId="0" applyNumberFormat="1" applyFont="1" applyFill="1" applyBorder="1" applyAlignment="1" applyProtection="1">
      <alignment horizontal="right" vertical="center"/>
      <protection locked="0"/>
    </xf>
    <xf numFmtId="165" fontId="36" fillId="0" borderId="27" xfId="0" applyNumberFormat="1" applyFont="1" applyFill="1" applyBorder="1" applyAlignment="1" applyProtection="1">
      <alignment horizontal="right" vertical="center"/>
      <protection locked="0"/>
    </xf>
    <xf numFmtId="165" fontId="36" fillId="0" borderId="16" xfId="0" applyNumberFormat="1" applyFont="1" applyFill="1" applyBorder="1" applyAlignment="1" applyProtection="1">
      <alignment horizontal="right" vertical="center"/>
      <protection locked="0"/>
    </xf>
    <xf numFmtId="165" fontId="36" fillId="0" borderId="27" xfId="0" applyNumberFormat="1" applyFont="1" applyFill="1" applyBorder="1" applyAlignment="1" applyProtection="1">
      <alignment vertical="center"/>
      <protection locked="0"/>
    </xf>
    <xf numFmtId="165" fontId="36" fillId="0" borderId="0" xfId="0" applyNumberFormat="1" applyFont="1" applyBorder="1" applyAlignment="1">
      <alignment/>
    </xf>
    <xf numFmtId="165" fontId="15" fillId="0" borderId="16" xfId="0" applyNumberFormat="1" applyFont="1" applyFill="1" applyBorder="1" applyAlignment="1" applyProtection="1">
      <alignment horizontal="right" vertical="center"/>
      <protection locked="0"/>
    </xf>
    <xf numFmtId="165" fontId="36" fillId="0" borderId="4" xfId="18" applyNumberFormat="1" applyFont="1" applyFill="1" applyBorder="1" applyAlignment="1" applyProtection="1">
      <alignment vertical="center" wrapText="1"/>
      <protection locked="0"/>
    </xf>
    <xf numFmtId="165" fontId="36" fillId="0" borderId="16" xfId="0" applyNumberFormat="1" applyFont="1" applyFill="1" applyBorder="1" applyAlignment="1" applyProtection="1">
      <alignment vertical="center"/>
      <protection locked="0"/>
    </xf>
    <xf numFmtId="165" fontId="17" fillId="0" borderId="34" xfId="0" applyNumberFormat="1" applyFont="1" applyFill="1" applyBorder="1" applyAlignment="1" applyProtection="1">
      <alignment vertical="center"/>
      <protection locked="0"/>
    </xf>
    <xf numFmtId="3" fontId="33" fillId="0" borderId="50" xfId="0" applyNumberFormat="1" applyFont="1" applyFill="1" applyBorder="1" applyAlignment="1" applyProtection="1">
      <alignment horizontal="right" vertical="center"/>
      <protection locked="0"/>
    </xf>
    <xf numFmtId="165" fontId="2" fillId="0" borderId="6" xfId="18" applyNumberFormat="1" applyFont="1" applyFill="1" applyBorder="1" applyAlignment="1" applyProtection="1">
      <alignment vertical="center" wrapText="1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3" fontId="33" fillId="0" borderId="26" xfId="0" applyNumberFormat="1" applyFont="1" applyFill="1" applyBorder="1" applyAlignment="1" applyProtection="1">
      <alignment vertical="center"/>
      <protection locked="0"/>
    </xf>
    <xf numFmtId="165" fontId="12" fillId="0" borderId="27" xfId="0" applyNumberFormat="1" applyFont="1" applyFill="1" applyBorder="1" applyAlignment="1" applyProtection="1">
      <alignment horizontal="right" vertical="center"/>
      <protection locked="0"/>
    </xf>
    <xf numFmtId="165" fontId="14" fillId="0" borderId="27" xfId="0" applyNumberFormat="1" applyFont="1" applyFill="1" applyBorder="1" applyAlignment="1" applyProtection="1">
      <alignment horizontal="right" vertical="center"/>
      <protection locked="0"/>
    </xf>
    <xf numFmtId="165" fontId="14" fillId="0" borderId="59" xfId="0" applyNumberFormat="1" applyFont="1" applyFill="1" applyBorder="1" applyAlignment="1" applyProtection="1">
      <alignment horizontal="right" vertical="center"/>
      <protection locked="0"/>
    </xf>
    <xf numFmtId="165" fontId="26" fillId="0" borderId="0" xfId="0" applyNumberFormat="1" applyFont="1" applyFill="1" applyBorder="1" applyAlignment="1" applyProtection="1">
      <alignment horizontal="right" vertical="center"/>
      <protection locked="0"/>
    </xf>
    <xf numFmtId="165" fontId="2" fillId="0" borderId="30" xfId="18" applyNumberFormat="1" applyFont="1" applyFill="1" applyBorder="1" applyAlignment="1" applyProtection="1">
      <alignment vertical="center" wrapText="1"/>
      <protection locked="0"/>
    </xf>
    <xf numFmtId="165" fontId="26" fillId="0" borderId="76" xfId="0" applyNumberFormat="1" applyFont="1" applyFill="1" applyBorder="1" applyAlignment="1" applyProtection="1">
      <alignment horizontal="right" vertical="center"/>
      <protection locked="0"/>
    </xf>
    <xf numFmtId="165" fontId="14" fillId="0" borderId="31" xfId="0" applyNumberFormat="1" applyFont="1" applyFill="1" applyBorder="1" applyAlignment="1" applyProtection="1">
      <alignment horizontal="right" vertical="center"/>
      <protection locked="0"/>
    </xf>
    <xf numFmtId="3" fontId="32" fillId="0" borderId="69" xfId="0" applyNumberFormat="1" applyFont="1" applyFill="1" applyBorder="1" applyAlignment="1" applyProtection="1">
      <alignment vertical="center"/>
      <protection locked="0"/>
    </xf>
    <xf numFmtId="165" fontId="36" fillId="0" borderId="53" xfId="18" applyNumberFormat="1" applyFont="1" applyFill="1" applyBorder="1" applyAlignment="1" applyProtection="1">
      <alignment vertical="center" wrapText="1"/>
      <protection locked="0"/>
    </xf>
    <xf numFmtId="165" fontId="26" fillId="0" borderId="27" xfId="0" applyNumberFormat="1" applyFont="1" applyFill="1" applyBorder="1" applyAlignment="1" applyProtection="1">
      <alignment vertical="center"/>
      <protection locked="0"/>
    </xf>
    <xf numFmtId="3" fontId="36" fillId="0" borderId="0" xfId="0" applyNumberFormat="1" applyFont="1" applyFill="1" applyBorder="1" applyAlignment="1" applyProtection="1">
      <alignment vertical="center"/>
      <protection locked="0"/>
    </xf>
    <xf numFmtId="3" fontId="33" fillId="0" borderId="55" xfId="0" applyNumberFormat="1" applyFont="1" applyFill="1" applyBorder="1" applyAlignment="1" applyProtection="1">
      <alignment vertical="center"/>
      <protection locked="0"/>
    </xf>
    <xf numFmtId="3" fontId="33" fillId="0" borderId="70" xfId="0" applyNumberFormat="1" applyFont="1" applyFill="1" applyBorder="1" applyAlignment="1" applyProtection="1">
      <alignment vertical="center"/>
      <protection locked="0"/>
    </xf>
    <xf numFmtId="3" fontId="36" fillId="0" borderId="26" xfId="0" applyNumberFormat="1" applyFont="1" applyFill="1" applyBorder="1" applyAlignment="1" applyProtection="1">
      <alignment vertical="center"/>
      <protection locked="0"/>
    </xf>
    <xf numFmtId="1" fontId="2" fillId="0" borderId="43" xfId="0" applyNumberFormat="1" applyFont="1" applyFill="1" applyBorder="1" applyAlignment="1" applyProtection="1">
      <alignment horizontal="center" vertical="center"/>
      <protection locked="0"/>
    </xf>
    <xf numFmtId="165" fontId="2" fillId="0" borderId="30" xfId="18" applyNumberFormat="1" applyFont="1" applyFill="1" applyBorder="1" applyAlignment="1" applyProtection="1">
      <alignment vertical="center" wrapText="1"/>
      <protection locked="0"/>
    </xf>
    <xf numFmtId="165" fontId="5" fillId="0" borderId="31" xfId="0" applyNumberFormat="1" applyFont="1" applyFill="1" applyBorder="1" applyAlignment="1" applyProtection="1">
      <alignment vertical="center"/>
      <protection locked="0"/>
    </xf>
    <xf numFmtId="165" fontId="2" fillId="0" borderId="16" xfId="18" applyNumberFormat="1" applyFont="1" applyFill="1" applyBorder="1" applyAlignment="1" applyProtection="1">
      <alignment vertical="center" wrapText="1"/>
      <protection locked="0"/>
    </xf>
    <xf numFmtId="3" fontId="32" fillId="0" borderId="61" xfId="0" applyNumberFormat="1" applyFont="1" applyFill="1" applyBorder="1" applyAlignment="1" applyProtection="1">
      <alignment vertical="center"/>
      <protection locked="0"/>
    </xf>
    <xf numFmtId="3" fontId="33" fillId="0" borderId="58" xfId="0" applyNumberFormat="1" applyFont="1" applyFill="1" applyBorder="1" applyAlignment="1" applyProtection="1">
      <alignment vertical="center"/>
      <protection locked="0"/>
    </xf>
    <xf numFmtId="3" fontId="33" fillId="0" borderId="65" xfId="0" applyNumberFormat="1" applyFont="1" applyFill="1" applyBorder="1" applyAlignment="1" applyProtection="1">
      <alignment vertical="center"/>
      <protection locked="0"/>
    </xf>
    <xf numFmtId="3" fontId="33" fillId="0" borderId="61" xfId="0" applyNumberFormat="1" applyFont="1" applyFill="1" applyBorder="1" applyAlignment="1" applyProtection="1">
      <alignment vertical="center"/>
      <protection locked="0"/>
    </xf>
    <xf numFmtId="3" fontId="33" fillId="0" borderId="58" xfId="0" applyNumberFormat="1" applyFont="1" applyFill="1" applyBorder="1" applyAlignment="1" applyProtection="1">
      <alignment vertical="center"/>
      <protection locked="0"/>
    </xf>
    <xf numFmtId="0" fontId="15" fillId="0" borderId="15" xfId="0" applyNumberFormat="1" applyFont="1" applyFill="1" applyBorder="1" applyAlignment="1" applyProtection="1">
      <alignment horizontal="centerContinuous" vertical="center"/>
      <protection locked="0"/>
    </xf>
    <xf numFmtId="0" fontId="15" fillId="0" borderId="4" xfId="0" applyFont="1" applyBorder="1" applyAlignment="1">
      <alignment horizontal="left" vertical="center" wrapText="1"/>
    </xf>
    <xf numFmtId="3" fontId="35" fillId="0" borderId="6" xfId="0" applyNumberFormat="1" applyFont="1" applyBorder="1" applyAlignment="1">
      <alignment horizontal="right" vertical="center"/>
    </xf>
    <xf numFmtId="3" fontId="35" fillId="0" borderId="48" xfId="0" applyNumberFormat="1" applyFont="1" applyFill="1" applyBorder="1" applyAlignment="1" applyProtection="1">
      <alignment vertical="center"/>
      <protection locked="0"/>
    </xf>
    <xf numFmtId="165" fontId="4" fillId="0" borderId="67" xfId="18" applyNumberFormat="1" applyFont="1" applyFill="1" applyBorder="1" applyAlignment="1" applyProtection="1">
      <alignment horizontal="left" vertical="center" wrapText="1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32" fillId="0" borderId="3" xfId="0" applyNumberFormat="1" applyFont="1" applyBorder="1" applyAlignment="1">
      <alignment horizontal="right" vertical="center"/>
    </xf>
    <xf numFmtId="3" fontId="33" fillId="0" borderId="13" xfId="0" applyNumberFormat="1" applyFont="1" applyFill="1" applyBorder="1" applyAlignment="1" applyProtection="1">
      <alignment vertical="center"/>
      <protection locked="0"/>
    </xf>
    <xf numFmtId="1" fontId="15" fillId="0" borderId="49" xfId="0" applyNumberFormat="1" applyFont="1" applyFill="1" applyBorder="1" applyAlignment="1" applyProtection="1">
      <alignment horizontal="centerContinuous" vertical="center"/>
      <protection locked="0"/>
    </xf>
    <xf numFmtId="165" fontId="15" fillId="0" borderId="65" xfId="18" applyNumberFormat="1" applyFont="1" applyFill="1" applyBorder="1" applyAlignment="1" applyProtection="1">
      <alignment vertical="center" wrapText="1"/>
      <protection locked="0"/>
    </xf>
    <xf numFmtId="3" fontId="35" fillId="0" borderId="49" xfId="0" applyNumberFormat="1" applyFont="1" applyFill="1" applyBorder="1" applyAlignment="1" applyProtection="1">
      <alignment vertical="center"/>
      <protection locked="0"/>
    </xf>
    <xf numFmtId="3" fontId="35" fillId="0" borderId="46" xfId="0" applyNumberFormat="1" applyFont="1" applyFill="1" applyBorder="1" applyAlignment="1" applyProtection="1">
      <alignment vertical="center"/>
      <protection locked="0"/>
    </xf>
    <xf numFmtId="3" fontId="35" fillId="0" borderId="64" xfId="0" applyNumberFormat="1" applyFont="1" applyFill="1" applyBorder="1" applyAlignment="1" applyProtection="1">
      <alignment vertical="center"/>
      <protection locked="0"/>
    </xf>
    <xf numFmtId="165" fontId="16" fillId="0" borderId="51" xfId="0" applyNumberFormat="1" applyFont="1" applyFill="1" applyBorder="1" applyAlignment="1" applyProtection="1">
      <alignment vertical="center"/>
      <protection locked="0"/>
    </xf>
    <xf numFmtId="1" fontId="24" fillId="0" borderId="49" xfId="0" applyNumberFormat="1" applyFont="1" applyFill="1" applyBorder="1" applyAlignment="1" applyProtection="1">
      <alignment horizontal="centerContinuous" vertical="center"/>
      <protection locked="0"/>
    </xf>
    <xf numFmtId="165" fontId="24" fillId="0" borderId="65" xfId="18" applyNumberFormat="1" applyFont="1" applyFill="1" applyBorder="1" applyAlignment="1" applyProtection="1">
      <alignment vertical="center" wrapText="1"/>
      <protection locked="0"/>
    </xf>
    <xf numFmtId="3" fontId="36" fillId="0" borderId="49" xfId="0" applyNumberFormat="1" applyFont="1" applyFill="1" applyBorder="1" applyAlignment="1" applyProtection="1">
      <alignment vertical="center"/>
      <protection locked="0"/>
    </xf>
    <xf numFmtId="3" fontId="36" fillId="0" borderId="46" xfId="0" applyNumberFormat="1" applyFont="1" applyFill="1" applyBorder="1" applyAlignment="1" applyProtection="1">
      <alignment vertical="center"/>
      <protection locked="0"/>
    </xf>
    <xf numFmtId="3" fontId="36" fillId="0" borderId="64" xfId="0" applyNumberFormat="1" applyFont="1" applyFill="1" applyBorder="1" applyAlignment="1" applyProtection="1">
      <alignment vertical="center"/>
      <protection locked="0"/>
    </xf>
    <xf numFmtId="165" fontId="5" fillId="0" borderId="45" xfId="0" applyNumberFormat="1" applyFont="1" applyFill="1" applyBorder="1" applyAlignment="1" applyProtection="1">
      <alignment horizontal="right" vertical="center"/>
      <protection locked="0"/>
    </xf>
    <xf numFmtId="1" fontId="15" fillId="0" borderId="47" xfId="0" applyNumberFormat="1" applyFont="1" applyFill="1" applyBorder="1" applyAlignment="1" applyProtection="1">
      <alignment horizontal="centerContinuous" vertical="center"/>
      <protection locked="0"/>
    </xf>
    <xf numFmtId="3" fontId="35" fillId="0" borderId="47" xfId="0" applyNumberFormat="1" applyFont="1" applyFill="1" applyBorder="1" applyAlignment="1" applyProtection="1">
      <alignment vertical="center"/>
      <protection locked="0"/>
    </xf>
    <xf numFmtId="165" fontId="17" fillId="0" borderId="59" xfId="0" applyNumberFormat="1" applyFont="1" applyFill="1" applyBorder="1" applyAlignment="1" applyProtection="1">
      <alignment horizontal="right" vertical="center"/>
      <protection locked="0"/>
    </xf>
    <xf numFmtId="3" fontId="35" fillId="0" borderId="44" xfId="0" applyNumberFormat="1" applyFont="1" applyFill="1" applyBorder="1" applyAlignment="1" applyProtection="1">
      <alignment vertical="center"/>
      <protection locked="0"/>
    </xf>
    <xf numFmtId="165" fontId="17" fillId="0" borderId="16" xfId="0" applyNumberFormat="1" applyFont="1" applyFill="1" applyBorder="1" applyAlignment="1" applyProtection="1">
      <alignment horizontal="right" vertical="center"/>
      <protection locked="0"/>
    </xf>
    <xf numFmtId="3" fontId="35" fillId="0" borderId="62" xfId="0" applyNumberFormat="1" applyFont="1" applyFill="1" applyBorder="1" applyAlignment="1" applyProtection="1">
      <alignment vertical="center"/>
      <protection locked="0"/>
    </xf>
    <xf numFmtId="165" fontId="16" fillId="0" borderId="45" xfId="0" applyNumberFormat="1" applyFont="1" applyFill="1" applyBorder="1" applyAlignment="1" applyProtection="1">
      <alignment vertical="center"/>
      <protection locked="0"/>
    </xf>
    <xf numFmtId="165" fontId="16" fillId="0" borderId="59" xfId="0" applyNumberFormat="1" applyFont="1" applyFill="1" applyBorder="1" applyAlignment="1" applyProtection="1">
      <alignment vertical="center"/>
      <protection locked="0"/>
    </xf>
    <xf numFmtId="165" fontId="15" fillId="0" borderId="16" xfId="18" applyNumberFormat="1" applyFont="1" applyFill="1" applyBorder="1" applyAlignment="1" applyProtection="1">
      <alignment vertical="center" wrapText="1"/>
      <protection locked="0"/>
    </xf>
    <xf numFmtId="165" fontId="17" fillId="0" borderId="27" xfId="0" applyNumberFormat="1" applyFont="1" applyFill="1" applyBorder="1" applyAlignment="1" applyProtection="1">
      <alignment horizontal="right" vertical="center"/>
      <protection locked="0"/>
    </xf>
    <xf numFmtId="165" fontId="16" fillId="0" borderId="16" xfId="0" applyNumberFormat="1" applyFont="1" applyFill="1" applyBorder="1" applyAlignment="1" applyProtection="1">
      <alignment horizontal="right" vertical="center"/>
      <protection locked="0"/>
    </xf>
    <xf numFmtId="165" fontId="16" fillId="0" borderId="16" xfId="0" applyNumberFormat="1" applyFont="1" applyFill="1" applyBorder="1" applyAlignment="1" applyProtection="1">
      <alignment vertical="center"/>
      <protection locked="0"/>
    </xf>
    <xf numFmtId="165" fontId="16" fillId="0" borderId="27" xfId="0" applyNumberFormat="1" applyFont="1" applyFill="1" applyBorder="1" applyAlignment="1" applyProtection="1">
      <alignment vertical="center"/>
      <protection locked="0"/>
    </xf>
    <xf numFmtId="3" fontId="33" fillId="0" borderId="0" xfId="0" applyNumberFormat="1" applyFont="1" applyFill="1" applyBorder="1" applyAlignment="1" applyProtection="1">
      <alignment vertical="center"/>
      <protection locked="0"/>
    </xf>
    <xf numFmtId="3" fontId="33" fillId="0" borderId="41" xfId="0" applyNumberFormat="1" applyFont="1" applyFill="1" applyBorder="1" applyAlignment="1" applyProtection="1">
      <alignment vertical="center"/>
      <protection locked="0"/>
    </xf>
    <xf numFmtId="1" fontId="33" fillId="0" borderId="12" xfId="0" applyNumberFormat="1" applyFont="1" applyFill="1" applyBorder="1" applyAlignment="1" applyProtection="1">
      <alignment horizontal="centerContinuous" vertical="center"/>
      <protection locked="0"/>
    </xf>
    <xf numFmtId="1" fontId="33" fillId="0" borderId="13" xfId="0" applyNumberFormat="1" applyFont="1" applyFill="1" applyBorder="1" applyAlignment="1" applyProtection="1">
      <alignment horizontal="left" vertical="center" wrapText="1"/>
      <protection locked="0"/>
    </xf>
    <xf numFmtId="165" fontId="26" fillId="0" borderId="36" xfId="0" applyNumberFormat="1" applyFont="1" applyFill="1" applyBorder="1" applyAlignment="1" applyProtection="1">
      <alignment horizontal="right" vertical="center"/>
      <protection locked="0"/>
    </xf>
    <xf numFmtId="165" fontId="14" fillId="0" borderId="14" xfId="0" applyNumberFormat="1" applyFont="1" applyFill="1" applyBorder="1" applyAlignment="1" applyProtection="1">
      <alignment horizontal="right" vertical="center"/>
      <protection locked="0"/>
    </xf>
    <xf numFmtId="165" fontId="32" fillId="0" borderId="0" xfId="0" applyNumberFormat="1" applyFont="1" applyBorder="1" applyAlignment="1">
      <alignment/>
    </xf>
    <xf numFmtId="1" fontId="36" fillId="0" borderId="26" xfId="0" applyNumberFormat="1" applyFont="1" applyFill="1" applyBorder="1" applyAlignment="1" applyProtection="1">
      <alignment horizontal="centerContinuous" vertical="center"/>
      <protection locked="0"/>
    </xf>
    <xf numFmtId="1" fontId="36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14" fillId="0" borderId="0" xfId="0" applyNumberFormat="1" applyFont="1" applyFill="1" applyBorder="1" applyAlignment="1" applyProtection="1">
      <alignment horizontal="right" vertical="center"/>
      <protection locked="0"/>
    </xf>
    <xf numFmtId="165" fontId="35" fillId="0" borderId="0" xfId="0" applyNumberFormat="1" applyFont="1" applyBorder="1" applyAlignment="1">
      <alignment/>
    </xf>
    <xf numFmtId="1" fontId="15" fillId="0" borderId="26" xfId="0" applyNumberFormat="1" applyFont="1" applyFill="1" applyBorder="1" applyAlignment="1" applyProtection="1">
      <alignment horizontal="centerContinuous" vertical="center"/>
      <protection locked="0"/>
    </xf>
    <xf numFmtId="1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5" fillId="0" borderId="26" xfId="0" applyNumberFormat="1" applyFont="1" applyFill="1" applyBorder="1" applyAlignment="1" applyProtection="1">
      <alignment vertical="center"/>
      <protection locked="0"/>
    </xf>
    <xf numFmtId="165" fontId="16" fillId="0" borderId="0" xfId="0" applyNumberFormat="1" applyFont="1" applyFill="1" applyBorder="1" applyAlignment="1" applyProtection="1">
      <alignment horizontal="right" vertical="center"/>
      <protection locked="0"/>
    </xf>
    <xf numFmtId="0" fontId="37" fillId="0" borderId="27" xfId="0" applyFont="1" applyBorder="1" applyAlignment="1">
      <alignment vertical="center" wrapText="1"/>
    </xf>
    <xf numFmtId="1" fontId="36" fillId="0" borderId="27" xfId="0" applyNumberFormat="1" applyFont="1" applyFill="1" applyBorder="1" applyAlignment="1" applyProtection="1">
      <alignment horizontal="left" vertical="center" wrapText="1"/>
      <protection locked="0"/>
    </xf>
    <xf numFmtId="165" fontId="36" fillId="0" borderId="0" xfId="0" applyNumberFormat="1" applyFont="1" applyFill="1" applyBorder="1" applyAlignment="1" applyProtection="1">
      <alignment horizontal="right" vertical="center"/>
      <protection locked="0"/>
    </xf>
    <xf numFmtId="1" fontId="36" fillId="0" borderId="17" xfId="0" applyNumberFormat="1" applyFont="1" applyFill="1" applyBorder="1" applyAlignment="1" applyProtection="1">
      <alignment horizontal="centerContinuous" vertical="center"/>
      <protection locked="0"/>
    </xf>
    <xf numFmtId="0" fontId="38" fillId="0" borderId="19" xfId="0" applyFont="1" applyBorder="1" applyAlignment="1">
      <alignment vertical="center" wrapText="1"/>
    </xf>
    <xf numFmtId="3" fontId="36" fillId="0" borderId="24" xfId="0" applyNumberFormat="1" applyFont="1" applyFill="1" applyBorder="1" applyAlignment="1" applyProtection="1">
      <alignment vertical="center"/>
      <protection locked="0"/>
    </xf>
    <xf numFmtId="3" fontId="36" fillId="0" borderId="56" xfId="0" applyNumberFormat="1" applyFont="1" applyFill="1" applyBorder="1" applyAlignment="1" applyProtection="1">
      <alignment vertical="center"/>
      <protection locked="0"/>
    </xf>
    <xf numFmtId="165" fontId="16" fillId="0" borderId="18" xfId="0" applyNumberFormat="1" applyFont="1" applyFill="1" applyBorder="1" applyAlignment="1" applyProtection="1">
      <alignment horizontal="right" vertical="center"/>
      <protection locked="0"/>
    </xf>
    <xf numFmtId="3" fontId="36" fillId="0" borderId="17" xfId="0" applyNumberFormat="1" applyFont="1" applyFill="1" applyBorder="1" applyAlignment="1" applyProtection="1">
      <alignment vertical="center"/>
      <protection locked="0"/>
    </xf>
    <xf numFmtId="3" fontId="24" fillId="0" borderId="56" xfId="0" applyNumberFormat="1" applyFont="1" applyFill="1" applyBorder="1" applyAlignment="1" applyProtection="1">
      <alignment vertical="center"/>
      <protection locked="0"/>
    </xf>
    <xf numFmtId="165" fontId="14" fillId="0" borderId="19" xfId="0" applyNumberFormat="1" applyFont="1" applyFill="1" applyBorder="1" applyAlignment="1" applyProtection="1">
      <alignment horizontal="right" vertical="center"/>
      <protection locked="0"/>
    </xf>
    <xf numFmtId="165" fontId="14" fillId="0" borderId="25" xfId="0" applyNumberFormat="1" applyFont="1" applyFill="1" applyBorder="1" applyAlignment="1" applyProtection="1">
      <alignment horizontal="right" vertical="center"/>
      <protection locked="0"/>
    </xf>
    <xf numFmtId="1" fontId="36" fillId="0" borderId="0" xfId="0" applyNumberFormat="1" applyFont="1" applyFill="1" applyBorder="1" applyAlignment="1" applyProtection="1">
      <alignment horizontal="centerContinuous" vertical="center"/>
      <protection locked="0"/>
    </xf>
    <xf numFmtId="4" fontId="36" fillId="0" borderId="0" xfId="0" applyNumberFormat="1" applyFont="1" applyFill="1" applyBorder="1" applyAlignment="1" applyProtection="1">
      <alignment vertical="center"/>
      <protection locked="0"/>
    </xf>
    <xf numFmtId="3" fontId="24" fillId="0" borderId="0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>
      <alignment vertical="center"/>
    </xf>
    <xf numFmtId="3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9" fillId="0" borderId="77" xfId="0" applyFont="1" applyBorder="1" applyAlignment="1">
      <alignment horizontal="center" vertical="center" wrapText="1"/>
    </xf>
    <xf numFmtId="3" fontId="39" fillId="0" borderId="78" xfId="0" applyNumberFormat="1" applyFont="1" applyBorder="1" applyAlignment="1">
      <alignment horizontal="center" vertical="center"/>
    </xf>
    <xf numFmtId="3" fontId="39" fillId="0" borderId="79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80" xfId="0" applyFont="1" applyBorder="1" applyAlignment="1">
      <alignment horizontal="center" vertical="center" wrapText="1"/>
    </xf>
    <xf numFmtId="3" fontId="19" fillId="0" borderId="81" xfId="0" applyNumberFormat="1" applyFont="1" applyBorder="1" applyAlignment="1">
      <alignment horizontal="center" vertical="center"/>
    </xf>
    <xf numFmtId="3" fontId="19" fillId="0" borderId="8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9" fillId="0" borderId="83" xfId="0" applyFont="1" applyBorder="1" applyAlignment="1">
      <alignment vertical="center" wrapText="1"/>
    </xf>
    <xf numFmtId="4" fontId="39" fillId="0" borderId="48" xfId="0" applyNumberFormat="1" applyFont="1" applyBorder="1" applyAlignment="1">
      <alignment vertical="center"/>
    </xf>
    <xf numFmtId="4" fontId="39" fillId="0" borderId="84" xfId="0" applyNumberFormat="1" applyFont="1" applyBorder="1" applyAlignment="1">
      <alignment vertical="center"/>
    </xf>
    <xf numFmtId="0" fontId="39" fillId="0" borderId="63" xfId="0" applyFont="1" applyBorder="1" applyAlignment="1">
      <alignment vertical="center" wrapText="1"/>
    </xf>
    <xf numFmtId="4" fontId="39" fillId="0" borderId="46" xfId="0" applyNumberFormat="1" applyFont="1" applyBorder="1" applyAlignment="1">
      <alignment vertical="center"/>
    </xf>
    <xf numFmtId="4" fontId="39" fillId="0" borderId="85" xfId="0" applyNumberFormat="1" applyFont="1" applyBorder="1" applyAlignment="1">
      <alignment vertical="center"/>
    </xf>
    <xf numFmtId="0" fontId="40" fillId="0" borderId="63" xfId="0" applyFont="1" applyBorder="1" applyAlignment="1">
      <alignment vertical="center" wrapText="1"/>
    </xf>
    <xf numFmtId="4" fontId="40" fillId="0" borderId="46" xfId="0" applyNumberFormat="1" applyFont="1" applyBorder="1" applyAlignment="1">
      <alignment vertical="center"/>
    </xf>
    <xf numFmtId="4" fontId="40" fillId="0" borderId="85" xfId="0" applyNumberFormat="1" applyFont="1" applyBorder="1" applyAlignment="1">
      <alignment vertical="center"/>
    </xf>
    <xf numFmtId="0" fontId="42" fillId="0" borderId="63" xfId="0" applyFont="1" applyBorder="1" applyAlignment="1">
      <alignment vertical="center" wrapText="1"/>
    </xf>
    <xf numFmtId="4" fontId="42" fillId="0" borderId="46" xfId="0" applyNumberFormat="1" applyFont="1" applyBorder="1" applyAlignment="1">
      <alignment vertical="center"/>
    </xf>
    <xf numFmtId="4" fontId="42" fillId="0" borderId="85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5" fontId="40" fillId="0" borderId="63" xfId="0" applyNumberFormat="1" applyFont="1" applyBorder="1" applyAlignment="1">
      <alignment vertical="center" wrapText="1"/>
    </xf>
    <xf numFmtId="165" fontId="32" fillId="0" borderId="63" xfId="0" applyNumberFormat="1" applyFont="1" applyBorder="1" applyAlignment="1">
      <alignment vertical="center" wrapText="1"/>
    </xf>
    <xf numFmtId="3" fontId="40" fillId="0" borderId="46" xfId="0" applyNumberFormat="1" applyFont="1" applyBorder="1" applyAlignment="1">
      <alignment vertical="center"/>
    </xf>
    <xf numFmtId="3" fontId="40" fillId="0" borderId="85" xfId="0" applyNumberFormat="1" applyFont="1" applyBorder="1" applyAlignment="1">
      <alignment vertical="center"/>
    </xf>
    <xf numFmtId="0" fontId="40" fillId="0" borderId="80" xfId="0" applyFont="1" applyBorder="1" applyAlignment="1">
      <alignment vertical="center" wrapText="1"/>
    </xf>
    <xf numFmtId="3" fontId="40" fillId="0" borderId="81" xfId="0" applyNumberFormat="1" applyFont="1" applyBorder="1" applyAlignment="1">
      <alignment vertical="center"/>
    </xf>
    <xf numFmtId="3" fontId="40" fillId="0" borderId="82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3"/>
  <sheetViews>
    <sheetView workbookViewId="0" topLeftCell="A328">
      <selection activeCell="A341" sqref="A341:IV341"/>
    </sheetView>
  </sheetViews>
  <sheetFormatPr defaultColWidth="9.00390625" defaultRowHeight="12.75"/>
  <cols>
    <col min="1" max="1" width="5.00390625" style="0" customWidth="1"/>
    <col min="2" max="2" width="20.75390625" style="0" customWidth="1"/>
    <col min="3" max="3" width="9.75390625" style="0" customWidth="1"/>
    <col min="4" max="5" width="11.875" style="0" customWidth="1"/>
    <col min="6" max="6" width="4.125" style="17" customWidth="1"/>
    <col min="7" max="7" width="9.625" style="0" customWidth="1"/>
    <col min="8" max="8" width="9.375" style="0" customWidth="1"/>
    <col min="9" max="9" width="4.00390625" style="18" customWidth="1"/>
    <col min="10" max="10" width="11.00390625" style="0" customWidth="1"/>
    <col min="11" max="11" width="10.625" style="0" customWidth="1"/>
    <col min="12" max="12" width="4.125" style="19" customWidth="1"/>
    <col min="13" max="14" width="8.75390625" style="0" customWidth="1"/>
    <col min="15" max="15" width="4.00390625" style="18" customWidth="1"/>
    <col min="16" max="16" width="7.625" style="0" customWidth="1"/>
    <col min="17" max="17" width="7.875" style="0" customWidth="1"/>
    <col min="18" max="18" width="4.125" style="18" customWidth="1"/>
    <col min="19" max="19" width="0" style="0" hidden="1" customWidth="1"/>
  </cols>
  <sheetData>
    <row r="1" spans="1:18" ht="15.75">
      <c r="A1" s="1" t="s">
        <v>295</v>
      </c>
      <c r="B1" s="2"/>
      <c r="C1" s="3"/>
      <c r="D1" s="3"/>
      <c r="E1" s="3"/>
      <c r="F1" s="4"/>
      <c r="G1" s="5"/>
      <c r="H1" s="6"/>
      <c r="I1" s="7"/>
      <c r="J1" s="8"/>
      <c r="K1" s="9"/>
      <c r="L1" s="10"/>
      <c r="M1" s="11"/>
      <c r="N1" s="12"/>
      <c r="O1" s="13"/>
      <c r="P1" s="14"/>
      <c r="Q1" s="15"/>
      <c r="R1" s="16"/>
    </row>
    <row r="2" ht="13.5" thickBot="1"/>
    <row r="3" spans="1:18" ht="15" thickTop="1">
      <c r="A3" s="20" t="s">
        <v>296</v>
      </c>
      <c r="B3" s="21" t="s">
        <v>297</v>
      </c>
      <c r="C3" s="22" t="s">
        <v>298</v>
      </c>
      <c r="D3" s="23"/>
      <c r="E3" s="23"/>
      <c r="F3" s="24"/>
      <c r="G3" s="25" t="s">
        <v>299</v>
      </c>
      <c r="H3" s="26"/>
      <c r="I3" s="26"/>
      <c r="J3" s="26"/>
      <c r="K3" s="26"/>
      <c r="L3" s="27"/>
      <c r="M3" s="28" t="s">
        <v>300</v>
      </c>
      <c r="N3" s="29"/>
      <c r="O3" s="29"/>
      <c r="P3" s="29"/>
      <c r="Q3" s="29"/>
      <c r="R3" s="30"/>
    </row>
    <row r="4" spans="1:18" ht="13.5" thickBot="1">
      <c r="A4" s="31"/>
      <c r="B4" s="32"/>
      <c r="C4" s="33"/>
      <c r="D4" s="34"/>
      <c r="E4" s="34"/>
      <c r="F4" s="35"/>
      <c r="G4" s="36" t="s">
        <v>301</v>
      </c>
      <c r="H4" s="37"/>
      <c r="I4" s="38"/>
      <c r="J4" s="36" t="s">
        <v>302</v>
      </c>
      <c r="K4" s="39"/>
      <c r="L4" s="40"/>
      <c r="M4" s="36" t="s">
        <v>301</v>
      </c>
      <c r="N4" s="37"/>
      <c r="O4" s="38"/>
      <c r="P4" s="36" t="s">
        <v>302</v>
      </c>
      <c r="Q4" s="39"/>
      <c r="R4" s="41"/>
    </row>
    <row r="5" spans="1:18" ht="37.5" thickBot="1" thickTop="1">
      <c r="A5" s="42"/>
      <c r="B5" s="43"/>
      <c r="C5" s="44" t="s">
        <v>303</v>
      </c>
      <c r="D5" s="45" t="s">
        <v>304</v>
      </c>
      <c r="E5" s="45" t="s">
        <v>305</v>
      </c>
      <c r="F5" s="46" t="s">
        <v>306</v>
      </c>
      <c r="G5" s="47" t="s">
        <v>307</v>
      </c>
      <c r="H5" s="48" t="s">
        <v>305</v>
      </c>
      <c r="I5" s="49" t="s">
        <v>306</v>
      </c>
      <c r="J5" s="47" t="s">
        <v>307</v>
      </c>
      <c r="K5" s="48" t="s">
        <v>305</v>
      </c>
      <c r="L5" s="49" t="s">
        <v>306</v>
      </c>
      <c r="M5" s="47" t="s">
        <v>307</v>
      </c>
      <c r="N5" s="48" t="s">
        <v>305</v>
      </c>
      <c r="O5" s="49" t="s">
        <v>306</v>
      </c>
      <c r="P5" s="47" t="s">
        <v>307</v>
      </c>
      <c r="Q5" s="48" t="s">
        <v>305</v>
      </c>
      <c r="R5" s="49" t="s">
        <v>306</v>
      </c>
    </row>
    <row r="6" spans="1:18" ht="11.25" customHeight="1" thickBot="1" thickTop="1">
      <c r="A6" s="50">
        <v>1</v>
      </c>
      <c r="B6" s="51">
        <v>2</v>
      </c>
      <c r="C6" s="50">
        <v>3</v>
      </c>
      <c r="D6" s="52">
        <v>4</v>
      </c>
      <c r="E6" s="52">
        <v>5</v>
      </c>
      <c r="F6" s="53">
        <v>6</v>
      </c>
      <c r="G6" s="54">
        <v>7</v>
      </c>
      <c r="H6" s="52">
        <v>8</v>
      </c>
      <c r="I6" s="55">
        <v>9</v>
      </c>
      <c r="J6" s="54">
        <v>10</v>
      </c>
      <c r="K6" s="52">
        <v>11</v>
      </c>
      <c r="L6" s="55">
        <v>12</v>
      </c>
      <c r="M6" s="54">
        <v>13</v>
      </c>
      <c r="N6" s="52">
        <v>14</v>
      </c>
      <c r="O6" s="55">
        <v>15</v>
      </c>
      <c r="P6" s="54">
        <v>16</v>
      </c>
      <c r="Q6" s="52">
        <v>17</v>
      </c>
      <c r="R6" s="55">
        <v>18</v>
      </c>
    </row>
    <row r="7" spans="1:18" s="67" customFormat="1" ht="24.75" customHeight="1" thickBot="1" thickTop="1">
      <c r="A7" s="56" t="s">
        <v>308</v>
      </c>
      <c r="B7" s="57" t="s">
        <v>309</v>
      </c>
      <c r="C7" s="58"/>
      <c r="D7" s="59">
        <f>G7+J7+M7+P7</f>
        <v>1376.07</v>
      </c>
      <c r="E7" s="60">
        <f>E8</f>
        <v>1376</v>
      </c>
      <c r="F7" s="61">
        <f>E7/D7*100</f>
        <v>99.99491304948151</v>
      </c>
      <c r="G7" s="62"/>
      <c r="H7" s="60"/>
      <c r="I7" s="63"/>
      <c r="J7" s="62">
        <f>J8</f>
        <v>1376.07</v>
      </c>
      <c r="K7" s="60">
        <f>K8</f>
        <v>1376</v>
      </c>
      <c r="L7" s="64">
        <f>K7/J7*100</f>
        <v>99.99491304948151</v>
      </c>
      <c r="M7" s="65"/>
      <c r="N7" s="66"/>
      <c r="O7" s="64"/>
      <c r="P7" s="65"/>
      <c r="Q7" s="66"/>
      <c r="R7" s="64"/>
    </row>
    <row r="8" spans="1:18" s="67" customFormat="1" ht="15" customHeight="1" thickTop="1">
      <c r="A8" s="68" t="s">
        <v>310</v>
      </c>
      <c r="B8" s="69" t="s">
        <v>311</v>
      </c>
      <c r="C8" s="70"/>
      <c r="D8" s="71">
        <f>D9</f>
        <v>1376.07</v>
      </c>
      <c r="E8" s="71">
        <f>E9</f>
        <v>1376</v>
      </c>
      <c r="F8" s="72">
        <f>E8/D8*100</f>
        <v>99.99491304948151</v>
      </c>
      <c r="G8" s="73"/>
      <c r="H8" s="71"/>
      <c r="I8" s="74"/>
      <c r="J8" s="73">
        <f>J9</f>
        <v>1376.07</v>
      </c>
      <c r="K8" s="71">
        <f>K9</f>
        <v>1376</v>
      </c>
      <c r="L8" s="75">
        <f>K8/J8*100</f>
        <v>99.99491304948151</v>
      </c>
      <c r="M8" s="76"/>
      <c r="N8" s="77"/>
      <c r="O8" s="75"/>
      <c r="P8" s="76"/>
      <c r="Q8" s="77"/>
      <c r="R8" s="75"/>
    </row>
    <row r="9" spans="1:18" ht="55.5" customHeight="1" thickBot="1">
      <c r="A9" s="78" t="s">
        <v>312</v>
      </c>
      <c r="B9" s="79" t="s">
        <v>313</v>
      </c>
      <c r="C9" s="80"/>
      <c r="D9" s="81">
        <f>G9+J9+M9+P9</f>
        <v>1376.07</v>
      </c>
      <c r="E9" s="81">
        <f>H9+K9+N9+Q9</f>
        <v>1376</v>
      </c>
      <c r="F9" s="82">
        <f>E9/D9*100</f>
        <v>99.99491304948151</v>
      </c>
      <c r="G9" s="83"/>
      <c r="H9" s="84"/>
      <c r="I9" s="85"/>
      <c r="J9" s="86">
        <v>1376.07</v>
      </c>
      <c r="K9" s="87">
        <v>1376</v>
      </c>
      <c r="L9" s="88">
        <f>K9/J9*100</f>
        <v>99.99491304948151</v>
      </c>
      <c r="M9" s="89"/>
      <c r="N9" s="90"/>
      <c r="O9" s="88"/>
      <c r="P9" s="89"/>
      <c r="Q9" s="90"/>
      <c r="R9" s="88"/>
    </row>
    <row r="10" spans="1:18" ht="25.5" customHeight="1" thickBot="1" thickTop="1">
      <c r="A10" s="91" t="s">
        <v>314</v>
      </c>
      <c r="B10" s="92" t="s">
        <v>315</v>
      </c>
      <c r="C10" s="93">
        <f>C11+C16+C22</f>
        <v>19020</v>
      </c>
      <c r="D10" s="94">
        <f>G10+J10+M10+P10</f>
        <v>1676225</v>
      </c>
      <c r="E10" s="94">
        <f>H10+K10+N10+Q10</f>
        <v>1854270</v>
      </c>
      <c r="F10" s="95">
        <f>E10/D10*100</f>
        <v>110.62178406836792</v>
      </c>
      <c r="G10" s="96">
        <f>G11+G16+G22+G20</f>
        <v>25020</v>
      </c>
      <c r="H10" s="96">
        <f>H11+H16+H22+H20</f>
        <v>142972</v>
      </c>
      <c r="I10" s="97">
        <f>H10/G10*100</f>
        <v>571.4308553157474</v>
      </c>
      <c r="J10" s="98"/>
      <c r="K10" s="96"/>
      <c r="L10" s="99"/>
      <c r="M10" s="96">
        <f>M11+M16+M22</f>
        <v>1651205</v>
      </c>
      <c r="N10" s="96">
        <f>N11+N16+N22</f>
        <v>1711298</v>
      </c>
      <c r="O10" s="100">
        <f>N10/M10*100</f>
        <v>103.63934217737956</v>
      </c>
      <c r="P10" s="98"/>
      <c r="Q10" s="96"/>
      <c r="R10" s="100"/>
    </row>
    <row r="11" spans="1:18" ht="23.25" customHeight="1" thickTop="1">
      <c r="A11" s="101" t="s">
        <v>316</v>
      </c>
      <c r="B11" s="102" t="s">
        <v>317</v>
      </c>
      <c r="C11" s="103">
        <f>SUM(C12:C13)</f>
        <v>2000</v>
      </c>
      <c r="D11" s="104">
        <f>SUM(D12:D15)</f>
        <v>1651205</v>
      </c>
      <c r="E11" s="104">
        <f>SUM(E12:E15)</f>
        <v>1711298</v>
      </c>
      <c r="F11" s="105">
        <f>E11/D11*100</f>
        <v>103.63934217737956</v>
      </c>
      <c r="G11" s="106"/>
      <c r="H11" s="107"/>
      <c r="I11" s="108"/>
      <c r="J11" s="106"/>
      <c r="K11" s="107"/>
      <c r="L11" s="109"/>
      <c r="M11" s="110">
        <f>SUM(M12:M15)</f>
        <v>1651205</v>
      </c>
      <c r="N11" s="104">
        <f>SUM(N12:N15)</f>
        <v>1711298</v>
      </c>
      <c r="O11" s="111">
        <f>N11/M11*100</f>
        <v>103.63934217737956</v>
      </c>
      <c r="P11" s="106"/>
      <c r="Q11" s="107"/>
      <c r="R11" s="111"/>
    </row>
    <row r="12" spans="1:18" ht="36" customHeight="1">
      <c r="A12" s="112" t="s">
        <v>318</v>
      </c>
      <c r="B12" s="79" t="s">
        <v>319</v>
      </c>
      <c r="C12" s="113">
        <v>2000</v>
      </c>
      <c r="D12" s="114">
        <f>G12+J12+M12</f>
        <v>2000</v>
      </c>
      <c r="E12" s="114">
        <f>H12+K12+N12+Q12</f>
        <v>41105</v>
      </c>
      <c r="F12" s="115"/>
      <c r="G12" s="116"/>
      <c r="H12" s="117"/>
      <c r="I12" s="118"/>
      <c r="J12" s="116"/>
      <c r="K12" s="117"/>
      <c r="L12" s="119"/>
      <c r="M12" s="116">
        <v>2000</v>
      </c>
      <c r="N12" s="117">
        <v>41105</v>
      </c>
      <c r="O12" s="120">
        <f>N12/M12*100</f>
        <v>2055.25</v>
      </c>
      <c r="P12" s="116"/>
      <c r="Q12" s="117"/>
      <c r="R12" s="120"/>
    </row>
    <row r="13" spans="1:18" ht="23.25" customHeight="1">
      <c r="A13" s="112" t="s">
        <v>320</v>
      </c>
      <c r="B13" s="79" t="s">
        <v>321</v>
      </c>
      <c r="C13" s="113"/>
      <c r="D13" s="114">
        <f>G13+J13+M13</f>
        <v>134205</v>
      </c>
      <c r="E13" s="114">
        <f>H13+K13+N13+Q13</f>
        <v>134205</v>
      </c>
      <c r="F13" s="115">
        <f>E13/D13*100</f>
        <v>100</v>
      </c>
      <c r="G13" s="116"/>
      <c r="H13" s="117"/>
      <c r="I13" s="118"/>
      <c r="J13" s="116"/>
      <c r="K13" s="117"/>
      <c r="L13" s="119"/>
      <c r="M13" s="116">
        <v>134205</v>
      </c>
      <c r="N13" s="117">
        <v>134205</v>
      </c>
      <c r="O13" s="120">
        <f>N13/M13*100</f>
        <v>100</v>
      </c>
      <c r="P13" s="116"/>
      <c r="Q13" s="117"/>
      <c r="R13" s="120"/>
    </row>
    <row r="14" spans="1:18" ht="18.75" customHeight="1">
      <c r="A14" s="112" t="s">
        <v>322</v>
      </c>
      <c r="B14" s="121" t="s">
        <v>323</v>
      </c>
      <c r="C14" s="113"/>
      <c r="D14" s="114">
        <f>G14+J14+M14</f>
        <v>0</v>
      </c>
      <c r="E14" s="114">
        <f>H14+K14+N14+Q14</f>
        <v>20000</v>
      </c>
      <c r="F14" s="115"/>
      <c r="G14" s="116"/>
      <c r="H14" s="117"/>
      <c r="I14" s="118"/>
      <c r="J14" s="116"/>
      <c r="K14" s="117"/>
      <c r="L14" s="119"/>
      <c r="M14" s="116"/>
      <c r="N14" s="117">
        <v>20000</v>
      </c>
      <c r="O14" s="120"/>
      <c r="P14" s="116"/>
      <c r="Q14" s="117"/>
      <c r="R14" s="120"/>
    </row>
    <row r="15" spans="1:18" s="122" customFormat="1" ht="69" customHeight="1">
      <c r="A15" s="112" t="s">
        <v>324</v>
      </c>
      <c r="B15" s="121" t="s">
        <v>325</v>
      </c>
      <c r="C15" s="113"/>
      <c r="D15" s="114">
        <f>G15+J15+M15</f>
        <v>1515000</v>
      </c>
      <c r="E15" s="114">
        <f>H15+K15+N15+Q15</f>
        <v>1515988</v>
      </c>
      <c r="F15" s="115">
        <f>E15/D15*100</f>
        <v>100.06521452145213</v>
      </c>
      <c r="G15" s="116"/>
      <c r="H15" s="117"/>
      <c r="I15" s="118"/>
      <c r="J15" s="116"/>
      <c r="K15" s="117"/>
      <c r="L15" s="119"/>
      <c r="M15" s="116">
        <v>1515000</v>
      </c>
      <c r="N15" s="117">
        <v>1515988</v>
      </c>
      <c r="O15" s="120">
        <f>N15/M15*100</f>
        <v>100.06521452145213</v>
      </c>
      <c r="P15" s="116"/>
      <c r="Q15" s="117"/>
      <c r="R15" s="120"/>
    </row>
    <row r="16" spans="1:18" ht="15" customHeight="1">
      <c r="A16" s="123" t="s">
        <v>326</v>
      </c>
      <c r="B16" s="124" t="s">
        <v>327</v>
      </c>
      <c r="C16" s="125">
        <f>SUM(C17:C18)</f>
        <v>17000</v>
      </c>
      <c r="D16" s="104">
        <f>SUM(D17:D18)</f>
        <v>25000</v>
      </c>
      <c r="E16" s="104">
        <f>SUM(E17:E19)</f>
        <v>141528</v>
      </c>
      <c r="F16" s="126">
        <f aca="true" t="shared" si="0" ref="F16:F76">E16/D16*100</f>
        <v>566.1120000000001</v>
      </c>
      <c r="G16" s="127">
        <f>SUM(G17:G18)</f>
        <v>25000</v>
      </c>
      <c r="H16" s="128">
        <f>SUM(H17:H19)</f>
        <v>141528</v>
      </c>
      <c r="I16" s="129">
        <f aca="true" t="shared" si="1" ref="I16:I30">H16/G16*100</f>
        <v>566.1120000000001</v>
      </c>
      <c r="J16" s="127"/>
      <c r="K16" s="128"/>
      <c r="L16" s="109"/>
      <c r="M16" s="127"/>
      <c r="N16" s="128"/>
      <c r="O16" s="130"/>
      <c r="P16" s="127"/>
      <c r="Q16" s="128"/>
      <c r="R16" s="130"/>
    </row>
    <row r="17" spans="1:18" ht="32.25" customHeight="1">
      <c r="A17" s="131" t="s">
        <v>318</v>
      </c>
      <c r="B17" s="132" t="s">
        <v>328</v>
      </c>
      <c r="C17" s="133">
        <v>15000</v>
      </c>
      <c r="D17" s="134">
        <f>G17+J17</f>
        <v>15000</v>
      </c>
      <c r="E17" s="134">
        <f>H17+K17</f>
        <v>15547</v>
      </c>
      <c r="F17" s="135">
        <f t="shared" si="0"/>
        <v>103.64666666666666</v>
      </c>
      <c r="G17" s="136">
        <v>15000</v>
      </c>
      <c r="H17" s="137">
        <v>15547</v>
      </c>
      <c r="I17" s="138">
        <f t="shared" si="1"/>
        <v>103.64666666666666</v>
      </c>
      <c r="J17" s="136"/>
      <c r="K17" s="137"/>
      <c r="L17" s="139"/>
      <c r="M17" s="136"/>
      <c r="N17" s="137"/>
      <c r="O17" s="140"/>
      <c r="P17" s="136"/>
      <c r="Q17" s="137"/>
      <c r="R17" s="140"/>
    </row>
    <row r="18" spans="1:18" ht="13.5" customHeight="1">
      <c r="A18" s="112" t="s">
        <v>322</v>
      </c>
      <c r="B18" s="79" t="s">
        <v>329</v>
      </c>
      <c r="C18" s="113">
        <v>2000</v>
      </c>
      <c r="D18" s="114">
        <f>G18+J18</f>
        <v>10000</v>
      </c>
      <c r="E18" s="114">
        <f>H18+K18</f>
        <v>23260</v>
      </c>
      <c r="F18" s="141">
        <f t="shared" si="0"/>
        <v>232.6</v>
      </c>
      <c r="G18" s="116">
        <f>2000+8000</f>
        <v>10000</v>
      </c>
      <c r="H18" s="117">
        <f>125981-102721</f>
        <v>23260</v>
      </c>
      <c r="I18" s="118">
        <f t="shared" si="1"/>
        <v>232.6</v>
      </c>
      <c r="J18" s="142"/>
      <c r="K18" s="143"/>
      <c r="L18" s="119"/>
      <c r="M18" s="142"/>
      <c r="N18" s="143"/>
      <c r="O18" s="144"/>
      <c r="P18" s="142"/>
      <c r="Q18" s="143"/>
      <c r="R18" s="144"/>
    </row>
    <row r="19" spans="1:18" ht="34.5" customHeight="1">
      <c r="A19" s="145" t="s">
        <v>322</v>
      </c>
      <c r="B19" s="146" t="s">
        <v>330</v>
      </c>
      <c r="C19" s="147"/>
      <c r="D19" s="148"/>
      <c r="E19" s="148">
        <f>H19+K19</f>
        <v>102721</v>
      </c>
      <c r="F19" s="149"/>
      <c r="G19" s="150"/>
      <c r="H19" s="151">
        <v>102721</v>
      </c>
      <c r="I19" s="152"/>
      <c r="J19" s="153"/>
      <c r="K19" s="154"/>
      <c r="L19" s="155"/>
      <c r="M19" s="153"/>
      <c r="N19" s="154"/>
      <c r="O19" s="156"/>
      <c r="P19" s="153"/>
      <c r="Q19" s="154"/>
      <c r="R19" s="156"/>
    </row>
    <row r="20" spans="1:18" s="164" customFormat="1" ht="14.25" customHeight="1">
      <c r="A20" s="101" t="s">
        <v>331</v>
      </c>
      <c r="B20" s="102" t="s">
        <v>332</v>
      </c>
      <c r="C20" s="103"/>
      <c r="D20" s="157"/>
      <c r="E20" s="157">
        <f>E21</f>
        <v>1417</v>
      </c>
      <c r="F20" s="158"/>
      <c r="G20" s="127"/>
      <c r="H20" s="128">
        <f>H21</f>
        <v>1417</v>
      </c>
      <c r="I20" s="159"/>
      <c r="J20" s="160"/>
      <c r="K20" s="161"/>
      <c r="L20" s="162"/>
      <c r="M20" s="160"/>
      <c r="N20" s="161"/>
      <c r="O20" s="163"/>
      <c r="P20" s="160"/>
      <c r="Q20" s="161"/>
      <c r="R20" s="163"/>
    </row>
    <row r="21" spans="1:18" ht="33.75" customHeight="1">
      <c r="A21" s="145" t="s">
        <v>318</v>
      </c>
      <c r="B21" s="165" t="s">
        <v>328</v>
      </c>
      <c r="C21" s="147"/>
      <c r="D21" s="148"/>
      <c r="E21" s="148">
        <f>H21</f>
        <v>1417</v>
      </c>
      <c r="F21" s="149"/>
      <c r="G21" s="150"/>
      <c r="H21" s="151">
        <v>1417</v>
      </c>
      <c r="I21" s="152"/>
      <c r="J21" s="153"/>
      <c r="K21" s="154"/>
      <c r="L21" s="155"/>
      <c r="M21" s="153"/>
      <c r="N21" s="154"/>
      <c r="O21" s="156"/>
      <c r="P21" s="153"/>
      <c r="Q21" s="154"/>
      <c r="R21" s="156"/>
    </row>
    <row r="22" spans="1:18" ht="16.5" customHeight="1">
      <c r="A22" s="123" t="s">
        <v>333</v>
      </c>
      <c r="B22" s="124" t="s">
        <v>311</v>
      </c>
      <c r="C22" s="125">
        <f>C23</f>
        <v>20</v>
      </c>
      <c r="D22" s="104">
        <f>D23</f>
        <v>20</v>
      </c>
      <c r="E22" s="104">
        <f>E23</f>
        <v>27</v>
      </c>
      <c r="F22" s="105">
        <f t="shared" si="0"/>
        <v>135</v>
      </c>
      <c r="G22" s="127">
        <f>G23</f>
        <v>20</v>
      </c>
      <c r="H22" s="128">
        <f>H23</f>
        <v>27</v>
      </c>
      <c r="I22" s="129">
        <f t="shared" si="1"/>
        <v>135</v>
      </c>
      <c r="J22" s="127"/>
      <c r="K22" s="128"/>
      <c r="L22" s="109"/>
      <c r="M22" s="127"/>
      <c r="N22" s="128"/>
      <c r="O22" s="130"/>
      <c r="P22" s="127"/>
      <c r="Q22" s="128"/>
      <c r="R22" s="130"/>
    </row>
    <row r="23" spans="1:18" ht="15.75" customHeight="1" thickBot="1">
      <c r="A23" s="112" t="s">
        <v>322</v>
      </c>
      <c r="B23" s="166" t="s">
        <v>329</v>
      </c>
      <c r="C23" s="113">
        <v>20</v>
      </c>
      <c r="D23" s="114">
        <f aca="true" t="shared" si="2" ref="D23:E27">G23+J23+M23+P23</f>
        <v>20</v>
      </c>
      <c r="E23" s="114">
        <f t="shared" si="2"/>
        <v>27</v>
      </c>
      <c r="F23" s="141">
        <f t="shared" si="0"/>
        <v>135</v>
      </c>
      <c r="G23" s="116">
        <v>20</v>
      </c>
      <c r="H23" s="117">
        <v>27</v>
      </c>
      <c r="I23" s="138">
        <f t="shared" si="1"/>
        <v>135</v>
      </c>
      <c r="J23" s="142"/>
      <c r="K23" s="143"/>
      <c r="L23" s="119"/>
      <c r="M23" s="142"/>
      <c r="N23" s="143"/>
      <c r="O23" s="144"/>
      <c r="P23" s="142"/>
      <c r="Q23" s="143"/>
      <c r="R23" s="144"/>
    </row>
    <row r="24" spans="1:18" ht="18" customHeight="1" thickBot="1" thickTop="1">
      <c r="A24" s="167" t="s">
        <v>334</v>
      </c>
      <c r="B24" s="168" t="s">
        <v>335</v>
      </c>
      <c r="C24" s="169"/>
      <c r="D24" s="94">
        <f>G24+J24+M24+P24</f>
        <v>31151</v>
      </c>
      <c r="E24" s="170">
        <f t="shared" si="2"/>
        <v>35303</v>
      </c>
      <c r="F24" s="95">
        <f t="shared" si="0"/>
        <v>113.32862508426696</v>
      </c>
      <c r="G24" s="171">
        <f>G25</f>
        <v>31151</v>
      </c>
      <c r="H24" s="172">
        <f>H25</f>
        <v>35303</v>
      </c>
      <c r="I24" s="173">
        <f t="shared" si="1"/>
        <v>113.32862508426696</v>
      </c>
      <c r="J24" s="171"/>
      <c r="K24" s="172"/>
      <c r="L24" s="174"/>
      <c r="M24" s="171"/>
      <c r="N24" s="172"/>
      <c r="O24" s="175"/>
      <c r="P24" s="171"/>
      <c r="Q24" s="172"/>
      <c r="R24" s="175"/>
    </row>
    <row r="25" spans="1:18" ht="16.5" customHeight="1" thickTop="1">
      <c r="A25" s="176" t="s">
        <v>336</v>
      </c>
      <c r="B25" s="177" t="s">
        <v>311</v>
      </c>
      <c r="C25" s="178"/>
      <c r="D25" s="179">
        <f>SUM(D26:D27)</f>
        <v>31151</v>
      </c>
      <c r="E25" s="179">
        <f>SUM(E26:E27)</f>
        <v>35303</v>
      </c>
      <c r="F25" s="180">
        <f t="shared" si="0"/>
        <v>113.32862508426696</v>
      </c>
      <c r="G25" s="181">
        <f>G26+G27</f>
        <v>31151</v>
      </c>
      <c r="H25" s="182">
        <f>H26+H27</f>
        <v>35303</v>
      </c>
      <c r="I25" s="108">
        <f t="shared" si="1"/>
        <v>113.32862508426696</v>
      </c>
      <c r="J25" s="181"/>
      <c r="K25" s="182"/>
      <c r="L25" s="183"/>
      <c r="M25" s="181"/>
      <c r="N25" s="182"/>
      <c r="O25" s="184"/>
      <c r="P25" s="181"/>
      <c r="Q25" s="182"/>
      <c r="R25" s="184"/>
    </row>
    <row r="26" spans="1:18" s="122" customFormat="1" ht="58.5" customHeight="1">
      <c r="A26" s="131" t="s">
        <v>337</v>
      </c>
      <c r="B26" s="132" t="s">
        <v>338</v>
      </c>
      <c r="C26" s="133"/>
      <c r="D26" s="114">
        <f>G26+J26</f>
        <v>31151</v>
      </c>
      <c r="E26" s="134">
        <f t="shared" si="2"/>
        <v>31150</v>
      </c>
      <c r="F26" s="135">
        <f>E26/D26*100</f>
        <v>99.99678983018202</v>
      </c>
      <c r="G26" s="136">
        <v>31151</v>
      </c>
      <c r="H26" s="137">
        <v>31150</v>
      </c>
      <c r="I26" s="138">
        <f>H26/G26*100</f>
        <v>99.99678983018202</v>
      </c>
      <c r="J26" s="185"/>
      <c r="K26" s="186"/>
      <c r="L26" s="139"/>
      <c r="M26" s="185"/>
      <c r="N26" s="186"/>
      <c r="O26" s="187"/>
      <c r="P26" s="185"/>
      <c r="Q26" s="186"/>
      <c r="R26" s="187"/>
    </row>
    <row r="27" spans="1:18" s="122" customFormat="1" ht="55.5" customHeight="1" thickBot="1">
      <c r="A27" s="112" t="s">
        <v>339</v>
      </c>
      <c r="B27" s="188" t="s">
        <v>338</v>
      </c>
      <c r="C27" s="113"/>
      <c r="D27" s="114">
        <f>G27+J27</f>
        <v>0</v>
      </c>
      <c r="E27" s="189">
        <f t="shared" si="2"/>
        <v>4153</v>
      </c>
      <c r="F27" s="115"/>
      <c r="G27" s="116"/>
      <c r="H27" s="117">
        <v>4153</v>
      </c>
      <c r="I27" s="118"/>
      <c r="J27" s="142"/>
      <c r="K27" s="143"/>
      <c r="L27" s="119"/>
      <c r="M27" s="142"/>
      <c r="N27" s="143"/>
      <c r="O27" s="144"/>
      <c r="P27" s="142"/>
      <c r="Q27" s="143"/>
      <c r="R27" s="144"/>
    </row>
    <row r="28" spans="1:18" ht="26.25" customHeight="1" thickBot="1" thickTop="1">
      <c r="A28" s="91" t="s">
        <v>340</v>
      </c>
      <c r="B28" s="190" t="s">
        <v>341</v>
      </c>
      <c r="C28" s="93">
        <f>C29</f>
        <v>21834000</v>
      </c>
      <c r="D28" s="94">
        <f>G28+J28+M28+P28</f>
        <v>22784000</v>
      </c>
      <c r="E28" s="96">
        <f>E29+E39</f>
        <v>14726965</v>
      </c>
      <c r="F28" s="95">
        <f t="shared" si="0"/>
        <v>64.6373112710674</v>
      </c>
      <c r="G28" s="98">
        <f>G29+G39</f>
        <v>21946000</v>
      </c>
      <c r="H28" s="96">
        <f>H29+H39</f>
        <v>13878049</v>
      </c>
      <c r="I28" s="97">
        <f t="shared" si="1"/>
        <v>63.23725963729153</v>
      </c>
      <c r="J28" s="98"/>
      <c r="K28" s="96"/>
      <c r="L28" s="99"/>
      <c r="M28" s="98">
        <f>M29</f>
        <v>800000</v>
      </c>
      <c r="N28" s="96">
        <f>N29</f>
        <v>810916</v>
      </c>
      <c r="O28" s="97">
        <f>N28/M28*100</f>
        <v>101.36449999999999</v>
      </c>
      <c r="P28" s="98">
        <f>P29</f>
        <v>38000</v>
      </c>
      <c r="Q28" s="96">
        <f>Q29</f>
        <v>38000</v>
      </c>
      <c r="R28" s="97">
        <f>Q28/P28*100</f>
        <v>100</v>
      </c>
    </row>
    <row r="29" spans="1:18" ht="25.5" customHeight="1" thickTop="1">
      <c r="A29" s="101" t="s">
        <v>342</v>
      </c>
      <c r="B29" s="102" t="s">
        <v>343</v>
      </c>
      <c r="C29" s="103">
        <f>SUM(C30:C38)</f>
        <v>21834000</v>
      </c>
      <c r="D29" s="157">
        <f>SUM(D30:D38)</f>
        <v>22784000</v>
      </c>
      <c r="E29" s="157">
        <f>SUM(E30:E38)</f>
        <v>14726945</v>
      </c>
      <c r="F29" s="180">
        <f t="shared" si="0"/>
        <v>64.63722349016854</v>
      </c>
      <c r="G29" s="191">
        <f>SUM(G30:G38)</f>
        <v>21946000</v>
      </c>
      <c r="H29" s="192">
        <f>SUM(H30:H38)</f>
        <v>13878029</v>
      </c>
      <c r="I29" s="108">
        <f t="shared" si="1"/>
        <v>63.237168504511075</v>
      </c>
      <c r="J29" s="106"/>
      <c r="K29" s="107"/>
      <c r="L29" s="193"/>
      <c r="M29" s="106">
        <f>SUM(M30:M38)</f>
        <v>800000</v>
      </c>
      <c r="N29" s="107">
        <f>SUM(N30:N38)</f>
        <v>810916</v>
      </c>
      <c r="O29" s="108">
        <f>N29/M29*100</f>
        <v>101.36449999999999</v>
      </c>
      <c r="P29" s="194">
        <f>P37</f>
        <v>38000</v>
      </c>
      <c r="Q29" s="157">
        <f>Q37</f>
        <v>38000</v>
      </c>
      <c r="R29" s="108">
        <f>Q29/P29*100</f>
        <v>100</v>
      </c>
    </row>
    <row r="30" spans="1:18" ht="35.25" customHeight="1">
      <c r="A30" s="131" t="s">
        <v>344</v>
      </c>
      <c r="B30" s="132" t="s">
        <v>345</v>
      </c>
      <c r="C30" s="133">
        <v>4686000</v>
      </c>
      <c r="D30" s="134">
        <f>G30+J30+M30+P30</f>
        <v>5636000</v>
      </c>
      <c r="E30" s="134">
        <f>H30+K30+N30+Q30</f>
        <v>5740012</v>
      </c>
      <c r="F30" s="135">
        <f t="shared" si="0"/>
        <v>101.84549325762953</v>
      </c>
      <c r="G30" s="136">
        <f>950000+4686000</f>
        <v>5636000</v>
      </c>
      <c r="H30" s="137">
        <v>5740012</v>
      </c>
      <c r="I30" s="138">
        <f t="shared" si="1"/>
        <v>101.84549325762953</v>
      </c>
      <c r="J30" s="136"/>
      <c r="K30" s="137"/>
      <c r="L30" s="139"/>
      <c r="M30" s="136"/>
      <c r="N30" s="137"/>
      <c r="O30" s="138"/>
      <c r="P30" s="136"/>
      <c r="Q30" s="137"/>
      <c r="R30" s="138"/>
    </row>
    <row r="31" spans="1:18" s="122" customFormat="1" ht="34.5" customHeight="1">
      <c r="A31" s="112" t="s">
        <v>318</v>
      </c>
      <c r="B31" s="79" t="s">
        <v>328</v>
      </c>
      <c r="C31" s="113"/>
      <c r="D31" s="114">
        <f>G31+J31+M31+P31</f>
        <v>0</v>
      </c>
      <c r="E31" s="114">
        <f>H31+K31+N31+Q31</f>
        <v>2967</v>
      </c>
      <c r="F31" s="141"/>
      <c r="G31" s="116">
        <v>0</v>
      </c>
      <c r="H31" s="117">
        <v>2967</v>
      </c>
      <c r="I31" s="118"/>
      <c r="J31" s="116"/>
      <c r="K31" s="117"/>
      <c r="L31" s="119"/>
      <c r="M31" s="116"/>
      <c r="N31" s="117"/>
      <c r="O31" s="118"/>
      <c r="P31" s="116"/>
      <c r="Q31" s="117"/>
      <c r="R31" s="118"/>
    </row>
    <row r="32" spans="1:18" ht="44.25" customHeight="1">
      <c r="A32" s="112" t="s">
        <v>346</v>
      </c>
      <c r="B32" s="166" t="s">
        <v>347</v>
      </c>
      <c r="C32" s="113">
        <v>640000</v>
      </c>
      <c r="D32" s="114">
        <f>G32+J32</f>
        <v>640000</v>
      </c>
      <c r="E32" s="114">
        <f aca="true" t="shared" si="3" ref="E32:E40">H32+K32+N32+Q32</f>
        <v>1447537</v>
      </c>
      <c r="F32" s="141">
        <f t="shared" si="0"/>
        <v>226.17765625</v>
      </c>
      <c r="G32" s="116">
        <f>640000-400000+400000</f>
        <v>640000</v>
      </c>
      <c r="H32" s="117">
        <v>1447537</v>
      </c>
      <c r="I32" s="118">
        <f>H32/G32*100</f>
        <v>226.17765625</v>
      </c>
      <c r="J32" s="116"/>
      <c r="K32" s="117"/>
      <c r="L32" s="119"/>
      <c r="M32" s="116"/>
      <c r="N32" s="117"/>
      <c r="O32" s="118"/>
      <c r="P32" s="116"/>
      <c r="Q32" s="117"/>
      <c r="R32" s="118"/>
    </row>
    <row r="33" spans="1:18" ht="57" customHeight="1">
      <c r="A33" s="145" t="s">
        <v>348</v>
      </c>
      <c r="B33" s="146" t="s">
        <v>349</v>
      </c>
      <c r="C33" s="147">
        <v>750000</v>
      </c>
      <c r="D33" s="148">
        <f>G33+J33+M33+P33</f>
        <v>750000</v>
      </c>
      <c r="E33" s="148">
        <f t="shared" si="3"/>
        <v>593507</v>
      </c>
      <c r="F33" s="149">
        <f t="shared" si="0"/>
        <v>79.13426666666666</v>
      </c>
      <c r="G33" s="150">
        <v>750000</v>
      </c>
      <c r="H33" s="151">
        <v>593507</v>
      </c>
      <c r="I33" s="152">
        <f>H33/G33*100</f>
        <v>79.13426666666666</v>
      </c>
      <c r="J33" s="150"/>
      <c r="K33" s="151"/>
      <c r="L33" s="155"/>
      <c r="M33" s="150"/>
      <c r="N33" s="151"/>
      <c r="O33" s="152"/>
      <c r="P33" s="150"/>
      <c r="Q33" s="151"/>
      <c r="R33" s="152"/>
    </row>
    <row r="34" spans="1:18" s="122" customFormat="1" ht="47.25" customHeight="1">
      <c r="A34" s="131" t="s">
        <v>350</v>
      </c>
      <c r="B34" s="132" t="s">
        <v>351</v>
      </c>
      <c r="C34" s="133">
        <v>1100000</v>
      </c>
      <c r="D34" s="134">
        <f>G34+J34</f>
        <v>1100000</v>
      </c>
      <c r="E34" s="134">
        <f t="shared" si="3"/>
        <v>675394</v>
      </c>
      <c r="F34" s="135">
        <f t="shared" si="0"/>
        <v>61.399454545454546</v>
      </c>
      <c r="G34" s="136">
        <v>1100000</v>
      </c>
      <c r="H34" s="137">
        <v>675394</v>
      </c>
      <c r="I34" s="138">
        <f>H34/G34*100</f>
        <v>61.399454545454546</v>
      </c>
      <c r="J34" s="136"/>
      <c r="K34" s="137"/>
      <c r="L34" s="139"/>
      <c r="M34" s="136"/>
      <c r="N34" s="137"/>
      <c r="O34" s="138"/>
      <c r="P34" s="136"/>
      <c r="Q34" s="137"/>
      <c r="R34" s="138"/>
    </row>
    <row r="35" spans="1:18" s="122" customFormat="1" ht="48.75" customHeight="1">
      <c r="A35" s="112" t="s">
        <v>352</v>
      </c>
      <c r="B35" s="79" t="s">
        <v>353</v>
      </c>
      <c r="C35" s="113">
        <v>13700000</v>
      </c>
      <c r="D35" s="114">
        <f>G35+J35+M35+P35</f>
        <v>13700000</v>
      </c>
      <c r="E35" s="114">
        <f t="shared" si="3"/>
        <v>5342938</v>
      </c>
      <c r="F35" s="141">
        <f t="shared" si="0"/>
        <v>38.99954744525547</v>
      </c>
      <c r="G35" s="116">
        <v>13700000</v>
      </c>
      <c r="H35" s="117">
        <v>5342938</v>
      </c>
      <c r="I35" s="118">
        <f>H35/G35*100</f>
        <v>38.99954744525547</v>
      </c>
      <c r="J35" s="116"/>
      <c r="K35" s="117"/>
      <c r="L35" s="119"/>
      <c r="M35" s="116"/>
      <c r="N35" s="117"/>
      <c r="O35" s="118"/>
      <c r="P35" s="116"/>
      <c r="Q35" s="117"/>
      <c r="R35" s="118"/>
    </row>
    <row r="36" spans="1:18" ht="35.25" customHeight="1">
      <c r="A36" s="112" t="s">
        <v>322</v>
      </c>
      <c r="B36" s="79" t="s">
        <v>354</v>
      </c>
      <c r="C36" s="113">
        <v>120000</v>
      </c>
      <c r="D36" s="114">
        <f>G36+J36</f>
        <v>120000</v>
      </c>
      <c r="E36" s="114">
        <f t="shared" si="3"/>
        <v>75674</v>
      </c>
      <c r="F36" s="141">
        <f t="shared" si="0"/>
        <v>63.061666666666675</v>
      </c>
      <c r="G36" s="116">
        <v>120000</v>
      </c>
      <c r="H36" s="117">
        <v>75674</v>
      </c>
      <c r="I36" s="118">
        <f>H36/G36*100</f>
        <v>63.061666666666675</v>
      </c>
      <c r="J36" s="116"/>
      <c r="K36" s="117"/>
      <c r="L36" s="119"/>
      <c r="M36" s="116"/>
      <c r="N36" s="117"/>
      <c r="O36" s="118"/>
      <c r="P36" s="116"/>
      <c r="Q36" s="117"/>
      <c r="R36" s="118"/>
    </row>
    <row r="37" spans="1:18" s="122" customFormat="1" ht="63.75" customHeight="1">
      <c r="A37" s="112" t="s">
        <v>355</v>
      </c>
      <c r="B37" s="195" t="s">
        <v>356</v>
      </c>
      <c r="C37" s="113">
        <v>38000</v>
      </c>
      <c r="D37" s="114">
        <f>G37+J37+M37+P37</f>
        <v>38000</v>
      </c>
      <c r="E37" s="114">
        <f t="shared" si="3"/>
        <v>38000</v>
      </c>
      <c r="F37" s="141">
        <f t="shared" si="0"/>
        <v>100</v>
      </c>
      <c r="G37" s="116"/>
      <c r="H37" s="117"/>
      <c r="I37" s="118"/>
      <c r="J37" s="116"/>
      <c r="K37" s="117"/>
      <c r="L37" s="119"/>
      <c r="M37" s="116"/>
      <c r="N37" s="117"/>
      <c r="O37" s="118"/>
      <c r="P37" s="116">
        <v>38000</v>
      </c>
      <c r="Q37" s="117">
        <v>38000</v>
      </c>
      <c r="R37" s="118">
        <f>Q37/P37*100</f>
        <v>100</v>
      </c>
    </row>
    <row r="38" spans="1:18" ht="57.75" customHeight="1">
      <c r="A38" s="112" t="s">
        <v>357</v>
      </c>
      <c r="B38" s="195" t="s">
        <v>358</v>
      </c>
      <c r="C38" s="113">
        <v>800000</v>
      </c>
      <c r="D38" s="114">
        <f>G38+J38+M38+P38</f>
        <v>800000</v>
      </c>
      <c r="E38" s="114">
        <f t="shared" si="3"/>
        <v>810916</v>
      </c>
      <c r="F38" s="141">
        <f t="shared" si="0"/>
        <v>101.36449999999999</v>
      </c>
      <c r="G38" s="116"/>
      <c r="H38" s="117"/>
      <c r="I38" s="118"/>
      <c r="J38" s="116"/>
      <c r="K38" s="117"/>
      <c r="L38" s="119"/>
      <c r="M38" s="116">
        <v>800000</v>
      </c>
      <c r="N38" s="117">
        <v>810916</v>
      </c>
      <c r="O38" s="118">
        <f>N38/M38*100</f>
        <v>101.36449999999999</v>
      </c>
      <c r="P38" s="116"/>
      <c r="Q38" s="117"/>
      <c r="R38" s="118"/>
    </row>
    <row r="39" spans="1:18" s="164" customFormat="1" ht="15" customHeight="1">
      <c r="A39" s="123" t="s">
        <v>359</v>
      </c>
      <c r="B39" s="196" t="s">
        <v>311</v>
      </c>
      <c r="C39" s="125"/>
      <c r="D39" s="197">
        <f>G39+J39+M39+P39</f>
        <v>0</v>
      </c>
      <c r="E39" s="197">
        <f t="shared" si="3"/>
        <v>20</v>
      </c>
      <c r="F39" s="198"/>
      <c r="G39" s="127">
        <f>G40</f>
        <v>0</v>
      </c>
      <c r="H39" s="128">
        <f>H40</f>
        <v>20</v>
      </c>
      <c r="I39" s="129"/>
      <c r="J39" s="127"/>
      <c r="K39" s="128"/>
      <c r="L39" s="109"/>
      <c r="M39" s="127"/>
      <c r="N39" s="128"/>
      <c r="O39" s="129"/>
      <c r="P39" s="127"/>
      <c r="Q39" s="128"/>
      <c r="R39" s="129"/>
    </row>
    <row r="40" spans="1:18" ht="32.25" customHeight="1" thickBot="1">
      <c r="A40" s="131" t="s">
        <v>318</v>
      </c>
      <c r="B40" s="79" t="s">
        <v>328</v>
      </c>
      <c r="C40" s="133"/>
      <c r="D40" s="134">
        <f>G40+J40+M40+P40</f>
        <v>0</v>
      </c>
      <c r="E40" s="134">
        <f t="shared" si="3"/>
        <v>20</v>
      </c>
      <c r="F40" s="199"/>
      <c r="G40" s="136"/>
      <c r="H40" s="137">
        <v>20</v>
      </c>
      <c r="I40" s="138"/>
      <c r="J40" s="136"/>
      <c r="K40" s="137"/>
      <c r="L40" s="139"/>
      <c r="M40" s="136"/>
      <c r="N40" s="137"/>
      <c r="O40" s="138"/>
      <c r="P40" s="136"/>
      <c r="Q40" s="137"/>
      <c r="R40" s="138"/>
    </row>
    <row r="41" spans="1:18" ht="25.5" customHeight="1" thickBot="1" thickTop="1">
      <c r="A41" s="91" t="s">
        <v>360</v>
      </c>
      <c r="B41" s="190" t="s">
        <v>361</v>
      </c>
      <c r="C41" s="200">
        <f>SUM(C42+C45+C48+C52)</f>
        <v>1684600</v>
      </c>
      <c r="D41" s="94">
        <f>G41+J41+M41+P41</f>
        <v>1764710</v>
      </c>
      <c r="E41" s="94">
        <f>H41+K41+N41+Q41</f>
        <v>1163368</v>
      </c>
      <c r="F41" s="95">
        <f t="shared" si="0"/>
        <v>65.92403284392336</v>
      </c>
      <c r="G41" s="94">
        <f>G42+G48+G45+G52+G56</f>
        <v>1249600</v>
      </c>
      <c r="H41" s="94">
        <f>H42+H48+H45+H52+H56</f>
        <v>722144</v>
      </c>
      <c r="I41" s="97">
        <f>H41/G41*100</f>
        <v>57.790012804097316</v>
      </c>
      <c r="J41" s="98"/>
      <c r="K41" s="96"/>
      <c r="L41" s="99"/>
      <c r="M41" s="201">
        <f>M42+M45+M48</f>
        <v>0</v>
      </c>
      <c r="N41" s="94">
        <f>N42+N45+N48</f>
        <v>1</v>
      </c>
      <c r="O41" s="97"/>
      <c r="P41" s="201">
        <f>P42+P45+P48</f>
        <v>515110</v>
      </c>
      <c r="Q41" s="94">
        <f>Q42+Q45+Q48</f>
        <v>441223</v>
      </c>
      <c r="R41" s="97">
        <f aca="true" t="shared" si="4" ref="R41:R50">Q41/P41*100</f>
        <v>85.65607346003766</v>
      </c>
    </row>
    <row r="42" spans="1:18" ht="27" customHeight="1" thickTop="1">
      <c r="A42" s="101" t="s">
        <v>362</v>
      </c>
      <c r="B42" s="102" t="s">
        <v>363</v>
      </c>
      <c r="C42" s="202">
        <f>SUM(C43:C44)</f>
        <v>75000</v>
      </c>
      <c r="D42" s="203">
        <f>SUM(D43:D44)</f>
        <v>75000</v>
      </c>
      <c r="E42" s="157">
        <f>SUM(E43:E44)</f>
        <v>61359</v>
      </c>
      <c r="F42" s="204">
        <f t="shared" si="0"/>
        <v>81.812</v>
      </c>
      <c r="G42" s="106">
        <f>SUM(G43:G44)</f>
        <v>0</v>
      </c>
      <c r="H42" s="107">
        <f>SUM(H43:H44)</f>
        <v>251</v>
      </c>
      <c r="I42" s="118" t="e">
        <f>H42/G42*100</f>
        <v>#DIV/0!</v>
      </c>
      <c r="J42" s="106"/>
      <c r="K42" s="107"/>
      <c r="L42" s="193"/>
      <c r="M42" s="106"/>
      <c r="N42" s="107"/>
      <c r="O42" s="108"/>
      <c r="P42" s="202">
        <f>SUM(P43:P44)</f>
        <v>75000</v>
      </c>
      <c r="Q42" s="205">
        <f>SUM(Q43:Q44)</f>
        <v>61108</v>
      </c>
      <c r="R42" s="108">
        <f t="shared" si="4"/>
        <v>81.47733333333333</v>
      </c>
    </row>
    <row r="43" spans="1:18" s="122" customFormat="1" ht="67.5" customHeight="1">
      <c r="A43" s="206" t="s">
        <v>355</v>
      </c>
      <c r="B43" s="207" t="s">
        <v>356</v>
      </c>
      <c r="C43" s="208">
        <v>75000</v>
      </c>
      <c r="D43" s="209">
        <f>G43+J43+M43+P43</f>
        <v>75000</v>
      </c>
      <c r="E43" s="209">
        <f>H43+K43+N43+Q43</f>
        <v>61108</v>
      </c>
      <c r="F43" s="210">
        <f>E43/D43*100</f>
        <v>81.47733333333333</v>
      </c>
      <c r="G43" s="211"/>
      <c r="H43" s="212"/>
      <c r="I43" s="213"/>
      <c r="J43" s="211"/>
      <c r="K43" s="212"/>
      <c r="L43" s="214"/>
      <c r="M43" s="211"/>
      <c r="N43" s="212"/>
      <c r="O43" s="213"/>
      <c r="P43" s="211">
        <v>75000</v>
      </c>
      <c r="Q43" s="212">
        <v>61108</v>
      </c>
      <c r="R43" s="213">
        <f>Q43/P43*100</f>
        <v>81.47733333333333</v>
      </c>
    </row>
    <row r="44" spans="1:18" s="122" customFormat="1" ht="39" customHeight="1">
      <c r="A44" s="145" t="s">
        <v>318</v>
      </c>
      <c r="B44" s="146" t="s">
        <v>328</v>
      </c>
      <c r="C44" s="147"/>
      <c r="D44" s="148">
        <f>G44+J44+M44+P44</f>
        <v>0</v>
      </c>
      <c r="E44" s="148">
        <f>H44+K44+N44+Q44</f>
        <v>251</v>
      </c>
      <c r="F44" s="149"/>
      <c r="G44" s="150">
        <v>0</v>
      </c>
      <c r="H44" s="151">
        <v>251</v>
      </c>
      <c r="I44" s="152"/>
      <c r="J44" s="150"/>
      <c r="K44" s="151"/>
      <c r="L44" s="155"/>
      <c r="M44" s="150"/>
      <c r="N44" s="151"/>
      <c r="O44" s="152"/>
      <c r="P44" s="150"/>
      <c r="Q44" s="151"/>
      <c r="R44" s="152"/>
    </row>
    <row r="45" spans="1:18" ht="29.25" customHeight="1">
      <c r="A45" s="123" t="s">
        <v>364</v>
      </c>
      <c r="B45" s="124" t="s">
        <v>365</v>
      </c>
      <c r="C45" s="125">
        <f>SUM(C46)</f>
        <v>20000</v>
      </c>
      <c r="D45" s="104">
        <f>D46</f>
        <v>20000</v>
      </c>
      <c r="E45" s="104">
        <f>E46</f>
        <v>16296</v>
      </c>
      <c r="F45" s="126">
        <f>E45/D45*100</f>
        <v>81.47999999999999</v>
      </c>
      <c r="G45" s="127">
        <f>SUM(G46:G47)</f>
        <v>0</v>
      </c>
      <c r="H45" s="128">
        <f>SUM(H46:H47)</f>
        <v>66</v>
      </c>
      <c r="I45" s="213"/>
      <c r="J45" s="127"/>
      <c r="K45" s="128"/>
      <c r="L45" s="109"/>
      <c r="M45" s="127"/>
      <c r="N45" s="128"/>
      <c r="O45" s="129"/>
      <c r="P45" s="127">
        <f>P46</f>
        <v>20000</v>
      </c>
      <c r="Q45" s="128">
        <f>Q46</f>
        <v>16296</v>
      </c>
      <c r="R45" s="129">
        <f t="shared" si="4"/>
        <v>81.47999999999999</v>
      </c>
    </row>
    <row r="46" spans="1:18" ht="64.5" customHeight="1">
      <c r="A46" s="131" t="s">
        <v>355</v>
      </c>
      <c r="B46" s="215" t="s">
        <v>356</v>
      </c>
      <c r="C46" s="133">
        <v>20000</v>
      </c>
      <c r="D46" s="134">
        <f>G46+J46+M46+P46</f>
        <v>20000</v>
      </c>
      <c r="E46" s="134">
        <f>H46+K46+N46+Q46</f>
        <v>16296</v>
      </c>
      <c r="F46" s="199">
        <f t="shared" si="0"/>
        <v>81.47999999999999</v>
      </c>
      <c r="G46" s="136"/>
      <c r="H46" s="137"/>
      <c r="I46" s="138"/>
      <c r="J46" s="185"/>
      <c r="K46" s="186"/>
      <c r="L46" s="139"/>
      <c r="M46" s="185"/>
      <c r="N46" s="186"/>
      <c r="O46" s="138"/>
      <c r="P46" s="185">
        <v>20000</v>
      </c>
      <c r="Q46" s="186">
        <v>16296</v>
      </c>
      <c r="R46" s="138">
        <f t="shared" si="4"/>
        <v>81.47999999999999</v>
      </c>
    </row>
    <row r="47" spans="1:18" s="122" customFormat="1" ht="44.25" customHeight="1">
      <c r="A47" s="145" t="s">
        <v>318</v>
      </c>
      <c r="B47" s="146" t="s">
        <v>328</v>
      </c>
      <c r="C47" s="147"/>
      <c r="D47" s="148">
        <f>G47+J47+M47+P47</f>
        <v>0</v>
      </c>
      <c r="E47" s="148">
        <f>H47+K47+N47+Q47</f>
        <v>66</v>
      </c>
      <c r="F47" s="149"/>
      <c r="G47" s="150">
        <v>0</v>
      </c>
      <c r="H47" s="151">
        <v>66</v>
      </c>
      <c r="I47" s="152"/>
      <c r="J47" s="150"/>
      <c r="K47" s="151"/>
      <c r="L47" s="155"/>
      <c r="M47" s="150"/>
      <c r="N47" s="151"/>
      <c r="O47" s="152"/>
      <c r="P47" s="150"/>
      <c r="Q47" s="151"/>
      <c r="R47" s="152"/>
    </row>
    <row r="48" spans="1:18" ht="17.25" customHeight="1">
      <c r="A48" s="123" t="s">
        <v>366</v>
      </c>
      <c r="B48" s="124" t="s">
        <v>367</v>
      </c>
      <c r="C48" s="110">
        <f>SUM(C50:C51)</f>
        <v>340000</v>
      </c>
      <c r="D48" s="104">
        <f>SUM(D50:D51)</f>
        <v>420110</v>
      </c>
      <c r="E48" s="104">
        <f>E50+E49</f>
        <v>323820</v>
      </c>
      <c r="F48" s="126">
        <f t="shared" si="0"/>
        <v>77.07981243007784</v>
      </c>
      <c r="G48" s="127"/>
      <c r="H48" s="128"/>
      <c r="I48" s="213"/>
      <c r="J48" s="127"/>
      <c r="K48" s="128"/>
      <c r="L48" s="214"/>
      <c r="M48" s="127"/>
      <c r="N48" s="128">
        <f>SUM(N49:N50)</f>
        <v>1</v>
      </c>
      <c r="O48" s="213"/>
      <c r="P48" s="110">
        <f>SUM(P50:P51)</f>
        <v>420110</v>
      </c>
      <c r="Q48" s="104">
        <f>SUM(Q50:Q51)</f>
        <v>363819</v>
      </c>
      <c r="R48" s="129">
        <f t="shared" si="4"/>
        <v>86.60089024303159</v>
      </c>
    </row>
    <row r="49" spans="1:18" s="122" customFormat="1" ht="15" customHeight="1">
      <c r="A49" s="112" t="s">
        <v>368</v>
      </c>
      <c r="B49" s="166" t="s">
        <v>369</v>
      </c>
      <c r="C49" s="113"/>
      <c r="D49" s="114">
        <f aca="true" t="shared" si="5" ref="D49:E51">G49+J49+M49+P49</f>
        <v>0</v>
      </c>
      <c r="E49" s="114">
        <f t="shared" si="5"/>
        <v>1</v>
      </c>
      <c r="F49" s="141"/>
      <c r="G49" s="116"/>
      <c r="H49" s="117"/>
      <c r="I49" s="118"/>
      <c r="J49" s="116"/>
      <c r="K49" s="117"/>
      <c r="L49" s="119"/>
      <c r="M49" s="116"/>
      <c r="N49" s="117">
        <v>1</v>
      </c>
      <c r="O49" s="118"/>
      <c r="P49" s="116"/>
      <c r="Q49" s="117"/>
      <c r="R49" s="118"/>
    </row>
    <row r="50" spans="1:18" ht="67.5" customHeight="1">
      <c r="A50" s="112" t="s">
        <v>355</v>
      </c>
      <c r="B50" s="195" t="s">
        <v>356</v>
      </c>
      <c r="C50" s="113">
        <v>300000</v>
      </c>
      <c r="D50" s="114">
        <f t="shared" si="5"/>
        <v>380110</v>
      </c>
      <c r="E50" s="114">
        <f t="shared" si="5"/>
        <v>323819</v>
      </c>
      <c r="F50" s="115">
        <f t="shared" si="0"/>
        <v>85.19086580200468</v>
      </c>
      <c r="G50" s="116"/>
      <c r="H50" s="117"/>
      <c r="I50" s="118"/>
      <c r="J50" s="142"/>
      <c r="K50" s="143"/>
      <c r="L50" s="119"/>
      <c r="M50" s="142"/>
      <c r="N50" s="143"/>
      <c r="O50" s="118"/>
      <c r="P50" s="142">
        <f>300000+11000+8339+16278+6861+11433+26199</f>
        <v>380110</v>
      </c>
      <c r="Q50" s="143">
        <v>323819</v>
      </c>
      <c r="R50" s="118">
        <f t="shared" si="4"/>
        <v>85.19086580200468</v>
      </c>
    </row>
    <row r="51" spans="1:18" ht="67.5" customHeight="1">
      <c r="A51" s="145" t="s">
        <v>370</v>
      </c>
      <c r="B51" s="146" t="s">
        <v>371</v>
      </c>
      <c r="C51" s="147">
        <v>40000</v>
      </c>
      <c r="D51" s="148">
        <f t="shared" si="5"/>
        <v>40000</v>
      </c>
      <c r="E51" s="148">
        <f t="shared" si="5"/>
        <v>40000</v>
      </c>
      <c r="F51" s="216">
        <f t="shared" si="0"/>
        <v>100</v>
      </c>
      <c r="G51" s="150"/>
      <c r="H51" s="151"/>
      <c r="I51" s="152"/>
      <c r="J51" s="150"/>
      <c r="K51" s="151"/>
      <c r="L51" s="217"/>
      <c r="M51" s="150"/>
      <c r="N51" s="151"/>
      <c r="O51" s="152"/>
      <c r="P51" s="150">
        <v>40000</v>
      </c>
      <c r="Q51" s="151">
        <v>40000</v>
      </c>
      <c r="R51" s="152">
        <f>Q51/P51*100</f>
        <v>100</v>
      </c>
    </row>
    <row r="52" spans="1:18" ht="15.75" customHeight="1">
      <c r="A52" s="123" t="s">
        <v>372</v>
      </c>
      <c r="B52" s="196" t="s">
        <v>373</v>
      </c>
      <c r="C52" s="125">
        <f>SUM(C54:C55)</f>
        <v>1249600</v>
      </c>
      <c r="D52" s="104">
        <f>SUM(D54:D55)</f>
        <v>16600</v>
      </c>
      <c r="E52" s="104">
        <f>SUM(E53:E55)</f>
        <v>24485</v>
      </c>
      <c r="F52" s="126">
        <f t="shared" si="0"/>
        <v>147.5</v>
      </c>
      <c r="G52" s="127">
        <f>SUM(G54:G55)</f>
        <v>16600</v>
      </c>
      <c r="H52" s="128">
        <f>SUM(H53:H55)</f>
        <v>24485</v>
      </c>
      <c r="I52" s="129">
        <f>H52/G52*100</f>
        <v>147.5</v>
      </c>
      <c r="J52" s="127"/>
      <c r="K52" s="128"/>
      <c r="L52" s="109"/>
      <c r="M52" s="127"/>
      <c r="N52" s="128"/>
      <c r="O52" s="129"/>
      <c r="P52" s="127"/>
      <c r="Q52" s="128"/>
      <c r="R52" s="129"/>
    </row>
    <row r="53" spans="1:18" ht="37.5" customHeight="1">
      <c r="A53" s="206" t="s">
        <v>318</v>
      </c>
      <c r="B53" s="165" t="s">
        <v>328</v>
      </c>
      <c r="C53" s="125"/>
      <c r="D53" s="104"/>
      <c r="E53" s="218">
        <f>H53</f>
        <v>12038</v>
      </c>
      <c r="F53" s="126"/>
      <c r="G53" s="127"/>
      <c r="H53" s="219">
        <v>12038</v>
      </c>
      <c r="I53" s="129"/>
      <c r="J53" s="127"/>
      <c r="K53" s="128"/>
      <c r="L53" s="109"/>
      <c r="M53" s="127"/>
      <c r="N53" s="128"/>
      <c r="O53" s="129"/>
      <c r="P53" s="127"/>
      <c r="Q53" s="128"/>
      <c r="R53" s="129"/>
    </row>
    <row r="54" spans="1:18" s="122" customFormat="1" ht="59.25" customHeight="1">
      <c r="A54" s="112" t="s">
        <v>348</v>
      </c>
      <c r="B54" s="79" t="s">
        <v>349</v>
      </c>
      <c r="C54" s="113">
        <v>1233000</v>
      </c>
      <c r="D54" s="114"/>
      <c r="E54" s="114"/>
      <c r="F54" s="115"/>
      <c r="G54" s="116"/>
      <c r="H54" s="117"/>
      <c r="I54" s="118"/>
      <c r="J54" s="116"/>
      <c r="K54" s="117"/>
      <c r="L54" s="119"/>
      <c r="M54" s="116"/>
      <c r="N54" s="117"/>
      <c r="O54" s="118"/>
      <c r="P54" s="116"/>
      <c r="Q54" s="117" t="s">
        <v>374</v>
      </c>
      <c r="R54" s="118"/>
    </row>
    <row r="55" spans="1:18" ht="57" customHeight="1">
      <c r="A55" s="112" t="s">
        <v>375</v>
      </c>
      <c r="B55" s="79" t="s">
        <v>376</v>
      </c>
      <c r="C55" s="113">
        <v>16600</v>
      </c>
      <c r="D55" s="114">
        <f aca="true" t="shared" si="6" ref="D55:E57">G55+J55+M55+P55</f>
        <v>16600</v>
      </c>
      <c r="E55" s="114">
        <f t="shared" si="6"/>
        <v>12447</v>
      </c>
      <c r="F55" s="115">
        <f t="shared" si="0"/>
        <v>74.98192771084338</v>
      </c>
      <c r="G55" s="116">
        <v>16600</v>
      </c>
      <c r="H55" s="117">
        <v>12447</v>
      </c>
      <c r="I55" s="118">
        <f>H55/G55*100</f>
        <v>74.98192771084338</v>
      </c>
      <c r="J55" s="116"/>
      <c r="K55" s="117"/>
      <c r="L55" s="119"/>
      <c r="M55" s="116"/>
      <c r="N55" s="117"/>
      <c r="O55" s="118"/>
      <c r="P55" s="116"/>
      <c r="Q55" s="117"/>
      <c r="R55" s="118"/>
    </row>
    <row r="56" spans="1:18" s="164" customFormat="1" ht="15" customHeight="1">
      <c r="A56" s="123" t="s">
        <v>377</v>
      </c>
      <c r="B56" s="124" t="s">
        <v>311</v>
      </c>
      <c r="C56" s="125"/>
      <c r="D56" s="197">
        <f t="shared" si="6"/>
        <v>1233000</v>
      </c>
      <c r="E56" s="197">
        <f t="shared" si="6"/>
        <v>697342</v>
      </c>
      <c r="F56" s="220">
        <f t="shared" si="0"/>
        <v>56.556528791565285</v>
      </c>
      <c r="G56" s="221">
        <f>G57</f>
        <v>1233000</v>
      </c>
      <c r="H56" s="222">
        <f>H57</f>
        <v>697342</v>
      </c>
      <c r="I56" s="223">
        <f>H56/G56*100</f>
        <v>56.556528791565285</v>
      </c>
      <c r="J56" s="127"/>
      <c r="K56" s="128"/>
      <c r="L56" s="224"/>
      <c r="M56" s="127"/>
      <c r="N56" s="128"/>
      <c r="O56" s="159"/>
      <c r="P56" s="127"/>
      <c r="Q56" s="128"/>
      <c r="R56" s="159"/>
    </row>
    <row r="57" spans="1:18" ht="13.5" customHeight="1" thickBot="1">
      <c r="A57" s="131" t="s">
        <v>378</v>
      </c>
      <c r="B57" s="225" t="s">
        <v>379</v>
      </c>
      <c r="C57" s="133"/>
      <c r="D57" s="134">
        <f t="shared" si="6"/>
        <v>1233000</v>
      </c>
      <c r="E57" s="134">
        <f t="shared" si="6"/>
        <v>697342</v>
      </c>
      <c r="F57" s="199">
        <f t="shared" si="0"/>
        <v>56.556528791565285</v>
      </c>
      <c r="G57" s="136">
        <v>1233000</v>
      </c>
      <c r="H57" s="137">
        <v>697342</v>
      </c>
      <c r="I57" s="138">
        <f>H57/G57*100</f>
        <v>56.556528791565285</v>
      </c>
      <c r="J57" s="136"/>
      <c r="K57" s="137"/>
      <c r="L57" s="139"/>
      <c r="M57" s="136"/>
      <c r="N57" s="137"/>
      <c r="O57" s="138"/>
      <c r="P57" s="136"/>
      <c r="Q57" s="137"/>
      <c r="R57" s="138"/>
    </row>
    <row r="58" spans="1:18" ht="32.25" customHeight="1" thickBot="1" thickTop="1">
      <c r="A58" s="91" t="s">
        <v>380</v>
      </c>
      <c r="B58" s="190" t="s">
        <v>381</v>
      </c>
      <c r="C58" s="201">
        <f>C59+C63+C66+C72+C75</f>
        <v>3646400</v>
      </c>
      <c r="D58" s="94">
        <f>G58+J58+M58+P58</f>
        <v>1410426</v>
      </c>
      <c r="E58" s="94">
        <f>E59+E63+E66+E72+E75</f>
        <v>1114336</v>
      </c>
      <c r="F58" s="226">
        <f t="shared" si="0"/>
        <v>79.0070517701744</v>
      </c>
      <c r="G58" s="201">
        <f>G59+G63+G66+G72+G75</f>
        <v>329500</v>
      </c>
      <c r="H58" s="94">
        <f>H59+H63+H66+H72+H75</f>
        <v>274511</v>
      </c>
      <c r="I58" s="97">
        <f>H58/G58*100</f>
        <v>83.3113808801214</v>
      </c>
      <c r="J58" s="201">
        <f>J59+J63+J66+J72+J75</f>
        <v>770400</v>
      </c>
      <c r="K58" s="94">
        <f>K59+K63+K66+K72+K75</f>
        <v>600388</v>
      </c>
      <c r="L58" s="227">
        <f>K58/J58*100</f>
        <v>77.93198338525441</v>
      </c>
      <c r="M58" s="201">
        <f>M59+M63+M72</f>
        <v>6365</v>
      </c>
      <c r="N58" s="94">
        <f>N59+N63+N72</f>
        <v>7106</v>
      </c>
      <c r="O58" s="97">
        <f>N58/M58*100</f>
        <v>111.64179104477611</v>
      </c>
      <c r="P58" s="201">
        <f>P59+P72</f>
        <v>304161</v>
      </c>
      <c r="Q58" s="94">
        <f>Q59+Q72</f>
        <v>232331</v>
      </c>
      <c r="R58" s="97">
        <f>Q58/P58*100</f>
        <v>76.38421756898485</v>
      </c>
    </row>
    <row r="59" spans="1:18" ht="20.25" customHeight="1" thickTop="1">
      <c r="A59" s="101" t="s">
        <v>382</v>
      </c>
      <c r="B59" s="102" t="s">
        <v>383</v>
      </c>
      <c r="C59" s="194">
        <f>SUM(C60:C62)</f>
        <v>998500</v>
      </c>
      <c r="D59" s="157">
        <f>SUM(D60:D62)</f>
        <v>1066165</v>
      </c>
      <c r="E59" s="157">
        <f>SUM(E60:E62)</f>
        <v>811406</v>
      </c>
      <c r="F59" s="204">
        <f t="shared" si="0"/>
        <v>76.10510568251631</v>
      </c>
      <c r="G59" s="106">
        <f>SUM(G60:G62)</f>
        <v>25500</v>
      </c>
      <c r="H59" s="107">
        <f>SUM(H60:H62)</f>
        <v>12583</v>
      </c>
      <c r="I59" s="108">
        <f>H59/G59*100</f>
        <v>49.345098039215685</v>
      </c>
      <c r="J59" s="106">
        <f>J60</f>
        <v>770400</v>
      </c>
      <c r="K59" s="107">
        <f>K60</f>
        <v>600388</v>
      </c>
      <c r="L59" s="228">
        <f>K59/J59*100</f>
        <v>77.93198338525441</v>
      </c>
      <c r="M59" s="106">
        <f>SUM(M60:M62)</f>
        <v>0</v>
      </c>
      <c r="N59" s="107">
        <f>SUM(N60:N62)</f>
        <v>0</v>
      </c>
      <c r="O59" s="108"/>
      <c r="P59" s="106">
        <f>P61</f>
        <v>270265</v>
      </c>
      <c r="Q59" s="107">
        <f>SUM(Q60:Q61)</f>
        <v>198435</v>
      </c>
      <c r="R59" s="108">
        <f>Q59/P59*100</f>
        <v>73.42238173644387</v>
      </c>
    </row>
    <row r="60" spans="1:18" ht="57" customHeight="1">
      <c r="A60" s="131" t="s">
        <v>312</v>
      </c>
      <c r="B60" s="132" t="s">
        <v>313</v>
      </c>
      <c r="C60" s="133">
        <v>738000</v>
      </c>
      <c r="D60" s="134">
        <f aca="true" t="shared" si="7" ref="D60:E62">G60+J60+M60+P60</f>
        <v>770400</v>
      </c>
      <c r="E60" s="134">
        <f t="shared" si="7"/>
        <v>600388</v>
      </c>
      <c r="F60" s="135">
        <f t="shared" si="0"/>
        <v>77.93198338525441</v>
      </c>
      <c r="G60" s="136"/>
      <c r="H60" s="137"/>
      <c r="I60" s="138"/>
      <c r="J60" s="136">
        <f>738000+32400</f>
        <v>770400</v>
      </c>
      <c r="K60" s="137">
        <v>600388</v>
      </c>
      <c r="L60" s="229">
        <f>K60/J60*100</f>
        <v>77.93198338525441</v>
      </c>
      <c r="M60" s="136"/>
      <c r="N60" s="137"/>
      <c r="O60" s="138"/>
      <c r="P60" s="136"/>
      <c r="Q60" s="137"/>
      <c r="R60" s="138"/>
    </row>
    <row r="61" spans="1:18" s="122" customFormat="1" ht="71.25" customHeight="1">
      <c r="A61" s="112" t="s">
        <v>355</v>
      </c>
      <c r="B61" s="195" t="s">
        <v>356</v>
      </c>
      <c r="C61" s="113">
        <v>235000</v>
      </c>
      <c r="D61" s="114">
        <f t="shared" si="7"/>
        <v>270265</v>
      </c>
      <c r="E61" s="114">
        <f t="shared" si="7"/>
        <v>198435</v>
      </c>
      <c r="F61" s="141">
        <f t="shared" si="0"/>
        <v>73.42238173644387</v>
      </c>
      <c r="G61" s="116"/>
      <c r="H61" s="117"/>
      <c r="I61" s="118"/>
      <c r="J61" s="116"/>
      <c r="K61" s="117"/>
      <c r="L61" s="230"/>
      <c r="M61" s="116"/>
      <c r="N61" s="117"/>
      <c r="O61" s="118"/>
      <c r="P61" s="116">
        <f>235000+35265</f>
        <v>270265</v>
      </c>
      <c r="Q61" s="117">
        <v>198435</v>
      </c>
      <c r="R61" s="118">
        <f>Q61/P61*100</f>
        <v>73.42238173644387</v>
      </c>
    </row>
    <row r="62" spans="1:18" ht="57" customHeight="1">
      <c r="A62" s="145" t="s">
        <v>357</v>
      </c>
      <c r="B62" s="231" t="s">
        <v>384</v>
      </c>
      <c r="C62" s="147">
        <v>25500</v>
      </c>
      <c r="D62" s="148">
        <f t="shared" si="7"/>
        <v>25500</v>
      </c>
      <c r="E62" s="148">
        <f t="shared" si="7"/>
        <v>12583</v>
      </c>
      <c r="F62" s="149">
        <f t="shared" si="0"/>
        <v>49.345098039215685</v>
      </c>
      <c r="G62" s="150">
        <v>25500</v>
      </c>
      <c r="H62" s="151">
        <v>12583</v>
      </c>
      <c r="I62" s="152">
        <f>H62/G62*100</f>
        <v>49.345098039215685</v>
      </c>
      <c r="J62" s="150"/>
      <c r="K62" s="151"/>
      <c r="L62" s="217"/>
      <c r="M62" s="150"/>
      <c r="N62" s="151"/>
      <c r="O62" s="152"/>
      <c r="P62" s="150"/>
      <c r="Q62" s="151"/>
      <c r="R62" s="152"/>
    </row>
    <row r="63" spans="1:18" ht="18" customHeight="1">
      <c r="A63" s="101" t="s">
        <v>385</v>
      </c>
      <c r="B63" s="102" t="s">
        <v>386</v>
      </c>
      <c r="C63" s="103">
        <f>SUM(C64:C65)</f>
        <v>2301900</v>
      </c>
      <c r="D63" s="157">
        <f>SUM(D64:D65)</f>
        <v>1900</v>
      </c>
      <c r="E63" s="157">
        <f>SUM(E64:E65)</f>
        <v>2641</v>
      </c>
      <c r="F63" s="204">
        <f t="shared" si="0"/>
        <v>139</v>
      </c>
      <c r="G63" s="106"/>
      <c r="H63" s="107"/>
      <c r="I63" s="213"/>
      <c r="J63" s="106"/>
      <c r="K63" s="107"/>
      <c r="L63" s="193"/>
      <c r="M63" s="106">
        <f>M64+M65</f>
        <v>1900</v>
      </c>
      <c r="N63" s="107">
        <f>SUM(N64:N65)</f>
        <v>2641</v>
      </c>
      <c r="O63" s="108">
        <f>N63/M63*100</f>
        <v>139</v>
      </c>
      <c r="P63" s="106"/>
      <c r="Q63" s="107"/>
      <c r="R63" s="108"/>
    </row>
    <row r="64" spans="1:18" ht="21.75" customHeight="1">
      <c r="A64" s="206" t="s">
        <v>387</v>
      </c>
      <c r="B64" s="165" t="s">
        <v>388</v>
      </c>
      <c r="C64" s="208">
        <v>2300000</v>
      </c>
      <c r="D64" s="209"/>
      <c r="E64" s="209"/>
      <c r="F64" s="232"/>
      <c r="G64" s="211"/>
      <c r="H64" s="212"/>
      <c r="I64" s="213"/>
      <c r="J64" s="233"/>
      <c r="K64" s="219"/>
      <c r="L64" s="214"/>
      <c r="M64" s="233"/>
      <c r="N64" s="219"/>
      <c r="O64" s="213"/>
      <c r="P64" s="233"/>
      <c r="Q64" s="219"/>
      <c r="R64" s="213"/>
    </row>
    <row r="65" spans="1:18" ht="21" customHeight="1">
      <c r="A65" s="206" t="s">
        <v>346</v>
      </c>
      <c r="B65" s="234" t="s">
        <v>389</v>
      </c>
      <c r="C65" s="208">
        <v>1900</v>
      </c>
      <c r="D65" s="209">
        <f>G65+J65+M65+P65</f>
        <v>1900</v>
      </c>
      <c r="E65" s="209">
        <f>H65+K65+N65+Q65</f>
        <v>2641</v>
      </c>
      <c r="F65" s="210">
        <f t="shared" si="0"/>
        <v>139</v>
      </c>
      <c r="G65" s="211"/>
      <c r="H65" s="212"/>
      <c r="I65" s="213"/>
      <c r="J65" s="233"/>
      <c r="K65" s="219"/>
      <c r="L65" s="214"/>
      <c r="M65" s="233">
        <v>1900</v>
      </c>
      <c r="N65" s="219">
        <v>2641</v>
      </c>
      <c r="O65" s="213">
        <f>N65/M65*100</f>
        <v>139</v>
      </c>
      <c r="P65" s="233"/>
      <c r="Q65" s="219"/>
      <c r="R65" s="213"/>
    </row>
    <row r="66" spans="1:18" ht="16.5" customHeight="1">
      <c r="A66" s="123" t="s">
        <v>390</v>
      </c>
      <c r="B66" s="124" t="s">
        <v>391</v>
      </c>
      <c r="C66" s="125">
        <f>SUM(C68:C71)</f>
        <v>104000</v>
      </c>
      <c r="D66" s="104">
        <f>SUM(D68:D71)</f>
        <v>104000</v>
      </c>
      <c r="E66" s="104">
        <f>SUM(E67:E71)</f>
        <v>41384</v>
      </c>
      <c r="F66" s="126">
        <f t="shared" si="0"/>
        <v>39.792307692307695</v>
      </c>
      <c r="G66" s="128">
        <f>SUM(G67:G71)</f>
        <v>104000</v>
      </c>
      <c r="H66" s="128">
        <f>SUM(H67:H71)</f>
        <v>41384</v>
      </c>
      <c r="I66" s="129">
        <f>H66/G66*100</f>
        <v>39.792307692307695</v>
      </c>
      <c r="J66" s="127"/>
      <c r="K66" s="128"/>
      <c r="L66" s="109"/>
      <c r="M66" s="127"/>
      <c r="N66" s="128"/>
      <c r="O66" s="129"/>
      <c r="P66" s="127"/>
      <c r="Q66" s="128"/>
      <c r="R66" s="129"/>
    </row>
    <row r="67" spans="1:18" s="122" customFormat="1" ht="36.75" customHeight="1">
      <c r="A67" s="131" t="s">
        <v>318</v>
      </c>
      <c r="B67" s="132" t="s">
        <v>328</v>
      </c>
      <c r="C67" s="133"/>
      <c r="D67" s="134">
        <f aca="true" t="shared" si="8" ref="D67:E69">G67+J67+M67+P67</f>
        <v>0</v>
      </c>
      <c r="E67" s="134">
        <f t="shared" si="8"/>
        <v>468</v>
      </c>
      <c r="F67" s="135"/>
      <c r="G67" s="136"/>
      <c r="H67" s="137">
        <v>468</v>
      </c>
      <c r="I67" s="138"/>
      <c r="J67" s="136"/>
      <c r="K67" s="137"/>
      <c r="L67" s="139"/>
      <c r="M67" s="136"/>
      <c r="N67" s="137"/>
      <c r="O67" s="138"/>
      <c r="P67" s="136"/>
      <c r="Q67" s="137"/>
      <c r="R67" s="138"/>
    </row>
    <row r="68" spans="1:18" s="122" customFormat="1" ht="34.5" customHeight="1">
      <c r="A68" s="112" t="s">
        <v>346</v>
      </c>
      <c r="B68" s="166" t="s">
        <v>392</v>
      </c>
      <c r="C68" s="113"/>
      <c r="D68" s="114">
        <f t="shared" si="8"/>
        <v>0</v>
      </c>
      <c r="E68" s="114">
        <f t="shared" si="8"/>
        <v>9089</v>
      </c>
      <c r="F68" s="141"/>
      <c r="G68" s="235"/>
      <c r="H68" s="117">
        <v>9089</v>
      </c>
      <c r="I68" s="118"/>
      <c r="J68" s="116"/>
      <c r="K68" s="117"/>
      <c r="L68" s="119"/>
      <c r="M68" s="116"/>
      <c r="N68" s="117"/>
      <c r="O68" s="118"/>
      <c r="P68" s="116"/>
      <c r="Q68" s="117"/>
      <c r="R68" s="118"/>
    </row>
    <row r="69" spans="1:18" ht="50.25" customHeight="1">
      <c r="A69" s="112" t="s">
        <v>348</v>
      </c>
      <c r="B69" s="79" t="s">
        <v>393</v>
      </c>
      <c r="C69" s="113">
        <v>58000</v>
      </c>
      <c r="D69" s="114">
        <f t="shared" si="8"/>
        <v>58000</v>
      </c>
      <c r="E69" s="114">
        <f t="shared" si="8"/>
        <v>23282</v>
      </c>
      <c r="F69" s="141">
        <f t="shared" si="0"/>
        <v>40.141379310344824</v>
      </c>
      <c r="G69" s="235">
        <v>58000</v>
      </c>
      <c r="H69" s="117">
        <v>23282</v>
      </c>
      <c r="I69" s="118">
        <f>H69/G69*100</f>
        <v>40.141379310344824</v>
      </c>
      <c r="J69" s="142"/>
      <c r="K69" s="143"/>
      <c r="L69" s="119"/>
      <c r="M69" s="142"/>
      <c r="N69" s="143"/>
      <c r="O69" s="118"/>
      <c r="P69" s="142"/>
      <c r="Q69" s="143"/>
      <c r="R69" s="118"/>
    </row>
    <row r="70" spans="1:18" ht="23.25" customHeight="1">
      <c r="A70" s="112" t="s">
        <v>320</v>
      </c>
      <c r="B70" s="166" t="s">
        <v>321</v>
      </c>
      <c r="C70" s="113">
        <v>30000</v>
      </c>
      <c r="D70" s="114">
        <f>G70</f>
        <v>30000</v>
      </c>
      <c r="E70" s="114"/>
      <c r="F70" s="141"/>
      <c r="G70" s="235">
        <v>30000</v>
      </c>
      <c r="H70" s="117"/>
      <c r="I70" s="118"/>
      <c r="J70" s="142"/>
      <c r="K70" s="143"/>
      <c r="L70" s="119"/>
      <c r="M70" s="142"/>
      <c r="N70" s="143"/>
      <c r="O70" s="118"/>
      <c r="P70" s="142"/>
      <c r="Q70" s="143"/>
      <c r="R70" s="118"/>
    </row>
    <row r="71" spans="1:18" ht="39.75" customHeight="1">
      <c r="A71" s="145" t="s">
        <v>322</v>
      </c>
      <c r="B71" s="236" t="s">
        <v>394</v>
      </c>
      <c r="C71" s="147">
        <v>16000</v>
      </c>
      <c r="D71" s="148">
        <f>G71+J71+M71+P71</f>
        <v>16000</v>
      </c>
      <c r="E71" s="148">
        <f>H71+K71+N71+Q71</f>
        <v>8545</v>
      </c>
      <c r="F71" s="149">
        <f t="shared" si="0"/>
        <v>53.40625</v>
      </c>
      <c r="G71" s="237">
        <v>16000</v>
      </c>
      <c r="H71" s="151">
        <v>8545</v>
      </c>
      <c r="I71" s="152">
        <f>H71/G71*100</f>
        <v>53.40625</v>
      </c>
      <c r="J71" s="153"/>
      <c r="K71" s="154"/>
      <c r="L71" s="155"/>
      <c r="M71" s="153"/>
      <c r="N71" s="154"/>
      <c r="O71" s="152"/>
      <c r="P71" s="153"/>
      <c r="Q71" s="154"/>
      <c r="R71" s="152"/>
    </row>
    <row r="72" spans="1:18" ht="17.25" customHeight="1">
      <c r="A72" s="123" t="s">
        <v>395</v>
      </c>
      <c r="B72" s="124" t="s">
        <v>396</v>
      </c>
      <c r="C72" s="125">
        <f>C73+C74</f>
        <v>42000</v>
      </c>
      <c r="D72" s="104">
        <f>SUM(D73:D74)</f>
        <v>38361</v>
      </c>
      <c r="E72" s="104">
        <f>SUM(E73:E74)</f>
        <v>38361</v>
      </c>
      <c r="F72" s="204">
        <f t="shared" si="0"/>
        <v>100</v>
      </c>
      <c r="G72" s="127"/>
      <c r="H72" s="128"/>
      <c r="I72" s="213"/>
      <c r="J72" s="127"/>
      <c r="K72" s="128"/>
      <c r="L72" s="214"/>
      <c r="M72" s="127">
        <f>M74</f>
        <v>4465</v>
      </c>
      <c r="N72" s="128">
        <f>N74</f>
        <v>4465</v>
      </c>
      <c r="O72" s="129">
        <f>N72/M72*100</f>
        <v>100</v>
      </c>
      <c r="P72" s="127">
        <f>P73</f>
        <v>33896</v>
      </c>
      <c r="Q72" s="128">
        <f>Q73</f>
        <v>33896</v>
      </c>
      <c r="R72" s="129">
        <f>Q72/P72*100</f>
        <v>100</v>
      </c>
    </row>
    <row r="73" spans="1:18" ht="60.75" customHeight="1">
      <c r="A73" s="131" t="s">
        <v>355</v>
      </c>
      <c r="B73" s="215" t="s">
        <v>356</v>
      </c>
      <c r="C73" s="133">
        <v>34000</v>
      </c>
      <c r="D73" s="134">
        <f>G73+J73+M73+P73</f>
        <v>33896</v>
      </c>
      <c r="E73" s="134">
        <f>H73+K73+N73+Q73</f>
        <v>33896</v>
      </c>
      <c r="F73" s="199">
        <f t="shared" si="0"/>
        <v>100</v>
      </c>
      <c r="G73" s="136"/>
      <c r="H73" s="137"/>
      <c r="I73" s="138"/>
      <c r="J73" s="136"/>
      <c r="K73" s="137"/>
      <c r="L73" s="139"/>
      <c r="M73" s="136"/>
      <c r="N73" s="137"/>
      <c r="O73" s="138"/>
      <c r="P73" s="136">
        <f>34000-104</f>
        <v>33896</v>
      </c>
      <c r="Q73" s="137">
        <v>33896</v>
      </c>
      <c r="R73" s="138">
        <f>Q73/P73*100</f>
        <v>100</v>
      </c>
    </row>
    <row r="74" spans="1:18" s="122" customFormat="1" ht="66" customHeight="1">
      <c r="A74" s="145" t="s">
        <v>397</v>
      </c>
      <c r="B74" s="231" t="s">
        <v>398</v>
      </c>
      <c r="C74" s="147">
        <v>8000</v>
      </c>
      <c r="D74" s="148">
        <f>G74+J74+M74+P74</f>
        <v>4465</v>
      </c>
      <c r="E74" s="148">
        <f>H74+K74+N74+Q74</f>
        <v>4465</v>
      </c>
      <c r="F74" s="216">
        <f t="shared" si="0"/>
        <v>100</v>
      </c>
      <c r="G74" s="150"/>
      <c r="H74" s="151"/>
      <c r="I74" s="152"/>
      <c r="J74" s="150"/>
      <c r="K74" s="151"/>
      <c r="L74" s="155"/>
      <c r="M74" s="150">
        <f>8000-3535</f>
        <v>4465</v>
      </c>
      <c r="N74" s="151">
        <v>4465</v>
      </c>
      <c r="O74" s="152">
        <f>N74/M74*100</f>
        <v>100</v>
      </c>
      <c r="P74" s="150"/>
      <c r="Q74" s="151"/>
      <c r="R74" s="152"/>
    </row>
    <row r="75" spans="1:18" ht="15.75" customHeight="1">
      <c r="A75" s="123" t="s">
        <v>399</v>
      </c>
      <c r="B75" s="124" t="s">
        <v>311</v>
      </c>
      <c r="C75" s="125">
        <f>SUM(C76:C76)</f>
        <v>200000</v>
      </c>
      <c r="D75" s="104">
        <f>SUM(D76:D77)</f>
        <v>200000</v>
      </c>
      <c r="E75" s="104">
        <f>SUM(E76:E77)</f>
        <v>220544</v>
      </c>
      <c r="F75" s="105">
        <f t="shared" si="0"/>
        <v>110.27199999999999</v>
      </c>
      <c r="G75" s="127">
        <f>SUM(G76:G77)</f>
        <v>200000</v>
      </c>
      <c r="H75" s="128">
        <f>SUM(H76:H77)</f>
        <v>220544</v>
      </c>
      <c r="I75" s="129">
        <f>H75/G75*100</f>
        <v>110.27199999999999</v>
      </c>
      <c r="J75" s="127"/>
      <c r="K75" s="128"/>
      <c r="L75" s="109"/>
      <c r="M75" s="127"/>
      <c r="N75" s="128"/>
      <c r="O75" s="129"/>
      <c r="P75" s="127"/>
      <c r="Q75" s="128"/>
      <c r="R75" s="129"/>
    </row>
    <row r="76" spans="1:18" ht="24" customHeight="1">
      <c r="A76" s="206" t="s">
        <v>400</v>
      </c>
      <c r="B76" s="234" t="s">
        <v>401</v>
      </c>
      <c r="C76" s="208">
        <v>200000</v>
      </c>
      <c r="D76" s="209">
        <f aca="true" t="shared" si="9" ref="D76:E79">G76+J76+M76+P76</f>
        <v>200000</v>
      </c>
      <c r="E76" s="209">
        <f t="shared" si="9"/>
        <v>220544</v>
      </c>
      <c r="F76" s="232">
        <f t="shared" si="0"/>
        <v>110.27199999999999</v>
      </c>
      <c r="G76" s="238">
        <v>200000</v>
      </c>
      <c r="H76" s="212">
        <v>220544</v>
      </c>
      <c r="I76" s="213">
        <f>H76/G76*100</f>
        <v>110.27199999999999</v>
      </c>
      <c r="J76" s="233"/>
      <c r="K76" s="219"/>
      <c r="L76" s="214"/>
      <c r="M76" s="233"/>
      <c r="N76" s="219"/>
      <c r="O76" s="213"/>
      <c r="P76" s="233"/>
      <c r="Q76" s="219"/>
      <c r="R76" s="213"/>
    </row>
    <row r="77" spans="1:18" ht="34.5" customHeight="1" thickBot="1">
      <c r="A77" s="239" t="s">
        <v>402</v>
      </c>
      <c r="B77" s="240" t="s">
        <v>403</v>
      </c>
      <c r="C77" s="241"/>
      <c r="D77" s="242">
        <f t="shared" si="9"/>
        <v>0</v>
      </c>
      <c r="E77" s="242">
        <f t="shared" si="9"/>
        <v>0</v>
      </c>
      <c r="F77" s="243"/>
      <c r="G77" s="244"/>
      <c r="H77" s="245"/>
      <c r="I77" s="246"/>
      <c r="J77" s="247"/>
      <c r="K77" s="248"/>
      <c r="L77" s="249"/>
      <c r="M77" s="247"/>
      <c r="N77" s="248"/>
      <c r="O77" s="246"/>
      <c r="P77" s="247"/>
      <c r="Q77" s="248"/>
      <c r="R77" s="246"/>
    </row>
    <row r="78" spans="1:18" ht="58.5" customHeight="1" thickBot="1" thickTop="1">
      <c r="A78" s="167" t="s">
        <v>404</v>
      </c>
      <c r="B78" s="250" t="s">
        <v>405</v>
      </c>
      <c r="C78" s="169">
        <f>C79</f>
        <v>17910</v>
      </c>
      <c r="D78" s="94">
        <f>D79</f>
        <v>15917</v>
      </c>
      <c r="E78" s="170">
        <f>E79</f>
        <v>11934</v>
      </c>
      <c r="F78" s="251">
        <f aca="true" t="shared" si="10" ref="F78:F141">E78/D78*100</f>
        <v>74.9764402839731</v>
      </c>
      <c r="G78" s="252"/>
      <c r="H78" s="172"/>
      <c r="I78" s="253"/>
      <c r="J78" s="171">
        <f>J79</f>
        <v>15917</v>
      </c>
      <c r="K78" s="172">
        <f>K79</f>
        <v>11934</v>
      </c>
      <c r="L78" s="174">
        <f>K78/J78*100</f>
        <v>74.9764402839731</v>
      </c>
      <c r="M78" s="171"/>
      <c r="N78" s="172"/>
      <c r="O78" s="253"/>
      <c r="P78" s="171"/>
      <c r="Q78" s="172"/>
      <c r="R78" s="253"/>
    </row>
    <row r="79" spans="1:18" ht="39" customHeight="1" thickTop="1">
      <c r="A79" s="254" t="s">
        <v>406</v>
      </c>
      <c r="B79" s="255" t="s">
        <v>407</v>
      </c>
      <c r="C79" s="256">
        <f>SUM(C80)</f>
        <v>17910</v>
      </c>
      <c r="D79" s="257">
        <f t="shared" si="9"/>
        <v>15917</v>
      </c>
      <c r="E79" s="257">
        <f t="shared" si="9"/>
        <v>11934</v>
      </c>
      <c r="F79" s="258">
        <f t="shared" si="10"/>
        <v>74.9764402839731</v>
      </c>
      <c r="G79" s="259"/>
      <c r="H79" s="161"/>
      <c r="I79" s="260"/>
      <c r="J79" s="160">
        <f>J80</f>
        <v>15917</v>
      </c>
      <c r="K79" s="161">
        <f>K80</f>
        <v>11934</v>
      </c>
      <c r="L79" s="261">
        <f>K79/J79*100</f>
        <v>74.9764402839731</v>
      </c>
      <c r="M79" s="160"/>
      <c r="N79" s="161"/>
      <c r="O79" s="260"/>
      <c r="P79" s="160"/>
      <c r="Q79" s="161"/>
      <c r="R79" s="260"/>
    </row>
    <row r="80" spans="1:18" ht="57" customHeight="1" thickBot="1">
      <c r="A80" s="131" t="s">
        <v>312</v>
      </c>
      <c r="B80" s="132" t="s">
        <v>313</v>
      </c>
      <c r="C80" s="133">
        <v>17910</v>
      </c>
      <c r="D80" s="134">
        <f>G80+J80+M80+P80</f>
        <v>15917</v>
      </c>
      <c r="E80" s="134">
        <f>H80+K80+N80+Q80</f>
        <v>11934</v>
      </c>
      <c r="F80" s="262">
        <f>E80/D80*100</f>
        <v>74.9764402839731</v>
      </c>
      <c r="G80" s="263"/>
      <c r="H80" s="137"/>
      <c r="I80" s="138"/>
      <c r="J80" s="185">
        <v>15917</v>
      </c>
      <c r="K80" s="186">
        <v>11934</v>
      </c>
      <c r="L80" s="139">
        <f>K80/J80*100</f>
        <v>74.9764402839731</v>
      </c>
      <c r="M80" s="185"/>
      <c r="N80" s="186"/>
      <c r="O80" s="138"/>
      <c r="P80" s="185"/>
      <c r="Q80" s="186"/>
      <c r="R80" s="138"/>
    </row>
    <row r="81" spans="1:18" ht="37.5" customHeight="1" thickBot="1" thickTop="1">
      <c r="A81" s="91" t="s">
        <v>408</v>
      </c>
      <c r="B81" s="190" t="s">
        <v>409</v>
      </c>
      <c r="C81" s="200">
        <f>C82+C87</f>
        <v>6917600</v>
      </c>
      <c r="D81" s="94">
        <f>G81+J81+M81+P81</f>
        <v>8053732</v>
      </c>
      <c r="E81" s="94">
        <f>E82+E87</f>
        <v>6105141</v>
      </c>
      <c r="F81" s="226">
        <f t="shared" si="10"/>
        <v>75.80511742878954</v>
      </c>
      <c r="G81" s="98"/>
      <c r="H81" s="96"/>
      <c r="I81" s="264"/>
      <c r="J81" s="98">
        <f>J82+J87</f>
        <v>8000</v>
      </c>
      <c r="K81" s="96">
        <f>K82+K87</f>
        <v>8000</v>
      </c>
      <c r="L81" s="227">
        <f>K81/J81*100</f>
        <v>100</v>
      </c>
      <c r="M81" s="98">
        <f>M82</f>
        <v>0</v>
      </c>
      <c r="N81" s="96">
        <f>N82</f>
        <v>628</v>
      </c>
      <c r="O81" s="97"/>
      <c r="P81" s="98">
        <f>P82</f>
        <v>8045732</v>
      </c>
      <c r="Q81" s="96">
        <f>Q82</f>
        <v>6096513</v>
      </c>
      <c r="R81" s="97">
        <f>Q81/P81*100</f>
        <v>75.7732546895671</v>
      </c>
    </row>
    <row r="82" spans="1:18" ht="24.75" customHeight="1" thickTop="1">
      <c r="A82" s="101" t="s">
        <v>410</v>
      </c>
      <c r="B82" s="102" t="s">
        <v>411</v>
      </c>
      <c r="C82" s="103">
        <f>SUM(C84:C86)</f>
        <v>6909600</v>
      </c>
      <c r="D82" s="157">
        <f>SUM(D83:D86)</f>
        <v>8045732</v>
      </c>
      <c r="E82" s="157">
        <f>SUM(E83:E86)</f>
        <v>6097141</v>
      </c>
      <c r="F82" s="204">
        <f t="shared" si="10"/>
        <v>75.78106007010922</v>
      </c>
      <c r="G82" s="106"/>
      <c r="H82" s="107"/>
      <c r="I82" s="152"/>
      <c r="J82" s="106"/>
      <c r="K82" s="107"/>
      <c r="L82" s="228"/>
      <c r="M82" s="106">
        <f>SUM(M83:M86)</f>
        <v>0</v>
      </c>
      <c r="N82" s="107">
        <f>SUM(N83:N86)</f>
        <v>628</v>
      </c>
      <c r="O82" s="108"/>
      <c r="P82" s="106">
        <f>SUM(P84:P86)</f>
        <v>8045732</v>
      </c>
      <c r="Q82" s="107">
        <f>SUM(Q84:Q86)</f>
        <v>6096513</v>
      </c>
      <c r="R82" s="108">
        <f>Q82/P82*100</f>
        <v>75.7732546895671</v>
      </c>
    </row>
    <row r="83" spans="1:18" s="265" customFormat="1" ht="15.75" customHeight="1">
      <c r="A83" s="131" t="s">
        <v>368</v>
      </c>
      <c r="B83" s="225" t="s">
        <v>412</v>
      </c>
      <c r="C83" s="133"/>
      <c r="D83" s="134">
        <f aca="true" t="shared" si="11" ref="D83:E86">G83+J83+M83+P83</f>
        <v>0</v>
      </c>
      <c r="E83" s="134">
        <f t="shared" si="11"/>
        <v>14</v>
      </c>
      <c r="F83" s="199"/>
      <c r="G83" s="136"/>
      <c r="H83" s="137"/>
      <c r="I83" s="138"/>
      <c r="J83" s="136"/>
      <c r="K83" s="137"/>
      <c r="L83" s="229"/>
      <c r="M83" s="136"/>
      <c r="N83" s="137">
        <v>14</v>
      </c>
      <c r="O83" s="138"/>
      <c r="P83" s="136"/>
      <c r="Q83" s="137"/>
      <c r="R83" s="138"/>
    </row>
    <row r="84" spans="1:18" ht="63.75" customHeight="1">
      <c r="A84" s="112" t="s">
        <v>355</v>
      </c>
      <c r="B84" s="195" t="s">
        <v>356</v>
      </c>
      <c r="C84" s="113">
        <v>6259600</v>
      </c>
      <c r="D84" s="114">
        <f t="shared" si="11"/>
        <v>7303538</v>
      </c>
      <c r="E84" s="114">
        <f t="shared" si="11"/>
        <v>6066513</v>
      </c>
      <c r="F84" s="115">
        <f t="shared" si="10"/>
        <v>83.06266086381696</v>
      </c>
      <c r="G84" s="116"/>
      <c r="H84" s="117"/>
      <c r="I84" s="118"/>
      <c r="J84" s="116"/>
      <c r="K84" s="117"/>
      <c r="L84" s="230"/>
      <c r="M84" s="116"/>
      <c r="N84" s="117"/>
      <c r="O84" s="118"/>
      <c r="P84" s="116">
        <f>7149186+83252+19500+2475+49125</f>
        <v>7303538</v>
      </c>
      <c r="Q84" s="117">
        <v>6066513</v>
      </c>
      <c r="R84" s="118">
        <f>Q84/P84*100</f>
        <v>83.06266086381696</v>
      </c>
    </row>
    <row r="85" spans="1:19" s="122" customFormat="1" ht="52.5" customHeight="1">
      <c r="A85" s="145" t="s">
        <v>357</v>
      </c>
      <c r="B85" s="231" t="s">
        <v>413</v>
      </c>
      <c r="C85" s="147"/>
      <c r="D85" s="148">
        <f>G85+J85+M85+P85</f>
        <v>0</v>
      </c>
      <c r="E85" s="148">
        <f>H85+K85+N85+Q85</f>
        <v>614</v>
      </c>
      <c r="F85" s="216"/>
      <c r="G85" s="150"/>
      <c r="H85" s="151"/>
      <c r="I85" s="152"/>
      <c r="J85" s="150"/>
      <c r="K85" s="151"/>
      <c r="L85" s="217"/>
      <c r="M85" s="150"/>
      <c r="N85" s="151">
        <v>614</v>
      </c>
      <c r="O85" s="152"/>
      <c r="P85" s="150"/>
      <c r="Q85" s="151"/>
      <c r="R85" s="152"/>
      <c r="S85" s="266"/>
    </row>
    <row r="86" spans="1:18" ht="67.5" customHeight="1">
      <c r="A86" s="206" t="s">
        <v>370</v>
      </c>
      <c r="B86" s="165" t="s">
        <v>371</v>
      </c>
      <c r="C86" s="208">
        <v>650000</v>
      </c>
      <c r="D86" s="209">
        <f t="shared" si="11"/>
        <v>742194</v>
      </c>
      <c r="E86" s="209">
        <f t="shared" si="11"/>
        <v>30000</v>
      </c>
      <c r="F86" s="210">
        <f t="shared" si="10"/>
        <v>4.042069863135515</v>
      </c>
      <c r="G86" s="211"/>
      <c r="H86" s="212"/>
      <c r="I86" s="213"/>
      <c r="J86" s="211"/>
      <c r="K86" s="212"/>
      <c r="L86" s="267"/>
      <c r="M86" s="211"/>
      <c r="N86" s="212"/>
      <c r="O86" s="213"/>
      <c r="P86" s="211">
        <f>650000+92194</f>
        <v>742194</v>
      </c>
      <c r="Q86" s="212">
        <v>30000</v>
      </c>
      <c r="R86" s="213">
        <f>Q86/P86*100</f>
        <v>4.042069863135515</v>
      </c>
    </row>
    <row r="87" spans="1:18" ht="17.25" customHeight="1">
      <c r="A87" s="123" t="s">
        <v>414</v>
      </c>
      <c r="B87" s="124" t="s">
        <v>415</v>
      </c>
      <c r="C87" s="125">
        <f>C88</f>
        <v>8000</v>
      </c>
      <c r="D87" s="104">
        <f>D88</f>
        <v>8000</v>
      </c>
      <c r="E87" s="104">
        <f>E88</f>
        <v>8000</v>
      </c>
      <c r="F87" s="268">
        <f t="shared" si="10"/>
        <v>100</v>
      </c>
      <c r="G87" s="127"/>
      <c r="H87" s="128"/>
      <c r="I87" s="129"/>
      <c r="J87" s="127">
        <f>J88</f>
        <v>8000</v>
      </c>
      <c r="K87" s="128">
        <f>K88</f>
        <v>8000</v>
      </c>
      <c r="L87" s="269">
        <f>K87/J87*100</f>
        <v>100</v>
      </c>
      <c r="M87" s="127"/>
      <c r="N87" s="128"/>
      <c r="O87" s="129"/>
      <c r="P87" s="127"/>
      <c r="Q87" s="128"/>
      <c r="R87" s="129"/>
    </row>
    <row r="88" spans="1:18" ht="67.5" customHeight="1" thickBot="1">
      <c r="A88" s="131" t="s">
        <v>312</v>
      </c>
      <c r="B88" s="215" t="s">
        <v>416</v>
      </c>
      <c r="C88" s="133">
        <v>8000</v>
      </c>
      <c r="D88" s="134">
        <f>J88</f>
        <v>8000</v>
      </c>
      <c r="E88" s="134">
        <f>K88</f>
        <v>8000</v>
      </c>
      <c r="F88" s="199">
        <f t="shared" si="10"/>
        <v>100</v>
      </c>
      <c r="G88" s="136"/>
      <c r="H88" s="137"/>
      <c r="I88" s="138"/>
      <c r="J88" s="136">
        <v>8000</v>
      </c>
      <c r="K88" s="137">
        <v>8000</v>
      </c>
      <c r="L88" s="229">
        <f>K88/J88*100</f>
        <v>100</v>
      </c>
      <c r="M88" s="136"/>
      <c r="N88" s="137"/>
      <c r="O88" s="138"/>
      <c r="P88" s="136"/>
      <c r="Q88" s="137"/>
      <c r="R88" s="138"/>
    </row>
    <row r="89" spans="1:18" ht="91.5" customHeight="1" thickBot="1" thickTop="1">
      <c r="A89" s="91" t="s">
        <v>417</v>
      </c>
      <c r="B89" s="270" t="s">
        <v>418</v>
      </c>
      <c r="C89" s="98">
        <f>C90+C92+C99+C109+C117+C120+C123+C125</f>
        <v>141832589</v>
      </c>
      <c r="D89" s="96">
        <f>D90+D92+D99+D109+D117+D120+D123+D125</f>
        <v>149345789</v>
      </c>
      <c r="E89" s="96">
        <f>E90+E92+E99+E109+E115+E117+E120+E123+E125</f>
        <v>111999683</v>
      </c>
      <c r="F89" s="226">
        <f t="shared" si="10"/>
        <v>74.99353262648738</v>
      </c>
      <c r="G89" s="271">
        <f>G90+G92+G99+G109+G115+G117+G123+G125</f>
        <v>127209096</v>
      </c>
      <c r="H89" s="271">
        <f>H90+H92+H99+H109+H115+H117+H123+H125</f>
        <v>95070051</v>
      </c>
      <c r="I89" s="97">
        <f aca="true" t="shared" si="12" ref="I89:I149">H89/G89*100</f>
        <v>74.73526185580313</v>
      </c>
      <c r="J89" s="98"/>
      <c r="K89" s="96"/>
      <c r="L89" s="99"/>
      <c r="M89" s="98">
        <f>M90+M92+M99+M109+M117+M120</f>
        <v>22136693</v>
      </c>
      <c r="N89" s="96">
        <f>N109+N120</f>
        <v>16929632</v>
      </c>
      <c r="O89" s="97">
        <f>N89/M89*100</f>
        <v>76.47769249002097</v>
      </c>
      <c r="P89" s="98"/>
      <c r="Q89" s="96"/>
      <c r="R89" s="97"/>
    </row>
    <row r="90" spans="1:18" ht="36.75" thickTop="1">
      <c r="A90" s="101" t="s">
        <v>419</v>
      </c>
      <c r="B90" s="102" t="s">
        <v>420</v>
      </c>
      <c r="C90" s="103">
        <f>SUM(C91)</f>
        <v>520000</v>
      </c>
      <c r="D90" s="157">
        <f>D91</f>
        <v>460000</v>
      </c>
      <c r="E90" s="157">
        <f>E91</f>
        <v>332350</v>
      </c>
      <c r="F90" s="180">
        <f t="shared" si="10"/>
        <v>72.25</v>
      </c>
      <c r="G90" s="106">
        <f>G91</f>
        <v>460000</v>
      </c>
      <c r="H90" s="107">
        <f>H91</f>
        <v>332350</v>
      </c>
      <c r="I90" s="108">
        <f t="shared" si="12"/>
        <v>72.25</v>
      </c>
      <c r="J90" s="106"/>
      <c r="K90" s="107"/>
      <c r="L90" s="193"/>
      <c r="M90" s="106"/>
      <c r="N90" s="107"/>
      <c r="O90" s="108"/>
      <c r="P90" s="106"/>
      <c r="Q90" s="107"/>
      <c r="R90" s="108"/>
    </row>
    <row r="91" spans="1:18" ht="46.5" customHeight="1">
      <c r="A91" s="206" t="s">
        <v>421</v>
      </c>
      <c r="B91" s="234" t="s">
        <v>422</v>
      </c>
      <c r="C91" s="208">
        <v>520000</v>
      </c>
      <c r="D91" s="209">
        <f>G91+J91+M91+P91</f>
        <v>460000</v>
      </c>
      <c r="E91" s="209">
        <f>H91+K91+N91+Q91</f>
        <v>332350</v>
      </c>
      <c r="F91" s="232">
        <f t="shared" si="10"/>
        <v>72.25</v>
      </c>
      <c r="G91" s="211">
        <f>520000-60000</f>
        <v>460000</v>
      </c>
      <c r="H91" s="212">
        <v>332350</v>
      </c>
      <c r="I91" s="213">
        <f t="shared" si="12"/>
        <v>72.25</v>
      </c>
      <c r="J91" s="211"/>
      <c r="K91" s="212"/>
      <c r="L91" s="214"/>
      <c r="M91" s="211"/>
      <c r="N91" s="212"/>
      <c r="O91" s="213"/>
      <c r="P91" s="211"/>
      <c r="Q91" s="212"/>
      <c r="R91" s="213"/>
    </row>
    <row r="92" spans="1:18" ht="68.25" customHeight="1">
      <c r="A92" s="272" t="s">
        <v>423</v>
      </c>
      <c r="B92" s="273" t="s">
        <v>424</v>
      </c>
      <c r="C92" s="125">
        <f>SUM(C93:C98)</f>
        <v>29838700</v>
      </c>
      <c r="D92" s="104">
        <f>SUM(D93:D98)</f>
        <v>30278700</v>
      </c>
      <c r="E92" s="104">
        <f>SUM(E93:E98)</f>
        <v>22136766</v>
      </c>
      <c r="F92" s="105">
        <f t="shared" si="10"/>
        <v>73.11002784135383</v>
      </c>
      <c r="G92" s="127">
        <f>SUM(G93:G98)</f>
        <v>30278700</v>
      </c>
      <c r="H92" s="128">
        <f>SUM(H93:H98)</f>
        <v>22136766</v>
      </c>
      <c r="I92" s="129">
        <f t="shared" si="12"/>
        <v>73.11002784135383</v>
      </c>
      <c r="J92" s="127"/>
      <c r="K92" s="128"/>
      <c r="L92" s="109"/>
      <c r="M92" s="127"/>
      <c r="N92" s="128"/>
      <c r="O92" s="129"/>
      <c r="P92" s="127"/>
      <c r="Q92" s="128"/>
      <c r="R92" s="129"/>
    </row>
    <row r="93" spans="1:18" ht="18.75" customHeight="1">
      <c r="A93" s="131" t="s">
        <v>425</v>
      </c>
      <c r="B93" s="225" t="s">
        <v>426</v>
      </c>
      <c r="C93" s="133">
        <v>27147880</v>
      </c>
      <c r="D93" s="134">
        <f aca="true" t="shared" si="13" ref="D93:E98">G93+J93+M93+P93</f>
        <v>27747880</v>
      </c>
      <c r="E93" s="134">
        <f t="shared" si="13"/>
        <v>20085601</v>
      </c>
      <c r="F93" s="135">
        <f t="shared" si="10"/>
        <v>72.38607417936073</v>
      </c>
      <c r="G93" s="263">
        <f>27147880+600000</f>
        <v>27747880</v>
      </c>
      <c r="H93" s="137">
        <v>20085601</v>
      </c>
      <c r="I93" s="138">
        <f t="shared" si="12"/>
        <v>72.38607417936073</v>
      </c>
      <c r="J93" s="136"/>
      <c r="K93" s="137"/>
      <c r="L93" s="139"/>
      <c r="M93" s="136"/>
      <c r="N93" s="137"/>
      <c r="O93" s="138"/>
      <c r="P93" s="136"/>
      <c r="Q93" s="137"/>
      <c r="R93" s="138"/>
    </row>
    <row r="94" spans="1:18" ht="14.25" customHeight="1">
      <c r="A94" s="145" t="s">
        <v>427</v>
      </c>
      <c r="B94" s="236" t="s">
        <v>428</v>
      </c>
      <c r="C94" s="147">
        <v>35940</v>
      </c>
      <c r="D94" s="148">
        <f t="shared" si="13"/>
        <v>35940</v>
      </c>
      <c r="E94" s="148">
        <f t="shared" si="13"/>
        <v>21509</v>
      </c>
      <c r="F94" s="149">
        <f t="shared" si="10"/>
        <v>59.84696716750138</v>
      </c>
      <c r="G94" s="237">
        <v>35940</v>
      </c>
      <c r="H94" s="151">
        <v>21509</v>
      </c>
      <c r="I94" s="152">
        <f t="shared" si="12"/>
        <v>59.84696716750138</v>
      </c>
      <c r="J94" s="150"/>
      <c r="K94" s="151"/>
      <c r="L94" s="155"/>
      <c r="M94" s="150"/>
      <c r="N94" s="151"/>
      <c r="O94" s="152"/>
      <c r="P94" s="150"/>
      <c r="Q94" s="151"/>
      <c r="R94" s="152"/>
    </row>
    <row r="95" spans="1:18" ht="14.25" customHeight="1">
      <c r="A95" s="131" t="s">
        <v>429</v>
      </c>
      <c r="B95" s="225" t="s">
        <v>430</v>
      </c>
      <c r="C95" s="133">
        <v>41880</v>
      </c>
      <c r="D95" s="134">
        <f t="shared" si="13"/>
        <v>41880</v>
      </c>
      <c r="E95" s="134">
        <f t="shared" si="13"/>
        <v>34013</v>
      </c>
      <c r="F95" s="135">
        <f t="shared" si="10"/>
        <v>81.21537726838586</v>
      </c>
      <c r="G95" s="263">
        <v>41880</v>
      </c>
      <c r="H95" s="137">
        <v>34013</v>
      </c>
      <c r="I95" s="138">
        <f t="shared" si="12"/>
        <v>81.21537726838586</v>
      </c>
      <c r="J95" s="136"/>
      <c r="K95" s="137"/>
      <c r="L95" s="139"/>
      <c r="M95" s="136"/>
      <c r="N95" s="137"/>
      <c r="O95" s="138"/>
      <c r="P95" s="136"/>
      <c r="Q95" s="137"/>
      <c r="R95" s="138"/>
    </row>
    <row r="96" spans="1:18" ht="24">
      <c r="A96" s="112" t="s">
        <v>431</v>
      </c>
      <c r="B96" s="166" t="s">
        <v>432</v>
      </c>
      <c r="C96" s="113">
        <v>1093000</v>
      </c>
      <c r="D96" s="114">
        <f t="shared" si="13"/>
        <v>1483000</v>
      </c>
      <c r="E96" s="114">
        <f t="shared" si="13"/>
        <v>1366135</v>
      </c>
      <c r="F96" s="141">
        <f t="shared" si="10"/>
        <v>92.11968981793662</v>
      </c>
      <c r="G96" s="235">
        <f>1093000+390000</f>
        <v>1483000</v>
      </c>
      <c r="H96" s="117">
        <v>1366135</v>
      </c>
      <c r="I96" s="118">
        <f t="shared" si="12"/>
        <v>92.11968981793662</v>
      </c>
      <c r="J96" s="116"/>
      <c r="K96" s="117"/>
      <c r="L96" s="119"/>
      <c r="M96" s="116"/>
      <c r="N96" s="117"/>
      <c r="O96" s="118"/>
      <c r="P96" s="116"/>
      <c r="Q96" s="117"/>
      <c r="R96" s="118"/>
    </row>
    <row r="97" spans="1:18" s="122" customFormat="1" ht="13.5" customHeight="1">
      <c r="A97" s="112" t="s">
        <v>433</v>
      </c>
      <c r="B97" s="166" t="s">
        <v>434</v>
      </c>
      <c r="C97" s="113">
        <v>520000</v>
      </c>
      <c r="D97" s="114">
        <f t="shared" si="13"/>
        <v>570000</v>
      </c>
      <c r="E97" s="114">
        <f t="shared" si="13"/>
        <v>463855</v>
      </c>
      <c r="F97" s="141">
        <f t="shared" si="10"/>
        <v>81.3780701754386</v>
      </c>
      <c r="G97" s="235">
        <f>520000+50000</f>
        <v>570000</v>
      </c>
      <c r="H97" s="117">
        <v>463855</v>
      </c>
      <c r="I97" s="118">
        <f t="shared" si="12"/>
        <v>81.3780701754386</v>
      </c>
      <c r="J97" s="116"/>
      <c r="K97" s="117"/>
      <c r="L97" s="119"/>
      <c r="M97" s="116"/>
      <c r="N97" s="117"/>
      <c r="O97" s="118"/>
      <c r="P97" s="116"/>
      <c r="Q97" s="117"/>
      <c r="R97" s="118"/>
    </row>
    <row r="98" spans="1:18" ht="24" customHeight="1">
      <c r="A98" s="145" t="s">
        <v>435</v>
      </c>
      <c r="B98" s="236" t="s">
        <v>436</v>
      </c>
      <c r="C98" s="147">
        <v>1000000</v>
      </c>
      <c r="D98" s="148">
        <f t="shared" si="13"/>
        <v>400000</v>
      </c>
      <c r="E98" s="148">
        <f t="shared" si="13"/>
        <v>165653</v>
      </c>
      <c r="F98" s="149">
        <f t="shared" si="10"/>
        <v>41.413250000000005</v>
      </c>
      <c r="G98" s="237">
        <f>1000000-600000</f>
        <v>400000</v>
      </c>
      <c r="H98" s="151">
        <v>165653</v>
      </c>
      <c r="I98" s="152">
        <f t="shared" si="12"/>
        <v>41.413250000000005</v>
      </c>
      <c r="J98" s="150"/>
      <c r="K98" s="151"/>
      <c r="L98" s="155"/>
      <c r="M98" s="150"/>
      <c r="N98" s="151"/>
      <c r="O98" s="152"/>
      <c r="P98" s="150"/>
      <c r="Q98" s="151"/>
      <c r="R98" s="152"/>
    </row>
    <row r="99" spans="1:18" ht="63" customHeight="1">
      <c r="A99" s="272" t="s">
        <v>437</v>
      </c>
      <c r="B99" s="273" t="s">
        <v>438</v>
      </c>
      <c r="C99" s="125">
        <f>SUM(C100:C108)</f>
        <v>14635568</v>
      </c>
      <c r="D99" s="104">
        <f>SUM(D100:D108)</f>
        <v>16535568</v>
      </c>
      <c r="E99" s="104">
        <f>SUM(E100:E108)</f>
        <v>12886095</v>
      </c>
      <c r="F99" s="105">
        <f t="shared" si="10"/>
        <v>77.92955766623801</v>
      </c>
      <c r="G99" s="127">
        <f>SUM(G100:G108)</f>
        <v>16535568</v>
      </c>
      <c r="H99" s="128">
        <f>SUM(H100:H108)</f>
        <v>12886095</v>
      </c>
      <c r="I99" s="129">
        <f t="shared" si="12"/>
        <v>77.92955766623801</v>
      </c>
      <c r="J99" s="127"/>
      <c r="K99" s="128"/>
      <c r="L99" s="109"/>
      <c r="M99" s="127"/>
      <c r="N99" s="128"/>
      <c r="O99" s="129"/>
      <c r="P99" s="127"/>
      <c r="Q99" s="128"/>
      <c r="R99" s="129"/>
    </row>
    <row r="100" spans="1:18" ht="15" customHeight="1">
      <c r="A100" s="131" t="s">
        <v>425</v>
      </c>
      <c r="B100" s="225" t="s">
        <v>426</v>
      </c>
      <c r="C100" s="133">
        <v>7658720</v>
      </c>
      <c r="D100" s="134">
        <f aca="true" t="shared" si="14" ref="D100:E108">G100+J100+M100+P100</f>
        <v>7658720</v>
      </c>
      <c r="E100" s="134">
        <f t="shared" si="14"/>
        <v>6292309</v>
      </c>
      <c r="F100" s="135">
        <f t="shared" si="10"/>
        <v>82.15875498777864</v>
      </c>
      <c r="G100" s="136">
        <v>7658720</v>
      </c>
      <c r="H100" s="137">
        <v>6292309</v>
      </c>
      <c r="I100" s="118">
        <f t="shared" si="12"/>
        <v>82.15875498777864</v>
      </c>
      <c r="J100" s="185"/>
      <c r="K100" s="186"/>
      <c r="L100" s="139"/>
      <c r="M100" s="185"/>
      <c r="N100" s="186"/>
      <c r="O100" s="138"/>
      <c r="P100" s="185"/>
      <c r="Q100" s="186"/>
      <c r="R100" s="138"/>
    </row>
    <row r="101" spans="1:18" ht="15" customHeight="1">
      <c r="A101" s="112" t="s">
        <v>427</v>
      </c>
      <c r="B101" s="166" t="s">
        <v>428</v>
      </c>
      <c r="C101" s="113">
        <v>585870</v>
      </c>
      <c r="D101" s="114">
        <f t="shared" si="14"/>
        <v>585870</v>
      </c>
      <c r="E101" s="114">
        <f t="shared" si="14"/>
        <v>476062</v>
      </c>
      <c r="F101" s="141">
        <f t="shared" si="10"/>
        <v>81.25727550480481</v>
      </c>
      <c r="G101" s="116">
        <v>585870</v>
      </c>
      <c r="H101" s="117">
        <v>476062</v>
      </c>
      <c r="I101" s="118">
        <f t="shared" si="12"/>
        <v>81.25727550480481</v>
      </c>
      <c r="J101" s="142"/>
      <c r="K101" s="143"/>
      <c r="L101" s="119"/>
      <c r="M101" s="142"/>
      <c r="N101" s="143"/>
      <c r="O101" s="118"/>
      <c r="P101" s="142"/>
      <c r="Q101" s="143"/>
      <c r="R101" s="118"/>
    </row>
    <row r="102" spans="1:18" ht="14.25" customHeight="1">
      <c r="A102" s="112" t="s">
        <v>429</v>
      </c>
      <c r="B102" s="166" t="s">
        <v>430</v>
      </c>
      <c r="C102" s="113">
        <v>260</v>
      </c>
      <c r="D102" s="114">
        <f t="shared" si="14"/>
        <v>260</v>
      </c>
      <c r="E102" s="114">
        <f t="shared" si="14"/>
        <v>215</v>
      </c>
      <c r="F102" s="141">
        <f t="shared" si="10"/>
        <v>82.6923076923077</v>
      </c>
      <c r="G102" s="116">
        <v>260</v>
      </c>
      <c r="H102" s="117">
        <v>215</v>
      </c>
      <c r="I102" s="118">
        <f t="shared" si="12"/>
        <v>82.6923076923077</v>
      </c>
      <c r="J102" s="142"/>
      <c r="K102" s="143"/>
      <c r="L102" s="119"/>
      <c r="M102" s="142"/>
      <c r="N102" s="143"/>
      <c r="O102" s="118"/>
      <c r="P102" s="142"/>
      <c r="Q102" s="143"/>
      <c r="R102" s="118"/>
    </row>
    <row r="103" spans="1:18" s="122" customFormat="1" ht="24">
      <c r="A103" s="112" t="s">
        <v>431</v>
      </c>
      <c r="B103" s="166" t="s">
        <v>432</v>
      </c>
      <c r="C103" s="113">
        <v>678600</v>
      </c>
      <c r="D103" s="114">
        <f t="shared" si="14"/>
        <v>678600</v>
      </c>
      <c r="E103" s="114">
        <f t="shared" si="14"/>
        <v>557398</v>
      </c>
      <c r="F103" s="141">
        <f t="shared" si="10"/>
        <v>82.13940465664604</v>
      </c>
      <c r="G103" s="116">
        <v>678600</v>
      </c>
      <c r="H103" s="117">
        <v>557398</v>
      </c>
      <c r="I103" s="118">
        <f t="shared" si="12"/>
        <v>82.13940465664604</v>
      </c>
      <c r="J103" s="142"/>
      <c r="K103" s="143"/>
      <c r="L103" s="119"/>
      <c r="M103" s="142"/>
      <c r="N103" s="143"/>
      <c r="O103" s="118"/>
      <c r="P103" s="142"/>
      <c r="Q103" s="143"/>
      <c r="R103" s="118"/>
    </row>
    <row r="104" spans="1:18" s="122" customFormat="1" ht="24">
      <c r="A104" s="112" t="s">
        <v>439</v>
      </c>
      <c r="B104" s="166" t="s">
        <v>440</v>
      </c>
      <c r="C104" s="113">
        <v>350000</v>
      </c>
      <c r="D104" s="114">
        <f t="shared" si="14"/>
        <v>450000</v>
      </c>
      <c r="E104" s="114">
        <f t="shared" si="14"/>
        <v>496748</v>
      </c>
      <c r="F104" s="141">
        <f t="shared" si="10"/>
        <v>110.38844444444445</v>
      </c>
      <c r="G104" s="116">
        <f>350000+100000</f>
        <v>450000</v>
      </c>
      <c r="H104" s="117">
        <v>496748</v>
      </c>
      <c r="I104" s="118">
        <f t="shared" si="12"/>
        <v>110.38844444444445</v>
      </c>
      <c r="J104" s="142"/>
      <c r="K104" s="143"/>
      <c r="L104" s="119"/>
      <c r="M104" s="142"/>
      <c r="N104" s="143"/>
      <c r="O104" s="118"/>
      <c r="P104" s="142"/>
      <c r="Q104" s="143"/>
      <c r="R104" s="118"/>
    </row>
    <row r="105" spans="1:18" ht="15" customHeight="1">
      <c r="A105" s="112" t="s">
        <v>433</v>
      </c>
      <c r="B105" s="166" t="s">
        <v>434</v>
      </c>
      <c r="C105" s="113">
        <v>200000</v>
      </c>
      <c r="D105" s="114">
        <f t="shared" si="14"/>
        <v>200000</v>
      </c>
      <c r="E105" s="114">
        <f t="shared" si="14"/>
        <v>120440</v>
      </c>
      <c r="F105" s="141">
        <f t="shared" si="10"/>
        <v>60.22</v>
      </c>
      <c r="G105" s="116">
        <v>200000</v>
      </c>
      <c r="H105" s="117">
        <v>120440</v>
      </c>
      <c r="I105" s="118">
        <f t="shared" si="12"/>
        <v>60.22</v>
      </c>
      <c r="J105" s="142"/>
      <c r="K105" s="143"/>
      <c r="L105" s="119"/>
      <c r="M105" s="142"/>
      <c r="N105" s="143"/>
      <c r="O105" s="118"/>
      <c r="P105" s="142"/>
      <c r="Q105" s="143"/>
      <c r="R105" s="118"/>
    </row>
    <row r="106" spans="1:18" s="122" customFormat="1" ht="24">
      <c r="A106" s="112" t="s">
        <v>435</v>
      </c>
      <c r="B106" s="166" t="s">
        <v>436</v>
      </c>
      <c r="C106" s="113">
        <v>4500000</v>
      </c>
      <c r="D106" s="114">
        <f t="shared" si="14"/>
        <v>6400000</v>
      </c>
      <c r="E106" s="114">
        <f t="shared" si="14"/>
        <v>4663885</v>
      </c>
      <c r="F106" s="141">
        <f t="shared" si="10"/>
        <v>72.873203125</v>
      </c>
      <c r="G106" s="116">
        <f>4500000+1000000+900000</f>
        <v>6400000</v>
      </c>
      <c r="H106" s="117">
        <v>4663885</v>
      </c>
      <c r="I106" s="118">
        <f t="shared" si="12"/>
        <v>72.873203125</v>
      </c>
      <c r="J106" s="142"/>
      <c r="K106" s="143"/>
      <c r="L106" s="119"/>
      <c r="M106" s="142"/>
      <c r="N106" s="143"/>
      <c r="O106" s="118"/>
      <c r="P106" s="142"/>
      <c r="Q106" s="143"/>
      <c r="R106" s="118"/>
    </row>
    <row r="107" spans="1:18" ht="24.75" customHeight="1">
      <c r="A107" s="112" t="s">
        <v>441</v>
      </c>
      <c r="B107" s="166" t="s">
        <v>442</v>
      </c>
      <c r="C107" s="113">
        <v>100000</v>
      </c>
      <c r="D107" s="114">
        <f t="shared" si="14"/>
        <v>0</v>
      </c>
      <c r="E107" s="114">
        <f t="shared" si="14"/>
        <v>685</v>
      </c>
      <c r="F107" s="141" t="e">
        <f t="shared" si="10"/>
        <v>#DIV/0!</v>
      </c>
      <c r="G107" s="116">
        <f>100000-100000</f>
        <v>0</v>
      </c>
      <c r="H107" s="117">
        <v>685</v>
      </c>
      <c r="I107" s="118" t="e">
        <f t="shared" si="12"/>
        <v>#DIV/0!</v>
      </c>
      <c r="J107" s="142"/>
      <c r="K107" s="143"/>
      <c r="L107" s="119"/>
      <c r="M107" s="142"/>
      <c r="N107" s="143"/>
      <c r="O107" s="118"/>
      <c r="P107" s="142"/>
      <c r="Q107" s="143"/>
      <c r="R107" s="118"/>
    </row>
    <row r="108" spans="1:18" ht="43.5" customHeight="1">
      <c r="A108" s="145" t="s">
        <v>443</v>
      </c>
      <c r="B108" s="146" t="s">
        <v>444</v>
      </c>
      <c r="C108" s="147">
        <v>562118</v>
      </c>
      <c r="D108" s="114">
        <f t="shared" si="14"/>
        <v>562118</v>
      </c>
      <c r="E108" s="148">
        <f>H108+K108+N108+Q108</f>
        <v>278353</v>
      </c>
      <c r="F108" s="149">
        <f t="shared" si="10"/>
        <v>49.51860641359999</v>
      </c>
      <c r="G108" s="150">
        <v>562118</v>
      </c>
      <c r="H108" s="151">
        <v>278353</v>
      </c>
      <c r="I108" s="152">
        <f t="shared" si="12"/>
        <v>49.51860641359999</v>
      </c>
      <c r="J108" s="153"/>
      <c r="K108" s="154"/>
      <c r="L108" s="155"/>
      <c r="M108" s="153"/>
      <c r="N108" s="154"/>
      <c r="O108" s="152"/>
      <c r="P108" s="153"/>
      <c r="Q108" s="154"/>
      <c r="R108" s="152"/>
    </row>
    <row r="109" spans="1:18" ht="36.75" customHeight="1">
      <c r="A109" s="123" t="s">
        <v>445</v>
      </c>
      <c r="B109" s="124" t="s">
        <v>446</v>
      </c>
      <c r="C109" s="274">
        <f>SUM(C110:C113)</f>
        <v>4954000</v>
      </c>
      <c r="D109" s="128">
        <f>SUM(D110:D114)</f>
        <v>7812000</v>
      </c>
      <c r="E109" s="128">
        <f>SUM(E110:E114)</f>
        <v>6795624</v>
      </c>
      <c r="F109" s="105">
        <f t="shared" si="10"/>
        <v>86.98955453149001</v>
      </c>
      <c r="G109" s="127">
        <f>SUM(G110:G114)</f>
        <v>5462000</v>
      </c>
      <c r="H109" s="128">
        <f>SUM(H110:H114)</f>
        <v>4973215</v>
      </c>
      <c r="I109" s="129">
        <f t="shared" si="12"/>
        <v>91.0511717319663</v>
      </c>
      <c r="J109" s="127"/>
      <c r="K109" s="128"/>
      <c r="L109" s="109"/>
      <c r="M109" s="127">
        <f>SUM(M110:M113)</f>
        <v>2350000</v>
      </c>
      <c r="N109" s="128">
        <f>SUM(N110:N113)</f>
        <v>1822409</v>
      </c>
      <c r="O109" s="129">
        <f>N109/M109*100</f>
        <v>77.54931914893616</v>
      </c>
      <c r="P109" s="127"/>
      <c r="Q109" s="128"/>
      <c r="R109" s="129"/>
    </row>
    <row r="110" spans="1:18" ht="14.25" customHeight="1">
      <c r="A110" s="131" t="s">
        <v>447</v>
      </c>
      <c r="B110" s="225" t="s">
        <v>448</v>
      </c>
      <c r="C110" s="133">
        <v>3000000</v>
      </c>
      <c r="D110" s="134">
        <f aca="true" t="shared" si="15" ref="D110:E116">G110+J110+M110+P110</f>
        <v>3100000</v>
      </c>
      <c r="E110" s="134">
        <f t="shared" si="15"/>
        <v>2420711</v>
      </c>
      <c r="F110" s="135">
        <f t="shared" si="10"/>
        <v>78.08745161290322</v>
      </c>
      <c r="G110" s="136">
        <f>3000000+100000</f>
        <v>3100000</v>
      </c>
      <c r="H110" s="137">
        <v>2420711</v>
      </c>
      <c r="I110" s="138">
        <f t="shared" si="12"/>
        <v>78.08745161290322</v>
      </c>
      <c r="J110" s="136"/>
      <c r="K110" s="137"/>
      <c r="L110" s="139"/>
      <c r="M110" s="136"/>
      <c r="N110" s="137"/>
      <c r="O110" s="138"/>
      <c r="P110" s="136"/>
      <c r="Q110" s="137"/>
      <c r="R110" s="138"/>
    </row>
    <row r="111" spans="1:18" ht="26.25" customHeight="1">
      <c r="A111" s="112" t="s">
        <v>387</v>
      </c>
      <c r="B111" s="166" t="s">
        <v>388</v>
      </c>
      <c r="C111" s="113"/>
      <c r="D111" s="114">
        <f t="shared" si="15"/>
        <v>2300000</v>
      </c>
      <c r="E111" s="114">
        <f t="shared" si="15"/>
        <v>1772565</v>
      </c>
      <c r="F111" s="141">
        <f>E111/D111*100</f>
        <v>77.06804347826088</v>
      </c>
      <c r="G111" s="116"/>
      <c r="H111" s="117"/>
      <c r="I111" s="118"/>
      <c r="J111" s="116"/>
      <c r="K111" s="117"/>
      <c r="L111" s="119"/>
      <c r="M111" s="116">
        <v>2300000</v>
      </c>
      <c r="N111" s="117">
        <v>1772565</v>
      </c>
      <c r="O111" s="118">
        <f>N111/M111*100</f>
        <v>77.06804347826088</v>
      </c>
      <c r="P111" s="116"/>
      <c r="Q111" s="117"/>
      <c r="R111" s="118"/>
    </row>
    <row r="112" spans="1:18" s="122" customFormat="1" ht="21.75" customHeight="1">
      <c r="A112" s="145" t="s">
        <v>449</v>
      </c>
      <c r="B112" s="146" t="s">
        <v>450</v>
      </c>
      <c r="C112" s="147">
        <v>1800000</v>
      </c>
      <c r="D112" s="148">
        <f t="shared" si="15"/>
        <v>1800000</v>
      </c>
      <c r="E112" s="148">
        <f t="shared" si="15"/>
        <v>1963949</v>
      </c>
      <c r="F112" s="149">
        <f t="shared" si="10"/>
        <v>109.10827777777779</v>
      </c>
      <c r="G112" s="150">
        <v>1800000</v>
      </c>
      <c r="H112" s="151">
        <v>1963949</v>
      </c>
      <c r="I112" s="152">
        <f t="shared" si="12"/>
        <v>109.10827777777779</v>
      </c>
      <c r="J112" s="150"/>
      <c r="K112" s="151"/>
      <c r="L112" s="155"/>
      <c r="M112" s="150"/>
      <c r="N112" s="151"/>
      <c r="O112" s="152"/>
      <c r="P112" s="150"/>
      <c r="Q112" s="151"/>
      <c r="R112" s="152"/>
    </row>
    <row r="113" spans="1:18" s="122" customFormat="1" ht="72" customHeight="1">
      <c r="A113" s="112" t="s">
        <v>451</v>
      </c>
      <c r="B113" s="79" t="s">
        <v>452</v>
      </c>
      <c r="C113" s="113">
        <f>104000+50000</f>
        <v>154000</v>
      </c>
      <c r="D113" s="114">
        <f t="shared" si="15"/>
        <v>156000</v>
      </c>
      <c r="E113" s="114">
        <f t="shared" si="15"/>
        <v>154476</v>
      </c>
      <c r="F113" s="141">
        <f t="shared" si="10"/>
        <v>99.02307692307693</v>
      </c>
      <c r="G113" s="116">
        <f>104000+2000</f>
        <v>106000</v>
      </c>
      <c r="H113" s="143">
        <f>588555-H114</f>
        <v>104632</v>
      </c>
      <c r="I113" s="118">
        <f t="shared" si="12"/>
        <v>98.70943396226414</v>
      </c>
      <c r="J113" s="116"/>
      <c r="K113" s="117"/>
      <c r="L113" s="119"/>
      <c r="M113" s="116">
        <v>50000</v>
      </c>
      <c r="N113" s="117">
        <v>49844</v>
      </c>
      <c r="O113" s="118">
        <f>N113/M113*100</f>
        <v>99.688</v>
      </c>
      <c r="P113" s="116"/>
      <c r="Q113" s="117"/>
      <c r="R113" s="118"/>
    </row>
    <row r="114" spans="1:18" ht="59.25" customHeight="1">
      <c r="A114" s="145" t="s">
        <v>451</v>
      </c>
      <c r="B114" s="146" t="s">
        <v>453</v>
      </c>
      <c r="C114" s="147"/>
      <c r="D114" s="148">
        <f t="shared" si="15"/>
        <v>456000</v>
      </c>
      <c r="E114" s="148">
        <f t="shared" si="15"/>
        <v>483923</v>
      </c>
      <c r="F114" s="149">
        <f>E114/D114*100</f>
        <v>106.12346491228071</v>
      </c>
      <c r="G114" s="150">
        <v>456000</v>
      </c>
      <c r="H114" s="154">
        <f>53760+234893+195270</f>
        <v>483923</v>
      </c>
      <c r="I114" s="152">
        <f t="shared" si="12"/>
        <v>106.12346491228071</v>
      </c>
      <c r="J114" s="150"/>
      <c r="K114" s="151"/>
      <c r="L114" s="155"/>
      <c r="M114" s="150"/>
      <c r="N114" s="151"/>
      <c r="O114" s="152"/>
      <c r="P114" s="150"/>
      <c r="Q114" s="151"/>
      <c r="R114" s="152"/>
    </row>
    <row r="115" spans="1:18" s="275" customFormat="1" ht="18.75" customHeight="1">
      <c r="A115" s="101" t="s">
        <v>454</v>
      </c>
      <c r="B115" s="102" t="s">
        <v>455</v>
      </c>
      <c r="C115" s="103"/>
      <c r="D115" s="257">
        <f t="shared" si="15"/>
        <v>0</v>
      </c>
      <c r="E115" s="257">
        <f t="shared" si="15"/>
        <v>26004</v>
      </c>
      <c r="F115" s="180"/>
      <c r="G115" s="106">
        <f>G116</f>
        <v>0</v>
      </c>
      <c r="H115" s="107">
        <f>H116</f>
        <v>26004</v>
      </c>
      <c r="I115" s="108"/>
      <c r="J115" s="106"/>
      <c r="K115" s="107"/>
      <c r="L115" s="193"/>
      <c r="M115" s="106"/>
      <c r="N115" s="107"/>
      <c r="O115" s="108"/>
      <c r="P115" s="106"/>
      <c r="Q115" s="107"/>
      <c r="R115" s="108"/>
    </row>
    <row r="116" spans="1:18" ht="21.75" customHeight="1">
      <c r="A116" s="145" t="s">
        <v>456</v>
      </c>
      <c r="B116" s="146" t="s">
        <v>457</v>
      </c>
      <c r="C116" s="147"/>
      <c r="D116" s="276">
        <f t="shared" si="15"/>
        <v>0</v>
      </c>
      <c r="E116" s="148">
        <f t="shared" si="15"/>
        <v>26004</v>
      </c>
      <c r="F116" s="149"/>
      <c r="G116" s="150"/>
      <c r="H116" s="151">
        <v>26004</v>
      </c>
      <c r="I116" s="152"/>
      <c r="J116" s="150"/>
      <c r="K116" s="151"/>
      <c r="L116" s="155"/>
      <c r="M116" s="150"/>
      <c r="N116" s="151"/>
      <c r="O116" s="152"/>
      <c r="P116" s="150"/>
      <c r="Q116" s="151"/>
      <c r="R116" s="152"/>
    </row>
    <row r="117" spans="1:18" ht="48">
      <c r="A117" s="123" t="s">
        <v>458</v>
      </c>
      <c r="B117" s="124" t="s">
        <v>459</v>
      </c>
      <c r="C117" s="274">
        <f>SUM(C118:C119)</f>
        <v>72010628</v>
      </c>
      <c r="D117" s="128">
        <f>SUM(D118:D119)</f>
        <v>74110628</v>
      </c>
      <c r="E117" s="128">
        <f>SUM(E118:E119)</f>
        <v>54545138</v>
      </c>
      <c r="F117" s="105">
        <f t="shared" si="10"/>
        <v>73.59961650844464</v>
      </c>
      <c r="G117" s="127">
        <f>G118+G119</f>
        <v>74110628</v>
      </c>
      <c r="H117" s="128">
        <f>SUM(H118:H119)</f>
        <v>54545138</v>
      </c>
      <c r="I117" s="129">
        <f t="shared" si="12"/>
        <v>73.59961650844464</v>
      </c>
      <c r="J117" s="127"/>
      <c r="K117" s="128"/>
      <c r="L117" s="109"/>
      <c r="M117" s="127"/>
      <c r="N117" s="128"/>
      <c r="O117" s="129"/>
      <c r="P117" s="127"/>
      <c r="Q117" s="128"/>
      <c r="R117" s="129"/>
    </row>
    <row r="118" spans="1:18" s="122" customFormat="1" ht="24.75" customHeight="1">
      <c r="A118" s="131" t="s">
        <v>460</v>
      </c>
      <c r="B118" s="225" t="s">
        <v>461</v>
      </c>
      <c r="C118" s="133">
        <v>68660628</v>
      </c>
      <c r="D118" s="134">
        <f>G118+J118+M118+P118</f>
        <v>68660628</v>
      </c>
      <c r="E118" s="134">
        <f>H118+K118+N118+Q118</f>
        <v>51570897</v>
      </c>
      <c r="F118" s="135">
        <f t="shared" si="10"/>
        <v>75.10985335001597</v>
      </c>
      <c r="G118" s="263">
        <v>68660628</v>
      </c>
      <c r="H118" s="137">
        <v>51570897</v>
      </c>
      <c r="I118" s="138">
        <f t="shared" si="12"/>
        <v>75.10985335001597</v>
      </c>
      <c r="J118" s="136"/>
      <c r="K118" s="137"/>
      <c r="L118" s="139"/>
      <c r="M118" s="136"/>
      <c r="N118" s="137"/>
      <c r="O118" s="138"/>
      <c r="P118" s="136"/>
      <c r="Q118" s="137"/>
      <c r="R118" s="138"/>
    </row>
    <row r="119" spans="1:18" ht="24">
      <c r="A119" s="145" t="s">
        <v>462</v>
      </c>
      <c r="B119" s="236" t="s">
        <v>463</v>
      </c>
      <c r="C119" s="147">
        <v>3350000</v>
      </c>
      <c r="D119" s="148">
        <f>G119+J119+M119+P119</f>
        <v>5450000</v>
      </c>
      <c r="E119" s="148">
        <f>H119+K119+N119+Q119</f>
        <v>2974241</v>
      </c>
      <c r="F119" s="149">
        <f t="shared" si="10"/>
        <v>54.57322935779817</v>
      </c>
      <c r="G119" s="237">
        <f>3350000+2100000</f>
        <v>5450000</v>
      </c>
      <c r="H119" s="151">
        <v>2974241</v>
      </c>
      <c r="I119" s="152">
        <f t="shared" si="12"/>
        <v>54.57322935779817</v>
      </c>
      <c r="J119" s="150"/>
      <c r="K119" s="151"/>
      <c r="L119" s="155"/>
      <c r="M119" s="150"/>
      <c r="N119" s="151"/>
      <c r="O119" s="152"/>
      <c r="P119" s="150"/>
      <c r="Q119" s="151"/>
      <c r="R119" s="152"/>
    </row>
    <row r="120" spans="1:18" ht="48">
      <c r="A120" s="123" t="s">
        <v>464</v>
      </c>
      <c r="B120" s="124" t="s">
        <v>465</v>
      </c>
      <c r="C120" s="274">
        <f>SUM(C121:C122)</f>
        <v>19786693</v>
      </c>
      <c r="D120" s="128">
        <f>SUM(D121:D122)</f>
        <v>19786693</v>
      </c>
      <c r="E120" s="128">
        <f>SUM(E121:E122)</f>
        <v>15107223</v>
      </c>
      <c r="F120" s="105">
        <f t="shared" si="10"/>
        <v>76.35041894064865</v>
      </c>
      <c r="G120" s="127"/>
      <c r="H120" s="128"/>
      <c r="I120" s="213"/>
      <c r="J120" s="127"/>
      <c r="K120" s="128"/>
      <c r="L120" s="109"/>
      <c r="M120" s="127">
        <f>M121+M122</f>
        <v>19786693</v>
      </c>
      <c r="N120" s="128">
        <f>SUM(N121:N122)</f>
        <v>15107223</v>
      </c>
      <c r="O120" s="129">
        <f aca="true" t="shared" si="16" ref="O120:O130">N120/M120*100</f>
        <v>76.35041894064865</v>
      </c>
      <c r="P120" s="127"/>
      <c r="Q120" s="128"/>
      <c r="R120" s="129"/>
    </row>
    <row r="121" spans="1:18" s="122" customFormat="1" ht="21.75" customHeight="1">
      <c r="A121" s="277" t="s">
        <v>460</v>
      </c>
      <c r="B121" s="225" t="s">
        <v>466</v>
      </c>
      <c r="C121" s="133">
        <v>19286693</v>
      </c>
      <c r="D121" s="134">
        <f aca="true" t="shared" si="17" ref="D121:E127">G121+J121+M121+P121</f>
        <v>19286693</v>
      </c>
      <c r="E121" s="134">
        <f t="shared" si="17"/>
        <v>14486209</v>
      </c>
      <c r="F121" s="135">
        <f t="shared" si="10"/>
        <v>75.1098646097597</v>
      </c>
      <c r="G121" s="136"/>
      <c r="H121" s="137"/>
      <c r="I121" s="138"/>
      <c r="J121" s="136"/>
      <c r="K121" s="137"/>
      <c r="L121" s="139"/>
      <c r="M121" s="136">
        <v>19286693</v>
      </c>
      <c r="N121" s="137">
        <v>14486209</v>
      </c>
      <c r="O121" s="138">
        <f t="shared" si="16"/>
        <v>75.1098646097597</v>
      </c>
      <c r="P121" s="136"/>
      <c r="Q121" s="137"/>
      <c r="R121" s="138"/>
    </row>
    <row r="122" spans="1:18" ht="23.25" customHeight="1">
      <c r="A122" s="145" t="s">
        <v>462</v>
      </c>
      <c r="B122" s="236" t="s">
        <v>463</v>
      </c>
      <c r="C122" s="147">
        <v>500000</v>
      </c>
      <c r="D122" s="148">
        <f t="shared" si="17"/>
        <v>500000</v>
      </c>
      <c r="E122" s="148">
        <f t="shared" si="17"/>
        <v>621014</v>
      </c>
      <c r="F122" s="149">
        <f t="shared" si="10"/>
        <v>124.2028</v>
      </c>
      <c r="G122" s="150"/>
      <c r="H122" s="151"/>
      <c r="I122" s="152"/>
      <c r="J122" s="150"/>
      <c r="K122" s="151"/>
      <c r="L122" s="155"/>
      <c r="M122" s="150">
        <v>500000</v>
      </c>
      <c r="N122" s="151">
        <v>621014</v>
      </c>
      <c r="O122" s="152">
        <f t="shared" si="16"/>
        <v>124.2028</v>
      </c>
      <c r="P122" s="150"/>
      <c r="Q122" s="151"/>
      <c r="R122" s="152"/>
    </row>
    <row r="123" spans="1:18" s="275" customFormat="1" ht="15.75" customHeight="1">
      <c r="A123" s="123" t="s">
        <v>467</v>
      </c>
      <c r="B123" s="124" t="s">
        <v>468</v>
      </c>
      <c r="C123" s="125"/>
      <c r="D123" s="257">
        <f t="shared" si="17"/>
        <v>275200</v>
      </c>
      <c r="E123" s="197">
        <f t="shared" si="17"/>
        <v>35200</v>
      </c>
      <c r="F123" s="278">
        <f t="shared" si="10"/>
        <v>12.790697674418606</v>
      </c>
      <c r="G123" s="127">
        <f>G124</f>
        <v>275200</v>
      </c>
      <c r="H123" s="128">
        <f>H124</f>
        <v>35200</v>
      </c>
      <c r="I123" s="129">
        <f>H123/G123*100</f>
        <v>12.790697674418606</v>
      </c>
      <c r="J123" s="127"/>
      <c r="K123" s="128"/>
      <c r="L123" s="109"/>
      <c r="M123" s="127"/>
      <c r="N123" s="128"/>
      <c r="O123" s="129"/>
      <c r="P123" s="127"/>
      <c r="Q123" s="128"/>
      <c r="R123" s="129"/>
    </row>
    <row r="124" spans="1:18" ht="13.5" customHeight="1">
      <c r="A124" s="112" t="s">
        <v>469</v>
      </c>
      <c r="B124" s="166" t="s">
        <v>470</v>
      </c>
      <c r="C124" s="113"/>
      <c r="D124" s="148">
        <f t="shared" si="17"/>
        <v>275200</v>
      </c>
      <c r="E124" s="114">
        <f t="shared" si="17"/>
        <v>35200</v>
      </c>
      <c r="F124" s="149">
        <f t="shared" si="10"/>
        <v>12.790697674418606</v>
      </c>
      <c r="G124" s="116">
        <v>275200</v>
      </c>
      <c r="H124" s="117">
        <v>35200</v>
      </c>
      <c r="I124" s="279">
        <f>H124/G124*100</f>
        <v>12.790697674418606</v>
      </c>
      <c r="J124" s="116"/>
      <c r="K124" s="117"/>
      <c r="L124" s="119"/>
      <c r="M124" s="116"/>
      <c r="N124" s="117"/>
      <c r="O124" s="118"/>
      <c r="P124" s="116"/>
      <c r="Q124" s="117"/>
      <c r="R124" s="118"/>
    </row>
    <row r="125" spans="1:18" s="275" customFormat="1" ht="36" customHeight="1">
      <c r="A125" s="123" t="s">
        <v>471</v>
      </c>
      <c r="B125" s="124" t="s">
        <v>472</v>
      </c>
      <c r="C125" s="125">
        <f>SUM(C126:C127)</f>
        <v>87000</v>
      </c>
      <c r="D125" s="257">
        <f t="shared" si="17"/>
        <v>87000</v>
      </c>
      <c r="E125" s="197">
        <f t="shared" si="17"/>
        <v>135283</v>
      </c>
      <c r="F125" s="278">
        <f t="shared" si="10"/>
        <v>155.4977011494253</v>
      </c>
      <c r="G125" s="127">
        <f>SUM(G126:G127)</f>
        <v>87000</v>
      </c>
      <c r="H125" s="128">
        <f>SUM(H126:H127)</f>
        <v>135283</v>
      </c>
      <c r="I125" s="129">
        <f>H125/G125*100</f>
        <v>155.4977011494253</v>
      </c>
      <c r="J125" s="127"/>
      <c r="K125" s="128"/>
      <c r="L125" s="109"/>
      <c r="M125" s="127"/>
      <c r="N125" s="128"/>
      <c r="O125" s="129"/>
      <c r="P125" s="127"/>
      <c r="Q125" s="128"/>
      <c r="R125" s="129"/>
    </row>
    <row r="126" spans="1:18" s="122" customFormat="1" ht="33" customHeight="1">
      <c r="A126" s="206" t="s">
        <v>346</v>
      </c>
      <c r="B126" s="234" t="s">
        <v>473</v>
      </c>
      <c r="C126" s="208">
        <v>80000</v>
      </c>
      <c r="D126" s="209">
        <f t="shared" si="17"/>
        <v>80000</v>
      </c>
      <c r="E126" s="209">
        <f t="shared" si="17"/>
        <v>106109</v>
      </c>
      <c r="F126" s="232">
        <f t="shared" si="10"/>
        <v>132.63625000000002</v>
      </c>
      <c r="G126" s="211">
        <v>80000</v>
      </c>
      <c r="H126" s="212">
        <v>106109</v>
      </c>
      <c r="I126" s="213">
        <f>H126/G126*100</f>
        <v>132.63625000000002</v>
      </c>
      <c r="J126" s="211"/>
      <c r="K126" s="212"/>
      <c r="L126" s="214"/>
      <c r="M126" s="211"/>
      <c r="N126" s="212"/>
      <c r="O126" s="280"/>
      <c r="P126" s="211"/>
      <c r="Q126" s="212"/>
      <c r="R126" s="280"/>
    </row>
    <row r="127" spans="1:18" ht="15" customHeight="1" thickBot="1">
      <c r="A127" s="239" t="s">
        <v>322</v>
      </c>
      <c r="B127" s="240" t="s">
        <v>474</v>
      </c>
      <c r="C127" s="241">
        <v>7000</v>
      </c>
      <c r="D127" s="242">
        <f t="shared" si="17"/>
        <v>7000</v>
      </c>
      <c r="E127" s="242">
        <f t="shared" si="17"/>
        <v>29174</v>
      </c>
      <c r="F127" s="243">
        <f t="shared" si="10"/>
        <v>416.7714285714286</v>
      </c>
      <c r="G127" s="244">
        <v>7000</v>
      </c>
      <c r="H127" s="245">
        <v>29174</v>
      </c>
      <c r="I127" s="246">
        <f>H127/G127*100</f>
        <v>416.7714285714286</v>
      </c>
      <c r="J127" s="247"/>
      <c r="K127" s="248"/>
      <c r="L127" s="249"/>
      <c r="M127" s="247"/>
      <c r="N127" s="248"/>
      <c r="O127" s="246"/>
      <c r="P127" s="247"/>
      <c r="Q127" s="248"/>
      <c r="R127" s="246"/>
    </row>
    <row r="128" spans="1:18" ht="25.5" customHeight="1" thickBot="1" thickTop="1">
      <c r="A128" s="91" t="s">
        <v>475</v>
      </c>
      <c r="B128" s="190" t="s">
        <v>476</v>
      </c>
      <c r="C128" s="98">
        <f>C129+C133+C138+C140</f>
        <v>84602688</v>
      </c>
      <c r="D128" s="94">
        <f>G128+J128+M128+P128</f>
        <v>92651544</v>
      </c>
      <c r="E128" s="96">
        <f>E129+E133+E138+E140+E131</f>
        <v>78320136</v>
      </c>
      <c r="F128" s="226">
        <f t="shared" si="10"/>
        <v>84.53192749815372</v>
      </c>
      <c r="G128" s="98">
        <f>G129+G133+G138</f>
        <v>39796751</v>
      </c>
      <c r="H128" s="96">
        <f>H129+H133+H138</f>
        <v>33816130</v>
      </c>
      <c r="I128" s="97">
        <f t="shared" si="12"/>
        <v>84.97208729426178</v>
      </c>
      <c r="J128" s="98"/>
      <c r="K128" s="96"/>
      <c r="L128" s="99"/>
      <c r="M128" s="93">
        <f>M129+M131+M133+M138+M140</f>
        <v>52854793</v>
      </c>
      <c r="N128" s="96">
        <f>N129+N131+N133+N138+N140</f>
        <v>44504006</v>
      </c>
      <c r="O128" s="97">
        <f t="shared" si="16"/>
        <v>84.20051138976176</v>
      </c>
      <c r="P128" s="98"/>
      <c r="Q128" s="96"/>
      <c r="R128" s="97"/>
    </row>
    <row r="129" spans="1:18" ht="40.5" customHeight="1" thickTop="1">
      <c r="A129" s="101" t="s">
        <v>477</v>
      </c>
      <c r="B129" s="102" t="s">
        <v>478</v>
      </c>
      <c r="C129" s="191">
        <f>SUM(C130)</f>
        <v>78044009</v>
      </c>
      <c r="D129" s="107">
        <f>SUM(D130)</f>
        <v>84266606</v>
      </c>
      <c r="E129" s="107">
        <f>SUM(E130)</f>
        <v>71302506</v>
      </c>
      <c r="F129" s="281">
        <f t="shared" si="10"/>
        <v>84.61537658227269</v>
      </c>
      <c r="G129" s="106">
        <f>G130</f>
        <v>37840365</v>
      </c>
      <c r="H129" s="107">
        <f>H130</f>
        <v>32018767</v>
      </c>
      <c r="I129" s="282">
        <f t="shared" si="12"/>
        <v>84.61537567092707</v>
      </c>
      <c r="J129" s="106"/>
      <c r="K129" s="107"/>
      <c r="L129" s="193"/>
      <c r="M129" s="106">
        <f>M130</f>
        <v>46426241</v>
      </c>
      <c r="N129" s="107">
        <f>N130</f>
        <v>39283739</v>
      </c>
      <c r="O129" s="108">
        <f t="shared" si="16"/>
        <v>84.61537732507786</v>
      </c>
      <c r="P129" s="106"/>
      <c r="Q129" s="107"/>
      <c r="R129" s="108"/>
    </row>
    <row r="130" spans="1:18" ht="27" customHeight="1">
      <c r="A130" s="206" t="s">
        <v>479</v>
      </c>
      <c r="B130" s="234" t="s">
        <v>480</v>
      </c>
      <c r="C130" s="208">
        <f>36121645+41922364</f>
        <v>78044009</v>
      </c>
      <c r="D130" s="148">
        <f aca="true" t="shared" si="18" ref="D130:E132">G130+J130+M130+P130</f>
        <v>84266606</v>
      </c>
      <c r="E130" s="148">
        <f t="shared" si="18"/>
        <v>71302506</v>
      </c>
      <c r="F130" s="232">
        <f t="shared" si="10"/>
        <v>84.61537658227269</v>
      </c>
      <c r="G130" s="211">
        <v>37840365</v>
      </c>
      <c r="H130" s="212">
        <v>32018767</v>
      </c>
      <c r="I130" s="213">
        <f t="shared" si="12"/>
        <v>84.61537567092707</v>
      </c>
      <c r="J130" s="211"/>
      <c r="K130" s="212"/>
      <c r="L130" s="214"/>
      <c r="M130" s="211">
        <v>46426241</v>
      </c>
      <c r="N130" s="212">
        <v>39283739</v>
      </c>
      <c r="O130" s="213">
        <f t="shared" si="16"/>
        <v>84.61537732507786</v>
      </c>
      <c r="P130" s="211"/>
      <c r="Q130" s="212"/>
      <c r="R130" s="213"/>
    </row>
    <row r="131" spans="1:18" s="275" customFormat="1" ht="27" customHeight="1">
      <c r="A131" s="123" t="s">
        <v>481</v>
      </c>
      <c r="B131" s="124" t="s">
        <v>482</v>
      </c>
      <c r="C131" s="283"/>
      <c r="D131" s="157">
        <f t="shared" si="18"/>
        <v>1200000</v>
      </c>
      <c r="E131" s="157">
        <f t="shared" si="18"/>
        <v>1200000</v>
      </c>
      <c r="F131" s="105">
        <f t="shared" si="10"/>
        <v>100</v>
      </c>
      <c r="G131" s="127"/>
      <c r="H131" s="128"/>
      <c r="I131" s="129"/>
      <c r="J131" s="127"/>
      <c r="K131" s="128"/>
      <c r="L131" s="109"/>
      <c r="M131" s="127">
        <f>M132</f>
        <v>1200000</v>
      </c>
      <c r="N131" s="128">
        <f>N132</f>
        <v>1200000</v>
      </c>
      <c r="O131" s="129">
        <f>N131/M131*100</f>
        <v>100</v>
      </c>
      <c r="P131" s="127"/>
      <c r="Q131" s="128"/>
      <c r="R131" s="129"/>
    </row>
    <row r="132" spans="1:18" ht="83.25" customHeight="1">
      <c r="A132" s="206" t="s">
        <v>483</v>
      </c>
      <c r="B132" s="165" t="s">
        <v>484</v>
      </c>
      <c r="C132" s="284"/>
      <c r="D132" s="148">
        <f t="shared" si="18"/>
        <v>1200000</v>
      </c>
      <c r="E132" s="148">
        <f t="shared" si="18"/>
        <v>1200000</v>
      </c>
      <c r="F132" s="141">
        <f t="shared" si="10"/>
        <v>100</v>
      </c>
      <c r="G132" s="211"/>
      <c r="H132" s="212"/>
      <c r="I132" s="213"/>
      <c r="J132" s="211"/>
      <c r="K132" s="212"/>
      <c r="L132" s="214"/>
      <c r="M132" s="211">
        <v>1200000</v>
      </c>
      <c r="N132" s="212">
        <v>1200000</v>
      </c>
      <c r="O132" s="213">
        <f>N132/M132*100</f>
        <v>100</v>
      </c>
      <c r="P132" s="211"/>
      <c r="Q132" s="212"/>
      <c r="R132" s="213"/>
    </row>
    <row r="133" spans="1:18" ht="20.25" customHeight="1">
      <c r="A133" s="285" t="s">
        <v>485</v>
      </c>
      <c r="B133" s="124" t="s">
        <v>486</v>
      </c>
      <c r="C133" s="283">
        <f>SUM(C134:C136)</f>
        <v>1070500</v>
      </c>
      <c r="D133" s="104">
        <f>SUM(D134:D137)</f>
        <v>1696759</v>
      </c>
      <c r="E133" s="104">
        <f>SUM(E134:E137)</f>
        <v>1701498</v>
      </c>
      <c r="F133" s="105">
        <f t="shared" si="10"/>
        <v>100.27929717773709</v>
      </c>
      <c r="G133" s="127">
        <f>SUM(G134:G137)</f>
        <v>1377949</v>
      </c>
      <c r="H133" s="128">
        <f>SUM(H134:H137)</f>
        <v>1363536</v>
      </c>
      <c r="I133" s="129">
        <f t="shared" si="12"/>
        <v>98.9540251489714</v>
      </c>
      <c r="J133" s="233"/>
      <c r="K133" s="219"/>
      <c r="L133" s="214"/>
      <c r="M133" s="127">
        <f>SUM(M134:M137)</f>
        <v>318810</v>
      </c>
      <c r="N133" s="128">
        <f>SUM(N134:N137)</f>
        <v>337962</v>
      </c>
      <c r="O133" s="129">
        <f>N133/M133*100</f>
        <v>106.00733979486215</v>
      </c>
      <c r="P133" s="233"/>
      <c r="Q133" s="219"/>
      <c r="R133" s="213"/>
    </row>
    <row r="134" spans="1:18" s="122" customFormat="1" ht="33" customHeight="1">
      <c r="A134" s="112" t="s">
        <v>456</v>
      </c>
      <c r="B134" s="166" t="s">
        <v>457</v>
      </c>
      <c r="C134" s="113">
        <v>500000</v>
      </c>
      <c r="D134" s="114">
        <f aca="true" t="shared" si="19" ref="D134:E136">G134+J134+M134+P134</f>
        <v>600000</v>
      </c>
      <c r="E134" s="114">
        <f t="shared" si="19"/>
        <v>529081</v>
      </c>
      <c r="F134" s="141">
        <f t="shared" si="10"/>
        <v>88.18016666666666</v>
      </c>
      <c r="G134" s="116">
        <f>500000+100000</f>
        <v>600000</v>
      </c>
      <c r="H134" s="117">
        <v>529081</v>
      </c>
      <c r="I134" s="118">
        <f t="shared" si="12"/>
        <v>88.18016666666666</v>
      </c>
      <c r="J134" s="116"/>
      <c r="K134" s="117"/>
      <c r="L134" s="119"/>
      <c r="M134" s="116"/>
      <c r="N134" s="117"/>
      <c r="O134" s="118"/>
      <c r="P134" s="116"/>
      <c r="Q134" s="117"/>
      <c r="R134" s="118"/>
    </row>
    <row r="135" spans="1:18" s="122" customFormat="1" ht="14.25" customHeight="1">
      <c r="A135" s="112" t="s">
        <v>368</v>
      </c>
      <c r="B135" s="166" t="s">
        <v>369</v>
      </c>
      <c r="C135" s="113">
        <f>556300+100</f>
        <v>556400</v>
      </c>
      <c r="D135" s="114">
        <f t="shared" si="19"/>
        <v>786600</v>
      </c>
      <c r="E135" s="114">
        <f t="shared" si="19"/>
        <v>772732</v>
      </c>
      <c r="F135" s="141">
        <f t="shared" si="10"/>
        <v>98.2369692346809</v>
      </c>
      <c r="G135" s="116">
        <f>556300+7900+202000</f>
        <v>766200</v>
      </c>
      <c r="H135" s="117">
        <v>736836</v>
      </c>
      <c r="I135" s="118">
        <f t="shared" si="12"/>
        <v>96.16758026624902</v>
      </c>
      <c r="J135" s="116"/>
      <c r="K135" s="117"/>
      <c r="L135" s="119"/>
      <c r="M135" s="116">
        <f>100+7700+3200+5800+3600</f>
        <v>20400</v>
      </c>
      <c r="N135" s="117">
        <v>35896</v>
      </c>
      <c r="O135" s="118">
        <f>N135/M135*100</f>
        <v>175.96078431372547</v>
      </c>
      <c r="P135" s="116"/>
      <c r="Q135" s="117"/>
      <c r="R135" s="118"/>
    </row>
    <row r="136" spans="1:18" s="122" customFormat="1" ht="42" customHeight="1">
      <c r="A136" s="112" t="s">
        <v>322</v>
      </c>
      <c r="B136" s="166" t="s">
        <v>487</v>
      </c>
      <c r="C136" s="113">
        <f>7800+6300</f>
        <v>14100</v>
      </c>
      <c r="D136" s="114">
        <f t="shared" si="19"/>
        <v>310159</v>
      </c>
      <c r="E136" s="114">
        <f t="shared" si="19"/>
        <v>399685</v>
      </c>
      <c r="F136" s="141">
        <f t="shared" si="10"/>
        <v>128.86455011784278</v>
      </c>
      <c r="G136" s="116">
        <f>7950+3199+600</f>
        <v>11749</v>
      </c>
      <c r="H136" s="117">
        <v>97619</v>
      </c>
      <c r="I136" s="118">
        <f t="shared" si="12"/>
        <v>830.8707124010555</v>
      </c>
      <c r="J136" s="116"/>
      <c r="K136" s="117"/>
      <c r="L136" s="119"/>
      <c r="M136" s="116">
        <f>6300+292110</f>
        <v>298410</v>
      </c>
      <c r="N136" s="117">
        <v>302066</v>
      </c>
      <c r="O136" s="118">
        <f>N136/M136*100</f>
        <v>101.22516001474482</v>
      </c>
      <c r="P136" s="116"/>
      <c r="Q136" s="117"/>
      <c r="R136" s="118"/>
    </row>
    <row r="137" spans="1:18" s="122" customFormat="1" ht="54.75" customHeight="1">
      <c r="A137" s="145" t="s">
        <v>357</v>
      </c>
      <c r="B137" s="231" t="s">
        <v>488</v>
      </c>
      <c r="C137" s="147"/>
      <c r="D137" s="148">
        <f>G137+J137+M137+P137</f>
        <v>0</v>
      </c>
      <c r="E137" s="148">
        <f>H137+K137+N137+Q137</f>
        <v>0</v>
      </c>
      <c r="F137" s="141"/>
      <c r="G137" s="150"/>
      <c r="H137" s="151"/>
      <c r="I137" s="152"/>
      <c r="J137" s="150"/>
      <c r="K137" s="151"/>
      <c r="L137" s="155"/>
      <c r="M137" s="150"/>
      <c r="N137" s="151"/>
      <c r="O137" s="152"/>
      <c r="P137" s="150"/>
      <c r="Q137" s="151"/>
      <c r="R137" s="152"/>
    </row>
    <row r="138" spans="1:18" ht="25.5" customHeight="1">
      <c r="A138" s="123" t="s">
        <v>489</v>
      </c>
      <c r="B138" s="124" t="s">
        <v>490</v>
      </c>
      <c r="C138" s="125">
        <f>SUM(C139)</f>
        <v>578437</v>
      </c>
      <c r="D138" s="104">
        <f>D139</f>
        <v>578437</v>
      </c>
      <c r="E138" s="104">
        <f>E139</f>
        <v>433827</v>
      </c>
      <c r="F138" s="105">
        <f t="shared" si="10"/>
        <v>74.99987034024448</v>
      </c>
      <c r="G138" s="127">
        <f>G139</f>
        <v>578437</v>
      </c>
      <c r="H138" s="128">
        <f>H139</f>
        <v>433827</v>
      </c>
      <c r="I138" s="129">
        <f t="shared" si="12"/>
        <v>74.99987034024448</v>
      </c>
      <c r="J138" s="233"/>
      <c r="K138" s="219"/>
      <c r="L138" s="214"/>
      <c r="M138" s="221"/>
      <c r="N138" s="222"/>
      <c r="O138" s="213"/>
      <c r="P138" s="221"/>
      <c r="Q138" s="222"/>
      <c r="R138" s="213"/>
    </row>
    <row r="139" spans="1:18" ht="24">
      <c r="A139" s="206" t="s">
        <v>479</v>
      </c>
      <c r="B139" s="234" t="s">
        <v>480</v>
      </c>
      <c r="C139" s="208">
        <v>578437</v>
      </c>
      <c r="D139" s="209">
        <f>G139+J139+M139+P139</f>
        <v>578437</v>
      </c>
      <c r="E139" s="209">
        <f>H139+K139+N139+Q139</f>
        <v>433827</v>
      </c>
      <c r="F139" s="232">
        <f t="shared" si="10"/>
        <v>74.99987034024448</v>
      </c>
      <c r="G139" s="211">
        <v>578437</v>
      </c>
      <c r="H139" s="212">
        <v>433827</v>
      </c>
      <c r="I139" s="213">
        <f t="shared" si="12"/>
        <v>74.99987034024448</v>
      </c>
      <c r="J139" s="211"/>
      <c r="K139" s="212"/>
      <c r="L139" s="214"/>
      <c r="M139" s="211"/>
      <c r="N139" s="212"/>
      <c r="O139" s="213"/>
      <c r="P139" s="211"/>
      <c r="Q139" s="212"/>
      <c r="R139" s="213"/>
    </row>
    <row r="140" spans="1:18" ht="34.5" customHeight="1">
      <c r="A140" s="123" t="s">
        <v>491</v>
      </c>
      <c r="B140" s="124" t="s">
        <v>492</v>
      </c>
      <c r="C140" s="125">
        <f>C141</f>
        <v>4909742</v>
      </c>
      <c r="D140" s="104">
        <f>D141</f>
        <v>4909742</v>
      </c>
      <c r="E140" s="104">
        <f>E141</f>
        <v>3682305</v>
      </c>
      <c r="F140" s="105">
        <f t="shared" si="10"/>
        <v>74.99996944849649</v>
      </c>
      <c r="G140" s="127"/>
      <c r="H140" s="128"/>
      <c r="I140" s="213"/>
      <c r="J140" s="127"/>
      <c r="K140" s="128"/>
      <c r="L140" s="109"/>
      <c r="M140" s="127">
        <f>M141</f>
        <v>4909742</v>
      </c>
      <c r="N140" s="128">
        <f>N141</f>
        <v>3682305</v>
      </c>
      <c r="O140" s="129">
        <f>N140/M140*100</f>
        <v>74.99996944849649</v>
      </c>
      <c r="P140" s="127"/>
      <c r="Q140" s="128"/>
      <c r="R140" s="129"/>
    </row>
    <row r="141" spans="1:18" s="122" customFormat="1" ht="24" customHeight="1" thickBot="1">
      <c r="A141" s="131" t="s">
        <v>479</v>
      </c>
      <c r="B141" s="225" t="s">
        <v>480</v>
      </c>
      <c r="C141" s="133">
        <v>4909742</v>
      </c>
      <c r="D141" s="134">
        <f>G141+J141+M141+P141</f>
        <v>4909742</v>
      </c>
      <c r="E141" s="134">
        <f>H141+K141+N141+Q141</f>
        <v>3682305</v>
      </c>
      <c r="F141" s="135">
        <f t="shared" si="10"/>
        <v>74.99996944849649</v>
      </c>
      <c r="G141" s="286"/>
      <c r="H141" s="287"/>
      <c r="I141" s="138"/>
      <c r="J141" s="286"/>
      <c r="K141" s="287"/>
      <c r="L141" s="288"/>
      <c r="M141" s="136">
        <v>4909742</v>
      </c>
      <c r="N141" s="137">
        <v>3682305</v>
      </c>
      <c r="O141" s="138">
        <f>N141/M141*100</f>
        <v>74.99996944849649</v>
      </c>
      <c r="P141" s="286"/>
      <c r="Q141" s="287"/>
      <c r="R141" s="289"/>
    </row>
    <row r="142" spans="1:18" ht="27.75" customHeight="1" thickBot="1" thickTop="1">
      <c r="A142" s="91" t="s">
        <v>493</v>
      </c>
      <c r="B142" s="190" t="s">
        <v>494</v>
      </c>
      <c r="C142" s="94">
        <f>C143+C151+C156+C160+C163+C165+C172+C178+C180+C186</f>
        <v>1025900</v>
      </c>
      <c r="D142" s="94">
        <f>D143+D151+D156+D160+D163+D165+D172+D178+D180+D186</f>
        <v>2043361</v>
      </c>
      <c r="E142" s="94">
        <f>E143+E151+E156+E160+E163+E165+E172+E178+E180+E186</f>
        <v>1810571</v>
      </c>
      <c r="F142" s="226">
        <f aca="true" t="shared" si="20" ref="F142:F204">E142/D142*100</f>
        <v>88.60749520030969</v>
      </c>
      <c r="G142" s="94">
        <f>G143+G151+G156+G160+G163+G165+G172+G178+G180+G180+G186</f>
        <v>1396389</v>
      </c>
      <c r="H142" s="94">
        <f>H143+H151+H156+H160+H163+H165+H172+H178+H180+H186</f>
        <v>1255819</v>
      </c>
      <c r="I142" s="97">
        <f t="shared" si="12"/>
        <v>89.93332087262218</v>
      </c>
      <c r="J142" s="98"/>
      <c r="K142" s="96"/>
      <c r="L142" s="227"/>
      <c r="M142" s="98">
        <f>M151+M165+M172+M178+M180+M186</f>
        <v>695397</v>
      </c>
      <c r="N142" s="96">
        <f>N151+N165+N172+N178+N180+N186</f>
        <v>603177</v>
      </c>
      <c r="O142" s="97">
        <f>N142/M142*100</f>
        <v>86.73851051989007</v>
      </c>
      <c r="P142" s="98"/>
      <c r="Q142" s="96"/>
      <c r="R142" s="100"/>
    </row>
    <row r="143" spans="1:18" ht="18.75" customHeight="1" thickTop="1">
      <c r="A143" s="290" t="s">
        <v>495</v>
      </c>
      <c r="B143" s="291" t="s">
        <v>496</v>
      </c>
      <c r="C143" s="292">
        <f>SUM(C144:C150)</f>
        <v>315500</v>
      </c>
      <c r="D143" s="192">
        <f>SUM(D144:D150)</f>
        <v>755360</v>
      </c>
      <c r="E143" s="192">
        <f>SUM(E144:E150)</f>
        <v>633539</v>
      </c>
      <c r="F143" s="180">
        <f t="shared" si="20"/>
        <v>83.87245816564287</v>
      </c>
      <c r="G143" s="293">
        <f>SUM(G144:G150)</f>
        <v>755360</v>
      </c>
      <c r="H143" s="192">
        <f>SUM(H144:H150)</f>
        <v>633539</v>
      </c>
      <c r="I143" s="294">
        <f t="shared" si="12"/>
        <v>83.87245816564287</v>
      </c>
      <c r="J143" s="293"/>
      <c r="K143" s="192"/>
      <c r="L143" s="295"/>
      <c r="M143" s="293"/>
      <c r="N143" s="192"/>
      <c r="O143" s="296"/>
      <c r="P143" s="293"/>
      <c r="Q143" s="192"/>
      <c r="R143" s="296"/>
    </row>
    <row r="144" spans="1:18" s="122" customFormat="1" ht="36">
      <c r="A144" s="131" t="s">
        <v>346</v>
      </c>
      <c r="B144" s="225" t="s">
        <v>497</v>
      </c>
      <c r="C144" s="133">
        <v>4300</v>
      </c>
      <c r="D144" s="134">
        <f aca="true" t="shared" si="21" ref="D144:E150">G144+J144+M144+P144</f>
        <v>4300</v>
      </c>
      <c r="E144" s="134">
        <f t="shared" si="21"/>
        <v>2974</v>
      </c>
      <c r="F144" s="135">
        <f t="shared" si="20"/>
        <v>69.16279069767441</v>
      </c>
      <c r="G144" s="136">
        <v>4300</v>
      </c>
      <c r="H144" s="137">
        <v>2974</v>
      </c>
      <c r="I144" s="138">
        <f t="shared" si="12"/>
        <v>69.16279069767441</v>
      </c>
      <c r="J144" s="136"/>
      <c r="K144" s="137"/>
      <c r="L144" s="139"/>
      <c r="M144" s="136"/>
      <c r="N144" s="137"/>
      <c r="O144" s="140"/>
      <c r="P144" s="136"/>
      <c r="Q144" s="137"/>
      <c r="R144" s="140"/>
    </row>
    <row r="145" spans="1:18" s="122" customFormat="1" ht="59.25" customHeight="1">
      <c r="A145" s="112" t="s">
        <v>348</v>
      </c>
      <c r="B145" s="79" t="s">
        <v>349</v>
      </c>
      <c r="C145" s="113">
        <v>303400</v>
      </c>
      <c r="D145" s="114">
        <f t="shared" si="21"/>
        <v>492400</v>
      </c>
      <c r="E145" s="114">
        <f t="shared" si="21"/>
        <v>372797</v>
      </c>
      <c r="F145" s="141">
        <f t="shared" si="20"/>
        <v>75.71019496344435</v>
      </c>
      <c r="G145" s="116">
        <f>303400+112000+77000</f>
        <v>492400</v>
      </c>
      <c r="H145" s="117">
        <v>372797</v>
      </c>
      <c r="I145" s="118">
        <f t="shared" si="12"/>
        <v>75.71019496344435</v>
      </c>
      <c r="J145" s="116"/>
      <c r="K145" s="117"/>
      <c r="L145" s="119"/>
      <c r="M145" s="116"/>
      <c r="N145" s="117"/>
      <c r="O145" s="120"/>
      <c r="P145" s="116"/>
      <c r="Q145" s="117"/>
      <c r="R145" s="120"/>
    </row>
    <row r="146" spans="1:18" ht="14.25" customHeight="1">
      <c r="A146" s="112" t="s">
        <v>378</v>
      </c>
      <c r="B146" s="166" t="s">
        <v>379</v>
      </c>
      <c r="C146" s="113">
        <v>5000</v>
      </c>
      <c r="D146" s="114">
        <f t="shared" si="21"/>
        <v>10000</v>
      </c>
      <c r="E146" s="114">
        <f t="shared" si="21"/>
        <v>9700</v>
      </c>
      <c r="F146" s="141">
        <f t="shared" si="20"/>
        <v>97</v>
      </c>
      <c r="G146" s="116">
        <f>5000+2000+3000</f>
        <v>10000</v>
      </c>
      <c r="H146" s="117">
        <v>9700</v>
      </c>
      <c r="I146" s="118">
        <f t="shared" si="12"/>
        <v>97</v>
      </c>
      <c r="J146" s="116"/>
      <c r="K146" s="117"/>
      <c r="L146" s="119"/>
      <c r="M146" s="116"/>
      <c r="N146" s="117"/>
      <c r="O146" s="120"/>
      <c r="P146" s="116"/>
      <c r="Q146" s="117"/>
      <c r="R146" s="120"/>
    </row>
    <row r="147" spans="1:18" s="122" customFormat="1" ht="23.25" customHeight="1">
      <c r="A147" s="112" t="s">
        <v>320</v>
      </c>
      <c r="B147" s="297" t="s">
        <v>321</v>
      </c>
      <c r="C147" s="113"/>
      <c r="D147" s="114">
        <f t="shared" si="21"/>
        <v>1500</v>
      </c>
      <c r="E147" s="114">
        <f t="shared" si="21"/>
        <v>1485</v>
      </c>
      <c r="F147" s="141">
        <f t="shared" si="20"/>
        <v>99</v>
      </c>
      <c r="G147" s="116">
        <v>1500</v>
      </c>
      <c r="H147" s="117">
        <v>1485</v>
      </c>
      <c r="I147" s="118">
        <f t="shared" si="12"/>
        <v>99</v>
      </c>
      <c r="J147" s="116"/>
      <c r="K147" s="117"/>
      <c r="L147" s="119"/>
      <c r="M147" s="116"/>
      <c r="N147" s="117"/>
      <c r="O147" s="120"/>
      <c r="P147" s="116"/>
      <c r="Q147" s="117"/>
      <c r="R147" s="120"/>
    </row>
    <row r="148" spans="1:18" ht="14.25" customHeight="1">
      <c r="A148" s="112" t="s">
        <v>368</v>
      </c>
      <c r="B148" s="297" t="s">
        <v>412</v>
      </c>
      <c r="C148" s="113">
        <v>200</v>
      </c>
      <c r="D148" s="114">
        <f t="shared" si="21"/>
        <v>200</v>
      </c>
      <c r="E148" s="114">
        <f t="shared" si="21"/>
        <v>359</v>
      </c>
      <c r="F148" s="141">
        <f t="shared" si="20"/>
        <v>179.5</v>
      </c>
      <c r="G148" s="116">
        <v>200</v>
      </c>
      <c r="H148" s="117">
        <v>359</v>
      </c>
      <c r="I148" s="118">
        <f t="shared" si="12"/>
        <v>179.5</v>
      </c>
      <c r="J148" s="116"/>
      <c r="K148" s="117"/>
      <c r="L148" s="119"/>
      <c r="M148" s="116"/>
      <c r="N148" s="117"/>
      <c r="O148" s="120"/>
      <c r="P148" s="116"/>
      <c r="Q148" s="117"/>
      <c r="R148" s="120"/>
    </row>
    <row r="149" spans="1:18" s="122" customFormat="1" ht="14.25" customHeight="1">
      <c r="A149" s="112" t="s">
        <v>322</v>
      </c>
      <c r="B149" s="166" t="s">
        <v>323</v>
      </c>
      <c r="C149" s="113">
        <v>2600</v>
      </c>
      <c r="D149" s="114">
        <f t="shared" si="21"/>
        <v>3500</v>
      </c>
      <c r="E149" s="114">
        <f t="shared" si="21"/>
        <v>2764</v>
      </c>
      <c r="F149" s="141">
        <f t="shared" si="20"/>
        <v>78.97142857142858</v>
      </c>
      <c r="G149" s="116">
        <f>2600+900</f>
        <v>3500</v>
      </c>
      <c r="H149" s="117">
        <v>2764</v>
      </c>
      <c r="I149" s="118">
        <f t="shared" si="12"/>
        <v>78.97142857142858</v>
      </c>
      <c r="J149" s="116"/>
      <c r="K149" s="117"/>
      <c r="L149" s="119"/>
      <c r="M149" s="116"/>
      <c r="N149" s="117"/>
      <c r="O149" s="120"/>
      <c r="P149" s="116"/>
      <c r="Q149" s="117"/>
      <c r="R149" s="120"/>
    </row>
    <row r="150" spans="1:18" ht="60">
      <c r="A150" s="112" t="s">
        <v>498</v>
      </c>
      <c r="B150" s="166" t="s">
        <v>499</v>
      </c>
      <c r="C150" s="113"/>
      <c r="D150" s="114">
        <f t="shared" si="21"/>
        <v>243460</v>
      </c>
      <c r="E150" s="114">
        <f t="shared" si="21"/>
        <v>243460</v>
      </c>
      <c r="F150" s="141">
        <f>E150/D150*100</f>
        <v>100</v>
      </c>
      <c r="G150" s="116">
        <v>243460</v>
      </c>
      <c r="H150" s="117">
        <v>243460</v>
      </c>
      <c r="I150" s="118">
        <f>H150/G150*100</f>
        <v>100</v>
      </c>
      <c r="J150" s="116"/>
      <c r="K150" s="117"/>
      <c r="L150" s="119"/>
      <c r="M150" s="116"/>
      <c r="N150" s="117"/>
      <c r="O150" s="120"/>
      <c r="P150" s="116"/>
      <c r="Q150" s="117"/>
      <c r="R150" s="120"/>
    </row>
    <row r="151" spans="1:18" ht="24">
      <c r="A151" s="123" t="s">
        <v>500</v>
      </c>
      <c r="B151" s="124" t="s">
        <v>501</v>
      </c>
      <c r="C151" s="110">
        <f>SUM(C152:C155)</f>
        <v>2300</v>
      </c>
      <c r="D151" s="104">
        <f>SUM(D152:D155)</f>
        <v>3790</v>
      </c>
      <c r="E151" s="104">
        <f>SUM(E152:E155)</f>
        <v>5219</v>
      </c>
      <c r="F151" s="105">
        <f t="shared" si="20"/>
        <v>137.70448548812666</v>
      </c>
      <c r="G151" s="127"/>
      <c r="H151" s="128"/>
      <c r="I151" s="213"/>
      <c r="J151" s="233"/>
      <c r="K151" s="219"/>
      <c r="L151" s="214"/>
      <c r="M151" s="110">
        <f>SUM(M152:M155)</f>
        <v>3790</v>
      </c>
      <c r="N151" s="104">
        <f>SUM(N152:N155)</f>
        <v>5219</v>
      </c>
      <c r="O151" s="129">
        <f>N151/M151*100</f>
        <v>137.70448548812666</v>
      </c>
      <c r="P151" s="221"/>
      <c r="Q151" s="222"/>
      <c r="R151" s="298"/>
    </row>
    <row r="152" spans="1:18" ht="15" customHeight="1">
      <c r="A152" s="131" t="s">
        <v>346</v>
      </c>
      <c r="B152" s="225" t="s">
        <v>502</v>
      </c>
      <c r="C152" s="133">
        <v>100</v>
      </c>
      <c r="D152" s="134">
        <f aca="true" t="shared" si="22" ref="D152:E155">G152+J152+M152+P152</f>
        <v>100</v>
      </c>
      <c r="E152" s="134">
        <f t="shared" si="22"/>
        <v>189</v>
      </c>
      <c r="F152" s="135">
        <f t="shared" si="20"/>
        <v>189</v>
      </c>
      <c r="G152" s="136"/>
      <c r="H152" s="137"/>
      <c r="I152" s="138"/>
      <c r="J152" s="136"/>
      <c r="K152" s="137"/>
      <c r="L152" s="139"/>
      <c r="M152" s="136">
        <f>100</f>
        <v>100</v>
      </c>
      <c r="N152" s="137">
        <v>189</v>
      </c>
      <c r="O152" s="138">
        <f>N152/M152*100</f>
        <v>189</v>
      </c>
      <c r="P152" s="136"/>
      <c r="Q152" s="137"/>
      <c r="R152" s="140"/>
    </row>
    <row r="153" spans="1:18" ht="57" customHeight="1">
      <c r="A153" s="112" t="s">
        <v>348</v>
      </c>
      <c r="B153" s="79" t="s">
        <v>349</v>
      </c>
      <c r="C153" s="113">
        <v>2200</v>
      </c>
      <c r="D153" s="114">
        <f t="shared" si="22"/>
        <v>2200</v>
      </c>
      <c r="E153" s="114">
        <f t="shared" si="22"/>
        <v>3557</v>
      </c>
      <c r="F153" s="141">
        <f t="shared" si="20"/>
        <v>161.68181818181816</v>
      </c>
      <c r="G153" s="116"/>
      <c r="H153" s="117"/>
      <c r="I153" s="118"/>
      <c r="J153" s="116"/>
      <c r="K153" s="117"/>
      <c r="L153" s="119"/>
      <c r="M153" s="116">
        <v>2200</v>
      </c>
      <c r="N153" s="117">
        <v>3557</v>
      </c>
      <c r="O153" s="118">
        <f>N153/M153*100</f>
        <v>161.68181818181816</v>
      </c>
      <c r="P153" s="116"/>
      <c r="Q153" s="117"/>
      <c r="R153" s="120"/>
    </row>
    <row r="154" spans="1:18" ht="14.25" customHeight="1">
      <c r="A154" s="112" t="s">
        <v>378</v>
      </c>
      <c r="B154" s="166" t="s">
        <v>379</v>
      </c>
      <c r="C154" s="113"/>
      <c r="D154" s="114">
        <f>G154+J154+M154+P154</f>
        <v>800</v>
      </c>
      <c r="E154" s="114">
        <f>H154+K154+N154+Q154</f>
        <v>786</v>
      </c>
      <c r="F154" s="141">
        <f t="shared" si="20"/>
        <v>98.25</v>
      </c>
      <c r="G154" s="116"/>
      <c r="H154" s="117"/>
      <c r="I154" s="118"/>
      <c r="J154" s="116"/>
      <c r="K154" s="117"/>
      <c r="L154" s="119"/>
      <c r="M154" s="116">
        <v>800</v>
      </c>
      <c r="N154" s="117">
        <v>786</v>
      </c>
      <c r="O154" s="118">
        <f>N154/M154*100</f>
        <v>98.25</v>
      </c>
      <c r="P154" s="116"/>
      <c r="Q154" s="117"/>
      <c r="R154" s="120"/>
    </row>
    <row r="155" spans="1:18" ht="16.5" customHeight="1">
      <c r="A155" s="145" t="s">
        <v>322</v>
      </c>
      <c r="B155" s="146" t="s">
        <v>323</v>
      </c>
      <c r="C155" s="147"/>
      <c r="D155" s="148">
        <f t="shared" si="22"/>
        <v>690</v>
      </c>
      <c r="E155" s="148">
        <f t="shared" si="22"/>
        <v>687</v>
      </c>
      <c r="F155" s="141">
        <f t="shared" si="20"/>
        <v>99.56521739130434</v>
      </c>
      <c r="G155" s="150"/>
      <c r="H155" s="151"/>
      <c r="I155" s="152"/>
      <c r="J155" s="150"/>
      <c r="K155" s="151"/>
      <c r="L155" s="155"/>
      <c r="M155" s="150">
        <v>690</v>
      </c>
      <c r="N155" s="151">
        <v>687</v>
      </c>
      <c r="O155" s="118">
        <f>N155/M155*100</f>
        <v>99.56521739130434</v>
      </c>
      <c r="P155" s="150"/>
      <c r="Q155" s="151"/>
      <c r="R155" s="299"/>
    </row>
    <row r="156" spans="1:18" ht="13.5" customHeight="1">
      <c r="A156" s="300" t="s">
        <v>503</v>
      </c>
      <c r="B156" s="301" t="s">
        <v>504</v>
      </c>
      <c r="C156" s="302">
        <f>SUM(C157:C159)</f>
        <v>76700</v>
      </c>
      <c r="D156" s="197">
        <f>SUM(D157:D159)</f>
        <v>76700</v>
      </c>
      <c r="E156" s="197">
        <f>SUM(E157:E159)</f>
        <v>90732</v>
      </c>
      <c r="F156" s="105">
        <f t="shared" si="20"/>
        <v>118.29465449804432</v>
      </c>
      <c r="G156" s="303">
        <f>SUM(G157:G159)</f>
        <v>76700</v>
      </c>
      <c r="H156" s="222">
        <f>SUM(H157:H159)</f>
        <v>90732</v>
      </c>
      <c r="I156" s="129">
        <f aca="true" t="shared" si="23" ref="I156:I162">H156/G156*100</f>
        <v>118.29465449804432</v>
      </c>
      <c r="J156" s="221"/>
      <c r="K156" s="222"/>
      <c r="L156" s="304"/>
      <c r="M156" s="221"/>
      <c r="N156" s="222"/>
      <c r="O156" s="305"/>
      <c r="P156" s="221"/>
      <c r="Q156" s="222"/>
      <c r="R156" s="306"/>
    </row>
    <row r="157" spans="1:18" s="122" customFormat="1" ht="48.75" customHeight="1">
      <c r="A157" s="131" t="s">
        <v>443</v>
      </c>
      <c r="B157" s="132" t="s">
        <v>505</v>
      </c>
      <c r="C157" s="133"/>
      <c r="D157" s="134">
        <f aca="true" t="shared" si="24" ref="D157:E159">G157+J157+M157+P157</f>
        <v>0</v>
      </c>
      <c r="E157" s="134">
        <f t="shared" si="24"/>
        <v>0</v>
      </c>
      <c r="F157" s="135"/>
      <c r="G157" s="263"/>
      <c r="H157" s="137"/>
      <c r="I157" s="138"/>
      <c r="J157" s="136"/>
      <c r="K157" s="137"/>
      <c r="L157" s="139"/>
      <c r="M157" s="136"/>
      <c r="N157" s="137"/>
      <c r="O157" s="138"/>
      <c r="P157" s="136"/>
      <c r="Q157" s="137"/>
      <c r="R157" s="140"/>
    </row>
    <row r="158" spans="1:18" ht="58.5" customHeight="1">
      <c r="A158" s="112" t="s">
        <v>348</v>
      </c>
      <c r="B158" s="79" t="s">
        <v>349</v>
      </c>
      <c r="C158" s="113">
        <v>76700</v>
      </c>
      <c r="D158" s="114">
        <f t="shared" si="24"/>
        <v>76700</v>
      </c>
      <c r="E158" s="114">
        <f t="shared" si="24"/>
        <v>52144</v>
      </c>
      <c r="F158" s="141">
        <f>E158/D158*100</f>
        <v>67.98435462842242</v>
      </c>
      <c r="G158" s="235">
        <v>76700</v>
      </c>
      <c r="H158" s="117">
        <v>52144</v>
      </c>
      <c r="I158" s="118">
        <f>H158/G158*100</f>
        <v>67.98435462842242</v>
      </c>
      <c r="J158" s="116"/>
      <c r="K158" s="117"/>
      <c r="L158" s="119"/>
      <c r="M158" s="116"/>
      <c r="N158" s="117"/>
      <c r="O158" s="118"/>
      <c r="P158" s="116"/>
      <c r="Q158" s="117"/>
      <c r="R158" s="120"/>
    </row>
    <row r="159" spans="1:18" ht="36" customHeight="1">
      <c r="A159" s="145" t="s">
        <v>322</v>
      </c>
      <c r="B159" s="236" t="s">
        <v>506</v>
      </c>
      <c r="C159" s="147"/>
      <c r="D159" s="148">
        <f t="shared" si="24"/>
        <v>0</v>
      </c>
      <c r="E159" s="148">
        <f t="shared" si="24"/>
        <v>38588</v>
      </c>
      <c r="F159" s="149"/>
      <c r="G159" s="237"/>
      <c r="H159" s="151">
        <v>38588</v>
      </c>
      <c r="I159" s="152"/>
      <c r="J159" s="150"/>
      <c r="K159" s="151"/>
      <c r="L159" s="155"/>
      <c r="M159" s="150"/>
      <c r="N159" s="151"/>
      <c r="O159" s="152"/>
      <c r="P159" s="150"/>
      <c r="Q159" s="151"/>
      <c r="R159" s="299"/>
    </row>
    <row r="160" spans="1:18" ht="18" customHeight="1">
      <c r="A160" s="123" t="s">
        <v>507</v>
      </c>
      <c r="B160" s="124" t="s">
        <v>508</v>
      </c>
      <c r="C160" s="274">
        <f>SUM(C161:C162)</f>
        <v>82000</v>
      </c>
      <c r="D160" s="128">
        <f>SUM(D161:D162)</f>
        <v>196600</v>
      </c>
      <c r="E160" s="128">
        <f>SUM(E161:E162)</f>
        <v>131797</v>
      </c>
      <c r="F160" s="180">
        <f t="shared" si="20"/>
        <v>67.0381485249237</v>
      </c>
      <c r="G160" s="106">
        <f>SUM(G161:G162)</f>
        <v>196600</v>
      </c>
      <c r="H160" s="107">
        <f>SUM(H161:H162)</f>
        <v>131797</v>
      </c>
      <c r="I160" s="108">
        <f t="shared" si="23"/>
        <v>67.0381485249237</v>
      </c>
      <c r="J160" s="127"/>
      <c r="K160" s="128"/>
      <c r="L160" s="109"/>
      <c r="M160" s="127"/>
      <c r="N160" s="128"/>
      <c r="O160" s="130"/>
      <c r="P160" s="127"/>
      <c r="Q160" s="128"/>
      <c r="R160" s="130"/>
    </row>
    <row r="161" spans="1:18" s="122" customFormat="1" ht="25.5" customHeight="1">
      <c r="A161" s="131" t="s">
        <v>346</v>
      </c>
      <c r="B161" s="225" t="s">
        <v>497</v>
      </c>
      <c r="C161" s="133">
        <v>1500</v>
      </c>
      <c r="D161" s="134">
        <f>G161+J161+M161+P161</f>
        <v>1500</v>
      </c>
      <c r="E161" s="134">
        <f>H161+K161+N161+Q161</f>
        <v>1568</v>
      </c>
      <c r="F161" s="135">
        <f t="shared" si="20"/>
        <v>104.53333333333332</v>
      </c>
      <c r="G161" s="136">
        <v>1500</v>
      </c>
      <c r="H161" s="137">
        <v>1568</v>
      </c>
      <c r="I161" s="138">
        <f t="shared" si="23"/>
        <v>104.53333333333332</v>
      </c>
      <c r="J161" s="136"/>
      <c r="K161" s="137"/>
      <c r="L161" s="139"/>
      <c r="M161" s="136"/>
      <c r="N161" s="137"/>
      <c r="O161" s="138"/>
      <c r="P161" s="136"/>
      <c r="Q161" s="137"/>
      <c r="R161" s="140"/>
    </row>
    <row r="162" spans="1:18" ht="59.25" customHeight="1">
      <c r="A162" s="145" t="s">
        <v>348</v>
      </c>
      <c r="B162" s="146" t="s">
        <v>349</v>
      </c>
      <c r="C162" s="147">
        <v>80500</v>
      </c>
      <c r="D162" s="148">
        <f>G162+J162+M162+P162</f>
        <v>195100</v>
      </c>
      <c r="E162" s="148">
        <f>H162+K162+N162+Q162</f>
        <v>130229</v>
      </c>
      <c r="F162" s="149">
        <f t="shared" si="20"/>
        <v>66.74987186058432</v>
      </c>
      <c r="G162" s="150">
        <f>80500+69900+44700</f>
        <v>195100</v>
      </c>
      <c r="H162" s="151">
        <v>130229</v>
      </c>
      <c r="I162" s="152">
        <f t="shared" si="23"/>
        <v>66.74987186058432</v>
      </c>
      <c r="J162" s="150"/>
      <c r="K162" s="151"/>
      <c r="L162" s="155"/>
      <c r="M162" s="150"/>
      <c r="N162" s="151"/>
      <c r="O162" s="152"/>
      <c r="P162" s="150"/>
      <c r="Q162" s="151"/>
      <c r="R162" s="299"/>
    </row>
    <row r="163" spans="1:18" ht="37.5" customHeight="1">
      <c r="A163" s="123" t="s">
        <v>509</v>
      </c>
      <c r="B163" s="124" t="s">
        <v>510</v>
      </c>
      <c r="C163" s="274">
        <f>C164</f>
        <v>0</v>
      </c>
      <c r="D163" s="128">
        <f>D164</f>
        <v>14400</v>
      </c>
      <c r="E163" s="128">
        <f>E164</f>
        <v>11270</v>
      </c>
      <c r="F163" s="180">
        <f>E163/D163*100</f>
        <v>78.26388888888889</v>
      </c>
      <c r="G163" s="106">
        <f>SUM(G164:G165)</f>
        <v>14400</v>
      </c>
      <c r="H163" s="107">
        <f>SUM(H164:H165)</f>
        <v>11270</v>
      </c>
      <c r="I163" s="108">
        <f>H163/G163*100</f>
        <v>78.26388888888889</v>
      </c>
      <c r="J163" s="127"/>
      <c r="K163" s="128"/>
      <c r="L163" s="109"/>
      <c r="M163" s="127"/>
      <c r="N163" s="128"/>
      <c r="O163" s="130"/>
      <c r="P163" s="127"/>
      <c r="Q163" s="128"/>
      <c r="R163" s="130"/>
    </row>
    <row r="164" spans="1:18" ht="15.75" customHeight="1">
      <c r="A164" s="112" t="s">
        <v>378</v>
      </c>
      <c r="B164" s="166" t="s">
        <v>379</v>
      </c>
      <c r="C164" s="113"/>
      <c r="D164" s="114">
        <f>G164+J164+M164+P164</f>
        <v>14400</v>
      </c>
      <c r="E164" s="114">
        <f>H164+K164+N164+Q164</f>
        <v>11270</v>
      </c>
      <c r="F164" s="141">
        <f>E164/D164*100</f>
        <v>78.26388888888889</v>
      </c>
      <c r="G164" s="116">
        <v>14400</v>
      </c>
      <c r="H164" s="117">
        <v>11270</v>
      </c>
      <c r="I164" s="118">
        <f>H164/G164*100</f>
        <v>78.26388888888889</v>
      </c>
      <c r="J164" s="116"/>
      <c r="K164" s="117"/>
      <c r="L164" s="119"/>
      <c r="M164" s="116"/>
      <c r="N164" s="117"/>
      <c r="O164" s="118"/>
      <c r="P164" s="116"/>
      <c r="Q164" s="117"/>
      <c r="R164" s="120"/>
    </row>
    <row r="165" spans="1:18" ht="19.5" customHeight="1">
      <c r="A165" s="123" t="s">
        <v>511</v>
      </c>
      <c r="B165" s="124" t="s">
        <v>512</v>
      </c>
      <c r="C165" s="125">
        <f>SUM(C166:C171)</f>
        <v>122600</v>
      </c>
      <c r="D165" s="104">
        <f>SUM(D166:D171)</f>
        <v>211500</v>
      </c>
      <c r="E165" s="104">
        <f>SUM(E166:E171)</f>
        <v>210608</v>
      </c>
      <c r="F165" s="105">
        <f t="shared" si="20"/>
        <v>99.57825059101654</v>
      </c>
      <c r="G165" s="127"/>
      <c r="H165" s="128"/>
      <c r="I165" s="213"/>
      <c r="J165" s="233"/>
      <c r="K165" s="219"/>
      <c r="L165" s="214"/>
      <c r="M165" s="221">
        <f>SUM(M166:M171)</f>
        <v>211500</v>
      </c>
      <c r="N165" s="222">
        <f>SUM(N166:N171)</f>
        <v>210608</v>
      </c>
      <c r="O165" s="129">
        <f>N165/M165*100</f>
        <v>99.57825059101654</v>
      </c>
      <c r="P165" s="221"/>
      <c r="Q165" s="222"/>
      <c r="R165" s="298"/>
    </row>
    <row r="166" spans="1:18" ht="36">
      <c r="A166" s="131" t="s">
        <v>346</v>
      </c>
      <c r="B166" s="225" t="s">
        <v>497</v>
      </c>
      <c r="C166" s="133">
        <v>2800</v>
      </c>
      <c r="D166" s="134">
        <f aca="true" t="shared" si="25" ref="D166:E171">G166+J166+M166+P166</f>
        <v>3100</v>
      </c>
      <c r="E166" s="134">
        <f t="shared" si="25"/>
        <v>2983</v>
      </c>
      <c r="F166" s="135">
        <f t="shared" si="20"/>
        <v>96.22580645161291</v>
      </c>
      <c r="G166" s="136"/>
      <c r="H166" s="137"/>
      <c r="I166" s="138"/>
      <c r="J166" s="136"/>
      <c r="K166" s="137"/>
      <c r="L166" s="139"/>
      <c r="M166" s="136">
        <f>2800+300</f>
        <v>3100</v>
      </c>
      <c r="N166" s="137">
        <v>2983</v>
      </c>
      <c r="O166" s="138">
        <f>N166/M166*100</f>
        <v>96.22580645161291</v>
      </c>
      <c r="P166" s="136"/>
      <c r="Q166" s="137"/>
      <c r="R166" s="140"/>
    </row>
    <row r="167" spans="1:18" ht="68.25" customHeight="1">
      <c r="A167" s="112" t="s">
        <v>348</v>
      </c>
      <c r="B167" s="166" t="s">
        <v>349</v>
      </c>
      <c r="C167" s="113">
        <v>111800</v>
      </c>
      <c r="D167" s="114">
        <f t="shared" si="25"/>
        <v>202400</v>
      </c>
      <c r="E167" s="114">
        <f t="shared" si="25"/>
        <v>202177</v>
      </c>
      <c r="F167" s="141">
        <f t="shared" si="20"/>
        <v>99.88982213438734</v>
      </c>
      <c r="G167" s="116"/>
      <c r="H167" s="117"/>
      <c r="I167" s="118"/>
      <c r="J167" s="116"/>
      <c r="K167" s="117"/>
      <c r="L167" s="119"/>
      <c r="M167" s="116">
        <f>111800+50000+26600+14000</f>
        <v>202400</v>
      </c>
      <c r="N167" s="117">
        <v>202177</v>
      </c>
      <c r="O167" s="120">
        <f>N167/M167*100</f>
        <v>99.88982213438734</v>
      </c>
      <c r="P167" s="116"/>
      <c r="Q167" s="117"/>
      <c r="R167" s="118"/>
    </row>
    <row r="168" spans="1:18" ht="13.5" customHeight="1">
      <c r="A168" s="145" t="s">
        <v>378</v>
      </c>
      <c r="B168" s="236" t="s">
        <v>379</v>
      </c>
      <c r="C168" s="147">
        <v>8000</v>
      </c>
      <c r="D168" s="148">
        <f t="shared" si="25"/>
        <v>5000</v>
      </c>
      <c r="E168" s="148">
        <f t="shared" si="25"/>
        <v>3406</v>
      </c>
      <c r="F168" s="149">
        <f t="shared" si="20"/>
        <v>68.12</v>
      </c>
      <c r="G168" s="150"/>
      <c r="H168" s="151"/>
      <c r="I168" s="152"/>
      <c r="J168" s="150"/>
      <c r="K168" s="151"/>
      <c r="L168" s="155"/>
      <c r="M168" s="150">
        <f>8000-3000</f>
        <v>5000</v>
      </c>
      <c r="N168" s="151">
        <v>3406</v>
      </c>
      <c r="O168" s="152">
        <f>N168/M168*100</f>
        <v>68.12</v>
      </c>
      <c r="P168" s="150"/>
      <c r="Q168" s="151"/>
      <c r="R168" s="299"/>
    </row>
    <row r="169" spans="1:19" ht="23.25" customHeight="1">
      <c r="A169" s="131" t="s">
        <v>320</v>
      </c>
      <c r="B169" s="225" t="s">
        <v>321</v>
      </c>
      <c r="C169" s="133"/>
      <c r="D169" s="134">
        <f t="shared" si="25"/>
        <v>100</v>
      </c>
      <c r="E169" s="134">
        <f t="shared" si="25"/>
        <v>599</v>
      </c>
      <c r="F169" s="135">
        <f t="shared" si="20"/>
        <v>599</v>
      </c>
      <c r="G169" s="136"/>
      <c r="H169" s="137"/>
      <c r="I169" s="138"/>
      <c r="J169" s="136"/>
      <c r="K169" s="137"/>
      <c r="L169" s="139"/>
      <c r="M169" s="136">
        <v>100</v>
      </c>
      <c r="N169" s="137">
        <v>599</v>
      </c>
      <c r="O169" s="138">
        <f>N169/M169*100</f>
        <v>599</v>
      </c>
      <c r="P169" s="136"/>
      <c r="Q169" s="137"/>
      <c r="R169" s="140"/>
      <c r="S169" s="122"/>
    </row>
    <row r="170" spans="1:18" s="122" customFormat="1" ht="17.25" customHeight="1">
      <c r="A170" s="112" t="s">
        <v>368</v>
      </c>
      <c r="B170" s="166" t="s">
        <v>412</v>
      </c>
      <c r="C170" s="113"/>
      <c r="D170" s="114">
        <f t="shared" si="25"/>
        <v>0</v>
      </c>
      <c r="E170" s="114">
        <f t="shared" si="25"/>
        <v>150</v>
      </c>
      <c r="F170" s="141"/>
      <c r="G170" s="116"/>
      <c r="H170" s="117"/>
      <c r="I170" s="118"/>
      <c r="J170" s="116"/>
      <c r="K170" s="117"/>
      <c r="L170" s="119"/>
      <c r="M170" s="116"/>
      <c r="N170" s="117">
        <v>150</v>
      </c>
      <c r="O170" s="118"/>
      <c r="P170" s="116"/>
      <c r="Q170" s="117"/>
      <c r="R170" s="120"/>
    </row>
    <row r="171" spans="1:18" ht="15.75" customHeight="1">
      <c r="A171" s="145" t="s">
        <v>322</v>
      </c>
      <c r="B171" s="236" t="s">
        <v>323</v>
      </c>
      <c r="C171" s="147"/>
      <c r="D171" s="148">
        <f t="shared" si="25"/>
        <v>900</v>
      </c>
      <c r="E171" s="148">
        <f t="shared" si="25"/>
        <v>1293</v>
      </c>
      <c r="F171" s="149">
        <f t="shared" si="20"/>
        <v>143.66666666666669</v>
      </c>
      <c r="G171" s="150"/>
      <c r="H171" s="151"/>
      <c r="I171" s="152"/>
      <c r="J171" s="150"/>
      <c r="K171" s="151"/>
      <c r="L171" s="155"/>
      <c r="M171" s="150">
        <v>900</v>
      </c>
      <c r="N171" s="151">
        <v>1293</v>
      </c>
      <c r="O171" s="118">
        <f aca="true" t="shared" si="26" ref="O171:O177">N171/M171*100</f>
        <v>143.66666666666669</v>
      </c>
      <c r="P171" s="150"/>
      <c r="Q171" s="151"/>
      <c r="R171" s="299"/>
    </row>
    <row r="172" spans="1:18" ht="18.75" customHeight="1">
      <c r="A172" s="123" t="s">
        <v>513</v>
      </c>
      <c r="B172" s="124" t="s">
        <v>514</v>
      </c>
      <c r="C172" s="125">
        <f>SUM(C173:C177)</f>
        <v>210200</v>
      </c>
      <c r="D172" s="104">
        <f>SUM(D173:D177)</f>
        <v>341100</v>
      </c>
      <c r="E172" s="104">
        <f>SUM(E173:E177)</f>
        <v>253595</v>
      </c>
      <c r="F172" s="180">
        <f t="shared" si="20"/>
        <v>74.34623277631192</v>
      </c>
      <c r="G172" s="127"/>
      <c r="H172" s="128"/>
      <c r="I172" s="213"/>
      <c r="J172" s="221"/>
      <c r="K172" s="222"/>
      <c r="L172" s="214"/>
      <c r="M172" s="221">
        <f>SUM(M173:M177)</f>
        <v>341100</v>
      </c>
      <c r="N172" s="222">
        <f>SUM(N173:N177)</f>
        <v>253595</v>
      </c>
      <c r="O172" s="129">
        <f t="shared" si="26"/>
        <v>74.34623277631192</v>
      </c>
      <c r="P172" s="221"/>
      <c r="Q172" s="222"/>
      <c r="R172" s="298"/>
    </row>
    <row r="173" spans="1:18" s="122" customFormat="1" ht="22.5" customHeight="1">
      <c r="A173" s="131" t="s">
        <v>346</v>
      </c>
      <c r="B173" s="225" t="s">
        <v>515</v>
      </c>
      <c r="C173" s="133">
        <v>2600</v>
      </c>
      <c r="D173" s="134">
        <f aca="true" t="shared" si="27" ref="D173:E177">G173+J173+M173+P173</f>
        <v>3000</v>
      </c>
      <c r="E173" s="134">
        <f t="shared" si="27"/>
        <v>4561</v>
      </c>
      <c r="F173" s="135">
        <f t="shared" si="20"/>
        <v>152.03333333333333</v>
      </c>
      <c r="G173" s="263"/>
      <c r="H173" s="137"/>
      <c r="I173" s="138"/>
      <c r="J173" s="136"/>
      <c r="K173" s="137"/>
      <c r="L173" s="139"/>
      <c r="M173" s="136">
        <f>2600+400</f>
        <v>3000</v>
      </c>
      <c r="N173" s="137">
        <v>4561</v>
      </c>
      <c r="O173" s="138">
        <f t="shared" si="26"/>
        <v>152.03333333333333</v>
      </c>
      <c r="P173" s="136"/>
      <c r="Q173" s="137"/>
      <c r="R173" s="140"/>
    </row>
    <row r="174" spans="1:18" s="122" customFormat="1" ht="57.75" customHeight="1">
      <c r="A174" s="112" t="s">
        <v>348</v>
      </c>
      <c r="B174" s="79" t="s">
        <v>349</v>
      </c>
      <c r="C174" s="113">
        <v>204300</v>
      </c>
      <c r="D174" s="114">
        <f t="shared" si="27"/>
        <v>333800</v>
      </c>
      <c r="E174" s="114">
        <f t="shared" si="27"/>
        <v>243837</v>
      </c>
      <c r="F174" s="141">
        <f t="shared" si="20"/>
        <v>73.04883163571002</v>
      </c>
      <c r="G174" s="235"/>
      <c r="H174" s="117"/>
      <c r="I174" s="118"/>
      <c r="J174" s="116"/>
      <c r="K174" s="117"/>
      <c r="L174" s="119"/>
      <c r="M174" s="116">
        <f>204300+129500</f>
        <v>333800</v>
      </c>
      <c r="N174" s="117">
        <v>243837</v>
      </c>
      <c r="O174" s="118">
        <f t="shared" si="26"/>
        <v>73.04883163571002</v>
      </c>
      <c r="P174" s="116"/>
      <c r="Q174" s="117"/>
      <c r="R174" s="120"/>
    </row>
    <row r="175" spans="1:18" ht="15.75" customHeight="1">
      <c r="A175" s="112" t="s">
        <v>378</v>
      </c>
      <c r="B175" s="166" t="s">
        <v>379</v>
      </c>
      <c r="C175" s="113">
        <v>3200</v>
      </c>
      <c r="D175" s="114">
        <f>G175+J175+M175+P175</f>
        <v>4000</v>
      </c>
      <c r="E175" s="114">
        <f>H175+K175+N175+Q175</f>
        <v>4568</v>
      </c>
      <c r="F175" s="141">
        <f>E175/D175*100</f>
        <v>114.19999999999999</v>
      </c>
      <c r="G175" s="235"/>
      <c r="H175" s="117"/>
      <c r="I175" s="118"/>
      <c r="J175" s="116"/>
      <c r="K175" s="117"/>
      <c r="L175" s="119"/>
      <c r="M175" s="116">
        <f>3200+800</f>
        <v>4000</v>
      </c>
      <c r="N175" s="117">
        <v>4568</v>
      </c>
      <c r="O175" s="118">
        <f t="shared" si="26"/>
        <v>114.19999999999999</v>
      </c>
      <c r="P175" s="116"/>
      <c r="Q175" s="117"/>
      <c r="R175" s="120"/>
    </row>
    <row r="176" spans="1:18" ht="15.75" customHeight="1">
      <c r="A176" s="112" t="s">
        <v>368</v>
      </c>
      <c r="B176" s="166" t="s">
        <v>412</v>
      </c>
      <c r="C176" s="113"/>
      <c r="D176" s="114">
        <f t="shared" si="27"/>
        <v>150</v>
      </c>
      <c r="E176" s="114">
        <f t="shared" si="27"/>
        <v>236</v>
      </c>
      <c r="F176" s="141">
        <f>E176/D176*100</f>
        <v>157.33333333333331</v>
      </c>
      <c r="G176" s="235"/>
      <c r="H176" s="117"/>
      <c r="I176" s="118"/>
      <c r="J176" s="116"/>
      <c r="K176" s="117"/>
      <c r="L176" s="119"/>
      <c r="M176" s="116">
        <v>150</v>
      </c>
      <c r="N176" s="117">
        <v>236</v>
      </c>
      <c r="O176" s="118">
        <f t="shared" si="26"/>
        <v>157.33333333333331</v>
      </c>
      <c r="P176" s="116"/>
      <c r="Q176" s="117"/>
      <c r="R176" s="120"/>
    </row>
    <row r="177" spans="1:18" ht="17.25" customHeight="1">
      <c r="A177" s="145" t="s">
        <v>322</v>
      </c>
      <c r="B177" s="236" t="s">
        <v>323</v>
      </c>
      <c r="C177" s="147">
        <v>100</v>
      </c>
      <c r="D177" s="148">
        <f t="shared" si="27"/>
        <v>150</v>
      </c>
      <c r="E177" s="148">
        <f t="shared" si="27"/>
        <v>393</v>
      </c>
      <c r="F177" s="149">
        <f t="shared" si="20"/>
        <v>262</v>
      </c>
      <c r="G177" s="237"/>
      <c r="H177" s="151"/>
      <c r="I177" s="152"/>
      <c r="J177" s="150"/>
      <c r="K177" s="151"/>
      <c r="L177" s="155"/>
      <c r="M177" s="150">
        <f>100+50</f>
        <v>150</v>
      </c>
      <c r="N177" s="151">
        <v>393</v>
      </c>
      <c r="O177" s="152">
        <f t="shared" si="26"/>
        <v>262</v>
      </c>
      <c r="P177" s="150"/>
      <c r="Q177" s="151"/>
      <c r="R177" s="299"/>
    </row>
    <row r="178" spans="1:18" ht="18.75" customHeight="1">
      <c r="A178" s="123" t="s">
        <v>516</v>
      </c>
      <c r="B178" s="124" t="s">
        <v>517</v>
      </c>
      <c r="C178" s="125">
        <f>C179</f>
        <v>0</v>
      </c>
      <c r="D178" s="104">
        <f>D179</f>
        <v>0</v>
      </c>
      <c r="E178" s="157"/>
      <c r="F178" s="180"/>
      <c r="G178" s="110"/>
      <c r="H178" s="128"/>
      <c r="I178" s="213"/>
      <c r="J178" s="127"/>
      <c r="K178" s="128"/>
      <c r="L178" s="109"/>
      <c r="M178" s="127">
        <f>M179</f>
        <v>0</v>
      </c>
      <c r="N178" s="128"/>
      <c r="O178" s="129"/>
      <c r="P178" s="127"/>
      <c r="Q178" s="128"/>
      <c r="R178" s="130"/>
    </row>
    <row r="179" spans="1:18" ht="21.75" customHeight="1">
      <c r="A179" s="206" t="s">
        <v>322</v>
      </c>
      <c r="B179" s="234" t="s">
        <v>323</v>
      </c>
      <c r="C179" s="208"/>
      <c r="D179" s="209">
        <f>G179+J179+M179+P179</f>
        <v>0</v>
      </c>
      <c r="E179" s="209"/>
      <c r="F179" s="232"/>
      <c r="G179" s="238"/>
      <c r="H179" s="212"/>
      <c r="I179" s="213"/>
      <c r="J179" s="211"/>
      <c r="K179" s="212"/>
      <c r="L179" s="214"/>
      <c r="M179" s="211"/>
      <c r="N179" s="212"/>
      <c r="O179" s="213"/>
      <c r="P179" s="211"/>
      <c r="Q179" s="212"/>
      <c r="R179" s="280"/>
    </row>
    <row r="180" spans="1:18" ht="29.25" customHeight="1">
      <c r="A180" s="123" t="s">
        <v>518</v>
      </c>
      <c r="B180" s="124" t="s">
        <v>519</v>
      </c>
      <c r="C180" s="125">
        <f>SUM(C181:C185)</f>
        <v>42500</v>
      </c>
      <c r="D180" s="104">
        <f>SUM(D181:D185)</f>
        <v>46000</v>
      </c>
      <c r="E180" s="104">
        <f>SUM(E181:E185)</f>
        <v>40616</v>
      </c>
      <c r="F180" s="126">
        <f t="shared" si="20"/>
        <v>88.29565217391304</v>
      </c>
      <c r="G180" s="127"/>
      <c r="H180" s="128"/>
      <c r="I180" s="213"/>
      <c r="J180" s="221"/>
      <c r="K180" s="222"/>
      <c r="L180" s="214"/>
      <c r="M180" s="221">
        <f>SUM(M181:M185)</f>
        <v>46000</v>
      </c>
      <c r="N180" s="222">
        <f>SUM(N181:N185)</f>
        <v>40616</v>
      </c>
      <c r="O180" s="129">
        <f aca="true" t="shared" si="28" ref="O180:O185">N180/M180*100</f>
        <v>88.29565217391304</v>
      </c>
      <c r="P180" s="221"/>
      <c r="Q180" s="222"/>
      <c r="R180" s="298"/>
    </row>
    <row r="181" spans="1:18" s="122" customFormat="1" ht="26.25" customHeight="1">
      <c r="A181" s="131" t="s">
        <v>346</v>
      </c>
      <c r="B181" s="225" t="s">
        <v>497</v>
      </c>
      <c r="C181" s="133">
        <v>1100</v>
      </c>
      <c r="D181" s="134">
        <f aca="true" t="shared" si="29" ref="D181:E185">G181+J181+M181+P181</f>
        <v>1100</v>
      </c>
      <c r="E181" s="134">
        <f t="shared" si="29"/>
        <v>467</v>
      </c>
      <c r="F181" s="135">
        <f t="shared" si="20"/>
        <v>42.45454545454545</v>
      </c>
      <c r="G181" s="263"/>
      <c r="H181" s="137"/>
      <c r="I181" s="138"/>
      <c r="J181" s="136"/>
      <c r="K181" s="137"/>
      <c r="L181" s="139"/>
      <c r="M181" s="136">
        <v>1100</v>
      </c>
      <c r="N181" s="137">
        <v>467</v>
      </c>
      <c r="O181" s="138">
        <f t="shared" si="28"/>
        <v>42.45454545454545</v>
      </c>
      <c r="P181" s="136"/>
      <c r="Q181" s="137"/>
      <c r="R181" s="140"/>
    </row>
    <row r="182" spans="1:18" s="122" customFormat="1" ht="54.75" customHeight="1">
      <c r="A182" s="112" t="s">
        <v>348</v>
      </c>
      <c r="B182" s="79" t="s">
        <v>349</v>
      </c>
      <c r="C182" s="113">
        <v>40400</v>
      </c>
      <c r="D182" s="114">
        <f>G182+J182+M182+P182</f>
        <v>40400</v>
      </c>
      <c r="E182" s="114">
        <f>H182+K182+N182+Q182</f>
        <v>35924</v>
      </c>
      <c r="F182" s="141">
        <f>E182/D182*100</f>
        <v>88.92079207920793</v>
      </c>
      <c r="G182" s="235"/>
      <c r="H182" s="117"/>
      <c r="I182" s="118"/>
      <c r="J182" s="116"/>
      <c r="K182" s="117"/>
      <c r="L182" s="119"/>
      <c r="M182" s="116">
        <v>40400</v>
      </c>
      <c r="N182" s="117">
        <v>35924</v>
      </c>
      <c r="O182" s="118">
        <f t="shared" si="28"/>
        <v>88.92079207920793</v>
      </c>
      <c r="P182" s="116"/>
      <c r="Q182" s="117"/>
      <c r="R182" s="120"/>
    </row>
    <row r="183" spans="1:18" s="122" customFormat="1" ht="28.5" customHeight="1">
      <c r="A183" s="112" t="s">
        <v>320</v>
      </c>
      <c r="B183" s="166" t="s">
        <v>321</v>
      </c>
      <c r="C183" s="113"/>
      <c r="D183" s="114">
        <f t="shared" si="29"/>
        <v>3000</v>
      </c>
      <c r="E183" s="114">
        <f t="shared" si="29"/>
        <v>2972</v>
      </c>
      <c r="F183" s="141">
        <f t="shared" si="20"/>
        <v>99.06666666666666</v>
      </c>
      <c r="G183" s="235"/>
      <c r="H183" s="117"/>
      <c r="I183" s="118"/>
      <c r="J183" s="116"/>
      <c r="K183" s="117"/>
      <c r="L183" s="119"/>
      <c r="M183" s="116">
        <v>3000</v>
      </c>
      <c r="N183" s="117">
        <v>2972</v>
      </c>
      <c r="O183" s="118">
        <f t="shared" si="28"/>
        <v>99.06666666666666</v>
      </c>
      <c r="P183" s="116"/>
      <c r="Q183" s="117"/>
      <c r="R183" s="120"/>
    </row>
    <row r="184" spans="1:18" s="122" customFormat="1" ht="15" customHeight="1">
      <c r="A184" s="112" t="s">
        <v>368</v>
      </c>
      <c r="B184" s="166" t="s">
        <v>412</v>
      </c>
      <c r="C184" s="113"/>
      <c r="D184" s="114">
        <f t="shared" si="29"/>
        <v>50</v>
      </c>
      <c r="E184" s="114">
        <f t="shared" si="29"/>
        <v>15</v>
      </c>
      <c r="F184" s="141">
        <f t="shared" si="20"/>
        <v>30</v>
      </c>
      <c r="G184" s="235"/>
      <c r="H184" s="117"/>
      <c r="I184" s="118"/>
      <c r="J184" s="116"/>
      <c r="K184" s="117"/>
      <c r="L184" s="119"/>
      <c r="M184" s="116">
        <v>50</v>
      </c>
      <c r="N184" s="117">
        <v>15</v>
      </c>
      <c r="O184" s="118">
        <f t="shared" si="28"/>
        <v>30</v>
      </c>
      <c r="P184" s="116"/>
      <c r="Q184" s="117"/>
      <c r="R184" s="120"/>
    </row>
    <row r="185" spans="1:18" ht="18" customHeight="1">
      <c r="A185" s="145" t="s">
        <v>322</v>
      </c>
      <c r="B185" s="236" t="s">
        <v>323</v>
      </c>
      <c r="C185" s="147">
        <v>1000</v>
      </c>
      <c r="D185" s="148">
        <f t="shared" si="29"/>
        <v>1450</v>
      </c>
      <c r="E185" s="148">
        <f t="shared" si="29"/>
        <v>1238</v>
      </c>
      <c r="F185" s="149">
        <f t="shared" si="20"/>
        <v>85.37931034482759</v>
      </c>
      <c r="G185" s="237"/>
      <c r="H185" s="151"/>
      <c r="I185" s="152"/>
      <c r="J185" s="150"/>
      <c r="K185" s="151"/>
      <c r="L185" s="155"/>
      <c r="M185" s="150">
        <f>1000+450</f>
        <v>1450</v>
      </c>
      <c r="N185" s="151">
        <v>1238</v>
      </c>
      <c r="O185" s="152">
        <f t="shared" si="28"/>
        <v>85.37931034482759</v>
      </c>
      <c r="P185" s="150"/>
      <c r="Q185" s="151"/>
      <c r="R185" s="299"/>
    </row>
    <row r="186" spans="1:18" ht="15.75" customHeight="1">
      <c r="A186" s="123" t="s">
        <v>520</v>
      </c>
      <c r="B186" s="124" t="s">
        <v>311</v>
      </c>
      <c r="C186" s="110">
        <f>SUM(C187:C191)</f>
        <v>174100</v>
      </c>
      <c r="D186" s="104">
        <f>SUM(D187:D193)</f>
        <v>397911</v>
      </c>
      <c r="E186" s="104">
        <f>SUM(E187:E193)</f>
        <v>433195</v>
      </c>
      <c r="F186" s="126">
        <f t="shared" si="20"/>
        <v>108.86730952398904</v>
      </c>
      <c r="G186" s="110">
        <f>SUM(G187:G193)</f>
        <v>353329</v>
      </c>
      <c r="H186" s="104">
        <f>SUM(H187:H193)</f>
        <v>388481</v>
      </c>
      <c r="I186" s="129">
        <f>H186/G186*100</f>
        <v>109.94880125888335</v>
      </c>
      <c r="J186" s="127"/>
      <c r="K186" s="128"/>
      <c r="L186" s="214"/>
      <c r="M186" s="127">
        <f>SUM(M187:M194)</f>
        <v>93007</v>
      </c>
      <c r="N186" s="128">
        <f>SUM(N187:N194)</f>
        <v>93139</v>
      </c>
      <c r="O186" s="108">
        <f>N186/M186*100</f>
        <v>100.14192480135904</v>
      </c>
      <c r="P186" s="127"/>
      <c r="Q186" s="128"/>
      <c r="R186" s="280"/>
    </row>
    <row r="187" spans="1:18" ht="50.25" customHeight="1">
      <c r="A187" s="112" t="s">
        <v>498</v>
      </c>
      <c r="B187" s="166" t="s">
        <v>521</v>
      </c>
      <c r="C187" s="113">
        <v>174100</v>
      </c>
      <c r="D187" s="114">
        <f aca="true" t="shared" si="30" ref="D187:E194">G187+J187+M187+P187</f>
        <v>290144</v>
      </c>
      <c r="E187" s="114">
        <f t="shared" si="30"/>
        <v>290144</v>
      </c>
      <c r="F187" s="141">
        <f t="shared" si="20"/>
        <v>100</v>
      </c>
      <c r="G187" s="116">
        <f>174000+116144</f>
        <v>290144</v>
      </c>
      <c r="H187" s="117">
        <v>290144</v>
      </c>
      <c r="I187" s="118">
        <f>H187/G187*100</f>
        <v>100</v>
      </c>
      <c r="J187" s="116"/>
      <c r="K187" s="117"/>
      <c r="L187" s="119"/>
      <c r="M187" s="116"/>
      <c r="N187" s="117"/>
      <c r="O187" s="118"/>
      <c r="P187" s="116"/>
      <c r="Q187" s="117"/>
      <c r="R187" s="120"/>
    </row>
    <row r="188" spans="1:18" ht="72" customHeight="1">
      <c r="A188" s="112" t="s">
        <v>375</v>
      </c>
      <c r="B188" s="166" t="s">
        <v>522</v>
      </c>
      <c r="C188" s="113"/>
      <c r="D188" s="114">
        <f t="shared" si="30"/>
        <v>7100</v>
      </c>
      <c r="E188" s="114">
        <f t="shared" si="30"/>
        <v>7100</v>
      </c>
      <c r="F188" s="141"/>
      <c r="G188" s="116">
        <f>5000+5000-2900</f>
        <v>7100</v>
      </c>
      <c r="H188" s="117">
        <v>7100</v>
      </c>
      <c r="I188" s="118">
        <f>H188/G188*100</f>
        <v>100</v>
      </c>
      <c r="J188" s="116"/>
      <c r="K188" s="117"/>
      <c r="L188" s="119"/>
      <c r="M188" s="116"/>
      <c r="N188" s="117"/>
      <c r="O188" s="118"/>
      <c r="P188" s="116"/>
      <c r="Q188" s="117"/>
      <c r="R188" s="120"/>
    </row>
    <row r="189" spans="1:18" ht="51.75" customHeight="1">
      <c r="A189" s="112" t="s">
        <v>523</v>
      </c>
      <c r="B189" s="166" t="s">
        <v>524</v>
      </c>
      <c r="C189" s="113"/>
      <c r="D189" s="114">
        <f t="shared" si="30"/>
        <v>44582</v>
      </c>
      <c r="E189" s="114">
        <f t="shared" si="30"/>
        <v>44582</v>
      </c>
      <c r="F189" s="141"/>
      <c r="G189" s="116"/>
      <c r="H189" s="117"/>
      <c r="I189" s="118"/>
      <c r="J189" s="116"/>
      <c r="K189" s="117"/>
      <c r="L189" s="119"/>
      <c r="M189" s="116">
        <v>44582</v>
      </c>
      <c r="N189" s="117">
        <v>44582</v>
      </c>
      <c r="O189" s="118">
        <f>N189/M189*100</f>
        <v>100</v>
      </c>
      <c r="P189" s="116"/>
      <c r="Q189" s="117"/>
      <c r="R189" s="120"/>
    </row>
    <row r="190" spans="1:18" ht="53.25" customHeight="1">
      <c r="A190" s="112" t="s">
        <v>525</v>
      </c>
      <c r="B190" s="166" t="s">
        <v>526</v>
      </c>
      <c r="C190" s="113"/>
      <c r="D190" s="114">
        <f t="shared" si="30"/>
        <v>6859</v>
      </c>
      <c r="E190" s="114">
        <f t="shared" si="30"/>
        <v>6858</v>
      </c>
      <c r="F190" s="141">
        <f t="shared" si="20"/>
        <v>99.98542061525004</v>
      </c>
      <c r="G190" s="116">
        <v>6859</v>
      </c>
      <c r="H190" s="117">
        <v>6858</v>
      </c>
      <c r="I190" s="118">
        <f>H190/G190*100</f>
        <v>99.98542061525004</v>
      </c>
      <c r="J190" s="116"/>
      <c r="K190" s="117"/>
      <c r="L190" s="119"/>
      <c r="M190" s="116"/>
      <c r="N190" s="117"/>
      <c r="O190" s="118"/>
      <c r="P190" s="116"/>
      <c r="Q190" s="117"/>
      <c r="R190" s="120"/>
    </row>
    <row r="191" spans="1:18" s="122" customFormat="1" ht="61.5" customHeight="1">
      <c r="A191" s="112" t="s">
        <v>527</v>
      </c>
      <c r="B191" s="166" t="s">
        <v>528</v>
      </c>
      <c r="C191" s="113"/>
      <c r="D191" s="114">
        <f>G191+J191+M191+P191</f>
        <v>49226</v>
      </c>
      <c r="E191" s="114">
        <f t="shared" si="30"/>
        <v>49357</v>
      </c>
      <c r="F191" s="141">
        <f t="shared" si="20"/>
        <v>100.26611953032952</v>
      </c>
      <c r="G191" s="116">
        <f>44935+4291</f>
        <v>49226</v>
      </c>
      <c r="H191" s="117">
        <v>49225</v>
      </c>
      <c r="I191" s="118">
        <f>H191/G191*100</f>
        <v>99.99796855320359</v>
      </c>
      <c r="J191" s="116"/>
      <c r="K191" s="117"/>
      <c r="L191" s="119"/>
      <c r="M191" s="116"/>
      <c r="N191" s="117">
        <v>132</v>
      </c>
      <c r="O191" s="118"/>
      <c r="P191" s="116"/>
      <c r="Q191" s="117"/>
      <c r="R191" s="120"/>
    </row>
    <row r="192" spans="1:18" s="122" customFormat="1" ht="61.5" customHeight="1">
      <c r="A192" s="112" t="s">
        <v>337</v>
      </c>
      <c r="B192" s="166" t="s">
        <v>529</v>
      </c>
      <c r="C192" s="113"/>
      <c r="D192" s="114"/>
      <c r="E192" s="114">
        <f t="shared" si="30"/>
        <v>31018</v>
      </c>
      <c r="F192" s="141"/>
      <c r="G192" s="307"/>
      <c r="H192" s="117">
        <v>31018</v>
      </c>
      <c r="I192" s="118"/>
      <c r="J192" s="116"/>
      <c r="K192" s="117"/>
      <c r="L192" s="119"/>
      <c r="M192" s="116"/>
      <c r="N192" s="117"/>
      <c r="O192" s="118"/>
      <c r="P192" s="116"/>
      <c r="Q192" s="117"/>
      <c r="R192" s="120"/>
    </row>
    <row r="193" spans="1:18" s="122" customFormat="1" ht="63" customHeight="1">
      <c r="A193" s="145" t="s">
        <v>339</v>
      </c>
      <c r="B193" s="236" t="s">
        <v>529</v>
      </c>
      <c r="C193" s="147"/>
      <c r="D193" s="148">
        <f>G193+J193+M193+P193</f>
        <v>0</v>
      </c>
      <c r="E193" s="148">
        <f t="shared" si="30"/>
        <v>4136</v>
      </c>
      <c r="F193" s="149"/>
      <c r="G193" s="308"/>
      <c r="H193" s="151">
        <v>4136</v>
      </c>
      <c r="I193" s="152"/>
      <c r="J193" s="150"/>
      <c r="K193" s="151"/>
      <c r="L193" s="155"/>
      <c r="M193" s="150"/>
      <c r="N193" s="151"/>
      <c r="O193" s="152"/>
      <c r="P193" s="150"/>
      <c r="Q193" s="151"/>
      <c r="R193" s="299"/>
    </row>
    <row r="194" spans="1:18" s="318" customFormat="1" ht="57.75" customHeight="1">
      <c r="A194" s="309">
        <v>6430</v>
      </c>
      <c r="B194" s="310" t="s">
        <v>530</v>
      </c>
      <c r="C194" s="311"/>
      <c r="D194" s="209">
        <f>G194+J194+M194+P194</f>
        <v>48425</v>
      </c>
      <c r="E194" s="209">
        <f t="shared" si="30"/>
        <v>48425</v>
      </c>
      <c r="F194" s="232">
        <f>E194/D194*100</f>
        <v>100</v>
      </c>
      <c r="G194" s="312"/>
      <c r="H194" s="313"/>
      <c r="I194" s="314"/>
      <c r="J194" s="315"/>
      <c r="K194" s="313"/>
      <c r="L194" s="316"/>
      <c r="M194" s="211">
        <v>48425</v>
      </c>
      <c r="N194" s="212">
        <v>48425</v>
      </c>
      <c r="O194" s="314">
        <f>N194/M194*100</f>
        <v>100</v>
      </c>
      <c r="P194" s="315"/>
      <c r="Q194" s="313"/>
      <c r="R194" s="317"/>
    </row>
    <row r="195" spans="1:18" ht="20.25" customHeight="1">
      <c r="A195" s="123" t="s">
        <v>531</v>
      </c>
      <c r="B195" s="124" t="s">
        <v>532</v>
      </c>
      <c r="C195" s="125">
        <f>SUM(C196)</f>
        <v>8000</v>
      </c>
      <c r="D195" s="104">
        <f>D196+D198</f>
        <v>8000</v>
      </c>
      <c r="E195" s="104">
        <f>E196+E198</f>
        <v>13529</v>
      </c>
      <c r="F195" s="105">
        <f t="shared" si="20"/>
        <v>169.1125</v>
      </c>
      <c r="G195" s="104">
        <f>G196+G198</f>
        <v>0</v>
      </c>
      <c r="H195" s="104">
        <f>H196+H198</f>
        <v>7535</v>
      </c>
      <c r="I195" s="129"/>
      <c r="J195" s="127"/>
      <c r="K195" s="128"/>
      <c r="L195" s="109"/>
      <c r="M195" s="127"/>
      <c r="N195" s="128"/>
      <c r="O195" s="130"/>
      <c r="P195" s="110">
        <f>P196</f>
        <v>8000</v>
      </c>
      <c r="Q195" s="104">
        <f>Q196</f>
        <v>5994</v>
      </c>
      <c r="R195" s="129">
        <f>Q195/P195*100</f>
        <v>74.925</v>
      </c>
    </row>
    <row r="196" spans="1:18" ht="44.25" customHeight="1">
      <c r="A196" s="101" t="s">
        <v>533</v>
      </c>
      <c r="B196" s="319" t="s">
        <v>534</v>
      </c>
      <c r="C196" s="103">
        <f>SUM(C197)</f>
        <v>8000</v>
      </c>
      <c r="D196" s="157">
        <f>SUM(D197)</f>
        <v>8000</v>
      </c>
      <c r="E196" s="157">
        <f>H196+K196+N196+Q196</f>
        <v>5994</v>
      </c>
      <c r="F196" s="180">
        <f t="shared" si="20"/>
        <v>74.925</v>
      </c>
      <c r="G196" s="106"/>
      <c r="H196" s="107"/>
      <c r="I196" s="108"/>
      <c r="J196" s="106"/>
      <c r="K196" s="107"/>
      <c r="L196" s="193"/>
      <c r="M196" s="106"/>
      <c r="N196" s="107"/>
      <c r="O196" s="111"/>
      <c r="P196" s="106">
        <f>P197</f>
        <v>8000</v>
      </c>
      <c r="Q196" s="107">
        <f>Q197</f>
        <v>5994</v>
      </c>
      <c r="R196" s="108">
        <f>Q196/P196*100</f>
        <v>74.925</v>
      </c>
    </row>
    <row r="197" spans="1:18" ht="66" customHeight="1">
      <c r="A197" s="206" t="s">
        <v>355</v>
      </c>
      <c r="B197" s="207" t="s">
        <v>356</v>
      </c>
      <c r="C197" s="208">
        <v>8000</v>
      </c>
      <c r="D197" s="209">
        <f aca="true" t="shared" si="31" ref="D197:E206">G197+J197+M197+P197</f>
        <v>8000</v>
      </c>
      <c r="E197" s="218">
        <f>H197+K197+N197+Q197</f>
        <v>5994</v>
      </c>
      <c r="F197" s="232">
        <f t="shared" si="20"/>
        <v>74.925</v>
      </c>
      <c r="G197" s="211"/>
      <c r="H197" s="212"/>
      <c r="I197" s="129"/>
      <c r="J197" s="211"/>
      <c r="K197" s="212"/>
      <c r="L197" s="214"/>
      <c r="M197" s="211"/>
      <c r="N197" s="212"/>
      <c r="O197" s="213"/>
      <c r="P197" s="211">
        <v>8000</v>
      </c>
      <c r="Q197" s="212">
        <v>5994</v>
      </c>
      <c r="R197" s="213">
        <f>Q197/P197*100</f>
        <v>74.925</v>
      </c>
    </row>
    <row r="198" spans="1:18" s="164" customFormat="1" ht="17.25" customHeight="1">
      <c r="A198" s="123" t="s">
        <v>535</v>
      </c>
      <c r="B198" s="320" t="s">
        <v>311</v>
      </c>
      <c r="C198" s="125"/>
      <c r="D198" s="197">
        <f t="shared" si="31"/>
        <v>0</v>
      </c>
      <c r="E198" s="104">
        <f>H198+K198+N198+Q198</f>
        <v>7535</v>
      </c>
      <c r="F198" s="105"/>
      <c r="G198" s="127">
        <f>G199</f>
        <v>0</v>
      </c>
      <c r="H198" s="128">
        <f>H199</f>
        <v>7535</v>
      </c>
      <c r="I198" s="129"/>
      <c r="J198" s="127"/>
      <c r="K198" s="128"/>
      <c r="L198" s="109"/>
      <c r="M198" s="127"/>
      <c r="N198" s="128"/>
      <c r="O198" s="129"/>
      <c r="P198" s="127"/>
      <c r="Q198" s="128"/>
      <c r="R198" s="129"/>
    </row>
    <row r="199" spans="1:18" ht="24.75" customHeight="1" thickBot="1">
      <c r="A199" s="112" t="s">
        <v>322</v>
      </c>
      <c r="B199" s="146" t="s">
        <v>536</v>
      </c>
      <c r="C199" s="113"/>
      <c r="D199" s="209">
        <f t="shared" si="31"/>
        <v>0</v>
      </c>
      <c r="E199" s="321">
        <f>H199+K199+N199+Q199</f>
        <v>7535</v>
      </c>
      <c r="F199" s="141"/>
      <c r="G199" s="116"/>
      <c r="H199" s="117">
        <v>7535</v>
      </c>
      <c r="I199" s="279"/>
      <c r="J199" s="116"/>
      <c r="K199" s="117"/>
      <c r="L199" s="119"/>
      <c r="M199" s="322"/>
      <c r="N199" s="323"/>
      <c r="O199" s="118"/>
      <c r="P199" s="116"/>
      <c r="Q199" s="117"/>
      <c r="R199" s="118"/>
    </row>
    <row r="200" spans="1:18" ht="23.25" customHeight="1" thickBot="1" thickTop="1">
      <c r="A200" s="324" t="s">
        <v>537</v>
      </c>
      <c r="B200" s="92" t="s">
        <v>538</v>
      </c>
      <c r="C200" s="201">
        <f>C201+C205+C207+C212+C216+C220+C222+C226+C229+C233+C237+C239+C243</f>
        <v>24989200</v>
      </c>
      <c r="D200" s="94">
        <f>D201+D205+D207+D212+D216+D220+D222+D226+D229+D233+D237+D239+D243</f>
        <v>26702326</v>
      </c>
      <c r="E200" s="94">
        <f>E201+E205+E207+E212+E216+E220+E222+E226+E229+E233+E237+E239+E243</f>
        <v>20229712</v>
      </c>
      <c r="F200" s="226">
        <f>E200/D200*100</f>
        <v>75.76011168465249</v>
      </c>
      <c r="G200" s="201">
        <f>G201+G205+G207+G212+G216+G220+G222+G226+G229+G233+G237+G239+G243</f>
        <v>5312144</v>
      </c>
      <c r="H200" s="94">
        <f>H201+H205+H207+H212+H216+H220+H222+H226+H229+H233+H237+H239+H243</f>
        <v>3973103</v>
      </c>
      <c r="I200" s="227">
        <f>H200/G200*100</f>
        <v>74.79283317620909</v>
      </c>
      <c r="J200" s="201">
        <f>J201+J205+J207+J212+J216+J220+J222+J226+J229+J233+J237+J239+J243</f>
        <v>20913682</v>
      </c>
      <c r="K200" s="94">
        <f>K201+K205+K207+K212+K216+K220+K222+K226+K229+K233+K237+K239+K243</f>
        <v>15851699</v>
      </c>
      <c r="L200" s="227">
        <f>K200/J200*100</f>
        <v>75.79583069112363</v>
      </c>
      <c r="M200" s="201">
        <f>M201+M205+M207+M212+M216+M220+M222+M226+M229+M233+M237+M239+M243</f>
        <v>459000</v>
      </c>
      <c r="N200" s="94">
        <f>N201+N205+N207+N212+N216+N220+N222+N226+N229+N233+N237+N239+N243</f>
        <v>387410</v>
      </c>
      <c r="O200" s="227">
        <f>N200/M200*100</f>
        <v>84.40305010893246</v>
      </c>
      <c r="P200" s="201">
        <f>P201+P205+P207+P212+P216+P220+P222+P226+P229+P233+P237+P239+P243</f>
        <v>17500</v>
      </c>
      <c r="Q200" s="94">
        <f>Q201+Q205+Q207+Q212+Q216+Q220+Q222+Q226+Q229+Q233+Q237+Q239+Q243</f>
        <v>17500</v>
      </c>
      <c r="R200" s="227">
        <f>Q200/P200*100</f>
        <v>100</v>
      </c>
    </row>
    <row r="201" spans="1:18" ht="24.75" customHeight="1" thickTop="1">
      <c r="A201" s="325" t="s">
        <v>539</v>
      </c>
      <c r="B201" s="326" t="s">
        <v>540</v>
      </c>
      <c r="C201" s="327">
        <f>C203</f>
        <v>5000</v>
      </c>
      <c r="D201" s="179">
        <f t="shared" si="31"/>
        <v>23783</v>
      </c>
      <c r="E201" s="179">
        <f t="shared" si="31"/>
        <v>10261</v>
      </c>
      <c r="F201" s="328">
        <f t="shared" si="20"/>
        <v>43.14426270865744</v>
      </c>
      <c r="G201" s="202"/>
      <c r="H201" s="205"/>
      <c r="I201" s="294"/>
      <c r="J201" s="202"/>
      <c r="K201" s="205"/>
      <c r="L201" s="295"/>
      <c r="M201" s="205">
        <f>SUM(M202:M204)</f>
        <v>23783</v>
      </c>
      <c r="N201" s="205">
        <f>SUM(N202:N204)</f>
        <v>10261</v>
      </c>
      <c r="O201" s="294">
        <f>N201/M201*100</f>
        <v>43.14426270865744</v>
      </c>
      <c r="P201" s="202">
        <f>SUM(P203)</f>
        <v>0</v>
      </c>
      <c r="Q201" s="205"/>
      <c r="R201" s="294"/>
    </row>
    <row r="202" spans="1:18" s="330" customFormat="1" ht="15.75" customHeight="1">
      <c r="A202" s="329" t="s">
        <v>368</v>
      </c>
      <c r="B202" s="297" t="s">
        <v>412</v>
      </c>
      <c r="C202" s="113"/>
      <c r="D202" s="134"/>
      <c r="E202" s="134">
        <f t="shared" si="31"/>
        <v>26</v>
      </c>
      <c r="F202" s="141"/>
      <c r="G202" s="116"/>
      <c r="H202" s="117"/>
      <c r="I202" s="118"/>
      <c r="J202" s="116"/>
      <c r="K202" s="117"/>
      <c r="L202" s="119"/>
      <c r="M202" s="116"/>
      <c r="N202" s="117">
        <v>26</v>
      </c>
      <c r="O202" s="120"/>
      <c r="P202" s="116"/>
      <c r="Q202" s="117"/>
      <c r="R202" s="120"/>
    </row>
    <row r="203" spans="1:18" s="330" customFormat="1" ht="14.25" customHeight="1">
      <c r="A203" s="329" t="s">
        <v>322</v>
      </c>
      <c r="B203" s="166" t="s">
        <v>323</v>
      </c>
      <c r="C203" s="113">
        <v>5000</v>
      </c>
      <c r="D203" s="114">
        <f t="shared" si="31"/>
        <v>5000</v>
      </c>
      <c r="E203" s="114">
        <f t="shared" si="31"/>
        <v>236</v>
      </c>
      <c r="F203" s="141">
        <f t="shared" si="20"/>
        <v>4.72</v>
      </c>
      <c r="G203" s="235"/>
      <c r="H203" s="114"/>
      <c r="I203" s="118"/>
      <c r="J203" s="235"/>
      <c r="K203" s="114"/>
      <c r="L203" s="230"/>
      <c r="M203" s="235">
        <v>5000</v>
      </c>
      <c r="N203" s="114">
        <v>236</v>
      </c>
      <c r="O203" s="120">
        <f>N203/M203*100</f>
        <v>4.72</v>
      </c>
      <c r="P203" s="235"/>
      <c r="Q203" s="114"/>
      <c r="R203" s="118"/>
    </row>
    <row r="204" spans="1:18" s="330" customFormat="1" ht="45" customHeight="1">
      <c r="A204" s="329" t="s">
        <v>541</v>
      </c>
      <c r="B204" s="146" t="s">
        <v>542</v>
      </c>
      <c r="C204" s="113"/>
      <c r="D204" s="114">
        <f t="shared" si="31"/>
        <v>18783</v>
      </c>
      <c r="E204" s="114">
        <f t="shared" si="31"/>
        <v>9999</v>
      </c>
      <c r="F204" s="141">
        <f t="shared" si="20"/>
        <v>53.23430761859128</v>
      </c>
      <c r="G204" s="331"/>
      <c r="H204" s="114"/>
      <c r="I204" s="118"/>
      <c r="J204" s="235"/>
      <c r="K204" s="114"/>
      <c r="L204" s="230"/>
      <c r="M204" s="235">
        <v>18783</v>
      </c>
      <c r="N204" s="114">
        <v>9999</v>
      </c>
      <c r="O204" s="120">
        <f>N204/M204*100</f>
        <v>53.23430761859128</v>
      </c>
      <c r="P204" s="235"/>
      <c r="Q204" s="114"/>
      <c r="R204" s="118"/>
    </row>
    <row r="205" spans="1:18" ht="17.25" customHeight="1">
      <c r="A205" s="285" t="s">
        <v>543</v>
      </c>
      <c r="B205" s="332" t="s">
        <v>544</v>
      </c>
      <c r="C205" s="125"/>
      <c r="D205" s="197">
        <f>G205+J205+M205+P205</f>
        <v>0</v>
      </c>
      <c r="E205" s="197">
        <f t="shared" si="31"/>
        <v>5478</v>
      </c>
      <c r="F205" s="105"/>
      <c r="G205" s="104">
        <f>G206</f>
        <v>0</v>
      </c>
      <c r="H205" s="104">
        <f>H206</f>
        <v>5478</v>
      </c>
      <c r="I205" s="129"/>
      <c r="J205" s="110"/>
      <c r="K205" s="104"/>
      <c r="L205" s="333"/>
      <c r="M205" s="110"/>
      <c r="N205" s="104"/>
      <c r="O205" s="129"/>
      <c r="P205" s="110"/>
      <c r="Q205" s="104"/>
      <c r="R205" s="129"/>
    </row>
    <row r="206" spans="1:18" s="330" customFormat="1" ht="14.25" customHeight="1">
      <c r="A206" s="334" t="s">
        <v>322</v>
      </c>
      <c r="B206" s="234" t="s">
        <v>323</v>
      </c>
      <c r="C206" s="208"/>
      <c r="D206" s="209">
        <f t="shared" si="31"/>
        <v>0</v>
      </c>
      <c r="E206" s="209">
        <f t="shared" si="31"/>
        <v>5478</v>
      </c>
      <c r="F206" s="232"/>
      <c r="G206" s="238"/>
      <c r="H206" s="209">
        <v>5478</v>
      </c>
      <c r="I206" s="213"/>
      <c r="J206" s="238"/>
      <c r="K206" s="209"/>
      <c r="L206" s="267"/>
      <c r="M206" s="238"/>
      <c r="N206" s="209"/>
      <c r="O206" s="280"/>
      <c r="P206" s="238"/>
      <c r="Q206" s="209"/>
      <c r="R206" s="213"/>
    </row>
    <row r="207" spans="1:18" ht="16.5" customHeight="1">
      <c r="A207" s="285" t="s">
        <v>545</v>
      </c>
      <c r="B207" s="332" t="s">
        <v>546</v>
      </c>
      <c r="C207" s="274">
        <f>SUM(C208:C210)</f>
        <v>692000</v>
      </c>
      <c r="D207" s="128">
        <f>SUM(D208:D211)</f>
        <v>737930</v>
      </c>
      <c r="E207" s="128">
        <f>SUM(E208:E211)</f>
        <v>585017</v>
      </c>
      <c r="F207" s="105">
        <f aca="true" t="shared" si="32" ref="F207:F270">E207/D207*100</f>
        <v>79.27811581044273</v>
      </c>
      <c r="G207" s="128">
        <f>SUM(G208:G211)</f>
        <v>55000</v>
      </c>
      <c r="H207" s="128">
        <f>SUM(H208:H211)</f>
        <v>53960</v>
      </c>
      <c r="I207" s="335">
        <f>H207/G207*100</f>
        <v>98.10909090909091</v>
      </c>
      <c r="J207" s="274">
        <f>SUM(J208:J211)</f>
        <v>682930</v>
      </c>
      <c r="K207" s="128">
        <f>SUM(K208:K211)</f>
        <v>531057</v>
      </c>
      <c r="L207" s="333">
        <f>K207/J207*100</f>
        <v>77.76155682134332</v>
      </c>
      <c r="M207" s="127"/>
      <c r="N207" s="128"/>
      <c r="O207" s="130"/>
      <c r="P207" s="127"/>
      <c r="Q207" s="128"/>
      <c r="R207" s="130"/>
    </row>
    <row r="208" spans="1:18" ht="48">
      <c r="A208" s="334" t="s">
        <v>378</v>
      </c>
      <c r="B208" s="234" t="s">
        <v>547</v>
      </c>
      <c r="C208" s="208">
        <v>55000</v>
      </c>
      <c r="D208" s="209">
        <f>G208+J208+M208+P208</f>
        <v>55000</v>
      </c>
      <c r="E208" s="209">
        <f>H208+K208+N208+Q208</f>
        <v>31645</v>
      </c>
      <c r="F208" s="232">
        <f t="shared" si="32"/>
        <v>57.53636363636364</v>
      </c>
      <c r="G208" s="211">
        <v>55000</v>
      </c>
      <c r="H208" s="212">
        <v>31645</v>
      </c>
      <c r="I208" s="213">
        <f>H208/G208*100</f>
        <v>57.53636363636364</v>
      </c>
      <c r="J208" s="221"/>
      <c r="K208" s="222"/>
      <c r="L208" s="214"/>
      <c r="M208" s="233"/>
      <c r="N208" s="219"/>
      <c r="O208" s="213"/>
      <c r="P208" s="233"/>
      <c r="Q208" s="219"/>
      <c r="R208" s="298"/>
    </row>
    <row r="209" spans="1:18" s="122" customFormat="1" ht="21" customHeight="1">
      <c r="A209" s="277" t="s">
        <v>322</v>
      </c>
      <c r="B209" s="225" t="s">
        <v>323</v>
      </c>
      <c r="C209" s="133"/>
      <c r="D209" s="134"/>
      <c r="E209" s="134">
        <f>H209+K209+N209+Q209</f>
        <v>22036</v>
      </c>
      <c r="F209" s="135"/>
      <c r="G209" s="136"/>
      <c r="H209" s="137">
        <v>22036</v>
      </c>
      <c r="I209" s="138"/>
      <c r="J209" s="336"/>
      <c r="K209" s="337"/>
      <c r="L209" s="139"/>
      <c r="M209" s="185"/>
      <c r="N209" s="186"/>
      <c r="O209" s="138"/>
      <c r="P209" s="185"/>
      <c r="Q209" s="186"/>
      <c r="R209" s="187"/>
    </row>
    <row r="210" spans="1:18" s="122" customFormat="1" ht="62.25" customHeight="1">
      <c r="A210" s="329" t="s">
        <v>312</v>
      </c>
      <c r="B210" s="79" t="s">
        <v>548</v>
      </c>
      <c r="C210" s="113">
        <v>637000</v>
      </c>
      <c r="D210" s="114">
        <f>G210+J210+M210+P210</f>
        <v>682930</v>
      </c>
      <c r="E210" s="114">
        <f>H210+K210+N210+Q210</f>
        <v>531057</v>
      </c>
      <c r="F210" s="141">
        <f t="shared" si="32"/>
        <v>77.76155682134332</v>
      </c>
      <c r="G210" s="116"/>
      <c r="H210" s="117"/>
      <c r="I210" s="118"/>
      <c r="J210" s="116">
        <f>637000+18750+27180</f>
        <v>682930</v>
      </c>
      <c r="K210" s="117">
        <v>531057</v>
      </c>
      <c r="L210" s="230">
        <f>K210/J210*100</f>
        <v>77.76155682134332</v>
      </c>
      <c r="M210" s="142"/>
      <c r="N210" s="143"/>
      <c r="O210" s="118"/>
      <c r="P210" s="142"/>
      <c r="Q210" s="143"/>
      <c r="R210" s="144"/>
    </row>
    <row r="211" spans="1:18" s="122" customFormat="1" ht="52.5" customHeight="1">
      <c r="A211" s="329" t="s">
        <v>357</v>
      </c>
      <c r="B211" s="195" t="s">
        <v>413</v>
      </c>
      <c r="C211" s="113"/>
      <c r="D211" s="114">
        <f>G211+J211+M211+P211</f>
        <v>0</v>
      </c>
      <c r="E211" s="114">
        <f>H211+K211+N211+Q211</f>
        <v>279</v>
      </c>
      <c r="F211" s="141"/>
      <c r="G211" s="116"/>
      <c r="H211" s="117">
        <v>279</v>
      </c>
      <c r="I211" s="118"/>
      <c r="J211" s="116"/>
      <c r="K211" s="117"/>
      <c r="L211" s="230"/>
      <c r="M211" s="142"/>
      <c r="N211" s="143"/>
      <c r="O211" s="118"/>
      <c r="P211" s="142"/>
      <c r="Q211" s="143"/>
      <c r="R211" s="144"/>
    </row>
    <row r="212" spans="1:18" ht="18.75" customHeight="1">
      <c r="A212" s="285" t="s">
        <v>549</v>
      </c>
      <c r="B212" s="124" t="s">
        <v>550</v>
      </c>
      <c r="C212" s="125">
        <f>SUM(C214:C215)</f>
        <v>212000</v>
      </c>
      <c r="D212" s="104">
        <f>SUM(D213:D215)</f>
        <v>410217</v>
      </c>
      <c r="E212" s="104">
        <f>SUM(E213:E215)</f>
        <v>351859</v>
      </c>
      <c r="F212" s="105">
        <f t="shared" si="32"/>
        <v>85.77387090247358</v>
      </c>
      <c r="G212" s="127"/>
      <c r="H212" s="128"/>
      <c r="I212" s="213"/>
      <c r="J212" s="127"/>
      <c r="K212" s="128"/>
      <c r="L212" s="109"/>
      <c r="M212" s="127">
        <f>SUM(M213:M215)</f>
        <v>410217</v>
      </c>
      <c r="N212" s="128">
        <f>SUM(N213:N215)</f>
        <v>351859</v>
      </c>
      <c r="O212" s="130">
        <f>N212/M212*100</f>
        <v>85.77387090247358</v>
      </c>
      <c r="P212" s="128">
        <f>SUM(P213:P215)</f>
        <v>0</v>
      </c>
      <c r="Q212" s="128">
        <f>SUM(Q213:Q215)</f>
        <v>0</v>
      </c>
      <c r="R212" s="130"/>
    </row>
    <row r="213" spans="1:18" s="330" customFormat="1" ht="15.75" customHeight="1">
      <c r="A213" s="329" t="s">
        <v>368</v>
      </c>
      <c r="B213" s="297" t="s">
        <v>412</v>
      </c>
      <c r="C213" s="113"/>
      <c r="D213" s="114">
        <f aca="true" t="shared" si="33" ref="D213:E215">G213+J213+M213+P213</f>
        <v>0</v>
      </c>
      <c r="E213" s="114">
        <f t="shared" si="33"/>
        <v>472</v>
      </c>
      <c r="F213" s="141"/>
      <c r="G213" s="116"/>
      <c r="H213" s="117"/>
      <c r="I213" s="118"/>
      <c r="J213" s="116"/>
      <c r="K213" s="117"/>
      <c r="L213" s="119"/>
      <c r="M213" s="116"/>
      <c r="N213" s="117">
        <v>472</v>
      </c>
      <c r="O213" s="120"/>
      <c r="P213" s="116"/>
      <c r="Q213" s="117"/>
      <c r="R213" s="120"/>
    </row>
    <row r="214" spans="1:18" ht="17.25" customHeight="1">
      <c r="A214" s="329" t="s">
        <v>322</v>
      </c>
      <c r="B214" s="297" t="s">
        <v>323</v>
      </c>
      <c r="C214" s="113">
        <v>15000</v>
      </c>
      <c r="D214" s="114">
        <f>G214+J214+M214+P214</f>
        <v>15000</v>
      </c>
      <c r="E214" s="114">
        <f t="shared" si="33"/>
        <v>14982</v>
      </c>
      <c r="F214" s="141">
        <f t="shared" si="32"/>
        <v>99.88</v>
      </c>
      <c r="G214" s="116"/>
      <c r="H214" s="117"/>
      <c r="I214" s="118"/>
      <c r="J214" s="338"/>
      <c r="K214" s="339"/>
      <c r="L214" s="119"/>
      <c r="M214" s="142">
        <v>15000</v>
      </c>
      <c r="N214" s="143">
        <v>14982</v>
      </c>
      <c r="O214" s="120">
        <f>N214/M214*100</f>
        <v>99.88</v>
      </c>
      <c r="P214" s="142"/>
      <c r="Q214" s="143"/>
      <c r="R214" s="144"/>
    </row>
    <row r="215" spans="1:18" ht="45" customHeight="1">
      <c r="A215" s="340" t="s">
        <v>541</v>
      </c>
      <c r="B215" s="341" t="s">
        <v>542</v>
      </c>
      <c r="C215" s="147">
        <v>197000</v>
      </c>
      <c r="D215" s="148">
        <f t="shared" si="33"/>
        <v>395217</v>
      </c>
      <c r="E215" s="148">
        <f t="shared" si="33"/>
        <v>336405</v>
      </c>
      <c r="F215" s="149">
        <f t="shared" si="32"/>
        <v>85.11906117398796</v>
      </c>
      <c r="G215" s="150"/>
      <c r="H215" s="151"/>
      <c r="I215" s="152"/>
      <c r="J215" s="153"/>
      <c r="K215" s="154"/>
      <c r="L215" s="155"/>
      <c r="M215" s="153">
        <f>197000-18783+217000</f>
        <v>395217</v>
      </c>
      <c r="N215" s="154">
        <v>336405</v>
      </c>
      <c r="O215" s="299">
        <f>N215/M215*100</f>
        <v>85.11906117398796</v>
      </c>
      <c r="P215" s="153"/>
      <c r="Q215" s="154"/>
      <c r="R215" s="156"/>
    </row>
    <row r="216" spans="1:18" ht="62.25" customHeight="1">
      <c r="A216" s="285" t="s">
        <v>551</v>
      </c>
      <c r="B216" s="124" t="s">
        <v>552</v>
      </c>
      <c r="C216" s="342">
        <f>SUM(C217:C218)</f>
        <v>17391000</v>
      </c>
      <c r="D216" s="128">
        <f>SUM(D217:D219)</f>
        <v>18226750</v>
      </c>
      <c r="E216" s="128">
        <f>SUM(E217:E219)</f>
        <v>13886432</v>
      </c>
      <c r="F216" s="105">
        <f t="shared" si="32"/>
        <v>76.18709863250443</v>
      </c>
      <c r="G216" s="128">
        <f>SUM(G217:G218)</f>
        <v>70000</v>
      </c>
      <c r="H216" s="128">
        <f>SUM(H217:H218)</f>
        <v>68685</v>
      </c>
      <c r="I216" s="335">
        <f>H216/G216*100</f>
        <v>98.12142857142857</v>
      </c>
      <c r="J216" s="128">
        <f>SUM(J217:J219)</f>
        <v>18156750</v>
      </c>
      <c r="K216" s="128">
        <f>SUM(K217:K219)</f>
        <v>13817747</v>
      </c>
      <c r="L216" s="333">
        <f>K216/J216*100</f>
        <v>76.10253486995194</v>
      </c>
      <c r="M216" s="127"/>
      <c r="N216" s="128"/>
      <c r="O216" s="130"/>
      <c r="P216" s="127"/>
      <c r="Q216" s="128"/>
      <c r="R216" s="129"/>
    </row>
    <row r="217" spans="1:18" s="122" customFormat="1" ht="66" customHeight="1">
      <c r="A217" s="277" t="s">
        <v>312</v>
      </c>
      <c r="B217" s="343" t="s">
        <v>548</v>
      </c>
      <c r="C217" s="133">
        <v>17356000</v>
      </c>
      <c r="D217" s="134">
        <f aca="true" t="shared" si="34" ref="D217:E219">G217+J217+M217+P217</f>
        <v>17694750</v>
      </c>
      <c r="E217" s="134">
        <f t="shared" si="34"/>
        <v>13355747</v>
      </c>
      <c r="F217" s="135">
        <f>E217/D217*100</f>
        <v>75.47858545613812</v>
      </c>
      <c r="G217" s="136"/>
      <c r="H217" s="137"/>
      <c r="I217" s="138"/>
      <c r="J217" s="136">
        <f>17356000+338750</f>
        <v>17694750</v>
      </c>
      <c r="K217" s="137">
        <v>13355747</v>
      </c>
      <c r="L217" s="229">
        <f>K217/J217*100</f>
        <v>75.47858545613812</v>
      </c>
      <c r="M217" s="136"/>
      <c r="N217" s="137"/>
      <c r="O217" s="140"/>
      <c r="P217" s="136"/>
      <c r="Q217" s="137"/>
      <c r="R217" s="140"/>
    </row>
    <row r="218" spans="1:18" ht="51.75" customHeight="1">
      <c r="A218" s="340" t="s">
        <v>357</v>
      </c>
      <c r="B218" s="231" t="s">
        <v>413</v>
      </c>
      <c r="C218" s="147">
        <v>35000</v>
      </c>
      <c r="D218" s="148">
        <f t="shared" si="34"/>
        <v>70000</v>
      </c>
      <c r="E218" s="148">
        <f t="shared" si="34"/>
        <v>68685</v>
      </c>
      <c r="F218" s="149">
        <f t="shared" si="32"/>
        <v>98.12142857142857</v>
      </c>
      <c r="G218" s="150">
        <f>35000+35000</f>
        <v>70000</v>
      </c>
      <c r="H218" s="151">
        <v>68685</v>
      </c>
      <c r="I218" s="152">
        <f>H218/G218*100</f>
        <v>98.12142857142857</v>
      </c>
      <c r="J218" s="150"/>
      <c r="K218" s="151"/>
      <c r="L218" s="217"/>
      <c r="M218" s="150"/>
      <c r="N218" s="151"/>
      <c r="O218" s="299"/>
      <c r="P218" s="150"/>
      <c r="Q218" s="151"/>
      <c r="R218" s="299"/>
    </row>
    <row r="219" spans="1:18" ht="51.75" customHeight="1">
      <c r="A219" s="334" t="s">
        <v>553</v>
      </c>
      <c r="B219" s="344" t="s">
        <v>554</v>
      </c>
      <c r="C219" s="208"/>
      <c r="D219" s="209">
        <f t="shared" si="34"/>
        <v>462000</v>
      </c>
      <c r="E219" s="209">
        <f t="shared" si="34"/>
        <v>462000</v>
      </c>
      <c r="F219" s="210"/>
      <c r="G219" s="211"/>
      <c r="H219" s="212"/>
      <c r="I219" s="213"/>
      <c r="J219" s="211">
        <v>462000</v>
      </c>
      <c r="K219" s="212">
        <v>462000</v>
      </c>
      <c r="L219" s="267">
        <f>K219/J219*100</f>
        <v>100</v>
      </c>
      <c r="M219" s="211"/>
      <c r="N219" s="212"/>
      <c r="O219" s="280"/>
      <c r="P219" s="211"/>
      <c r="Q219" s="212"/>
      <c r="R219" s="280"/>
    </row>
    <row r="220" spans="1:18" ht="65.25" customHeight="1">
      <c r="A220" s="285" t="s">
        <v>555</v>
      </c>
      <c r="B220" s="345" t="s">
        <v>556</v>
      </c>
      <c r="C220" s="125">
        <f>C221</f>
        <v>186000</v>
      </c>
      <c r="D220" s="104">
        <f>D221</f>
        <v>191804</v>
      </c>
      <c r="E220" s="104">
        <f>E221</f>
        <v>142401</v>
      </c>
      <c r="F220" s="126">
        <f t="shared" si="32"/>
        <v>74.24297720589769</v>
      </c>
      <c r="G220" s="211"/>
      <c r="H220" s="128"/>
      <c r="I220" s="213"/>
      <c r="J220" s="127">
        <f>J221</f>
        <v>191804</v>
      </c>
      <c r="K220" s="128">
        <f>K221</f>
        <v>142401</v>
      </c>
      <c r="L220" s="333">
        <f>K220/J220*100</f>
        <v>74.24297720589769</v>
      </c>
      <c r="M220" s="221"/>
      <c r="N220" s="222"/>
      <c r="O220" s="213"/>
      <c r="P220" s="221"/>
      <c r="Q220" s="222"/>
      <c r="R220" s="298"/>
    </row>
    <row r="221" spans="1:18" ht="72">
      <c r="A221" s="334" t="s">
        <v>312</v>
      </c>
      <c r="B221" s="346" t="s">
        <v>548</v>
      </c>
      <c r="C221" s="208">
        <v>186000</v>
      </c>
      <c r="D221" s="209">
        <f>G221+J221+M221+P221</f>
        <v>191804</v>
      </c>
      <c r="E221" s="209">
        <f>H221+K221+N221+Q221</f>
        <v>142401</v>
      </c>
      <c r="F221" s="210">
        <f t="shared" si="32"/>
        <v>74.24297720589769</v>
      </c>
      <c r="G221" s="211"/>
      <c r="H221" s="212"/>
      <c r="I221" s="213"/>
      <c r="J221" s="211">
        <f>186000+5804</f>
        <v>191804</v>
      </c>
      <c r="K221" s="212">
        <v>142401</v>
      </c>
      <c r="L221" s="267">
        <f>K221/J221*100</f>
        <v>74.24297720589769</v>
      </c>
      <c r="M221" s="211"/>
      <c r="N221" s="212"/>
      <c r="O221" s="213"/>
      <c r="P221" s="211"/>
      <c r="Q221" s="212"/>
      <c r="R221" s="280"/>
    </row>
    <row r="222" spans="1:18" ht="48">
      <c r="A222" s="285" t="s">
        <v>557</v>
      </c>
      <c r="B222" s="345" t="s">
        <v>558</v>
      </c>
      <c r="C222" s="125">
        <f>SUM(C223:C225)</f>
        <v>4251000</v>
      </c>
      <c r="D222" s="104">
        <f>SUM(D223:D225)</f>
        <v>4339198</v>
      </c>
      <c r="E222" s="104">
        <f>SUM(E223:E225)</f>
        <v>3208660</v>
      </c>
      <c r="F222" s="126">
        <f t="shared" si="32"/>
        <v>73.94592272581247</v>
      </c>
      <c r="G222" s="127">
        <f>SUM(G223:G225)</f>
        <v>2602000</v>
      </c>
      <c r="H222" s="128">
        <f>SUM(H223:H225)</f>
        <v>1956913</v>
      </c>
      <c r="I222" s="129">
        <f>H222/G222*100</f>
        <v>75.20803228285934</v>
      </c>
      <c r="J222" s="127">
        <f>J224</f>
        <v>1737198</v>
      </c>
      <c r="K222" s="128">
        <f>K224</f>
        <v>1251747</v>
      </c>
      <c r="L222" s="333">
        <f>K222/J222*100</f>
        <v>72.05551698770088</v>
      </c>
      <c r="M222" s="127"/>
      <c r="N222" s="128"/>
      <c r="O222" s="280"/>
      <c r="P222" s="127"/>
      <c r="Q222" s="128"/>
      <c r="R222" s="280"/>
    </row>
    <row r="223" spans="1:18" s="122" customFormat="1" ht="36">
      <c r="A223" s="277" t="s">
        <v>322</v>
      </c>
      <c r="B223" s="347" t="s">
        <v>559</v>
      </c>
      <c r="C223" s="348">
        <v>22000</v>
      </c>
      <c r="D223" s="134">
        <f aca="true" t="shared" si="35" ref="D223:E225">G223+J223+M223+P223</f>
        <v>42000</v>
      </c>
      <c r="E223" s="134">
        <f t="shared" si="35"/>
        <v>36916</v>
      </c>
      <c r="F223" s="135">
        <f t="shared" si="32"/>
        <v>87.8952380952381</v>
      </c>
      <c r="G223" s="136">
        <f>22000+20000</f>
        <v>42000</v>
      </c>
      <c r="H223" s="137">
        <v>36916</v>
      </c>
      <c r="I223" s="138">
        <f>H223/G223*100</f>
        <v>87.8952380952381</v>
      </c>
      <c r="J223" s="136"/>
      <c r="K223" s="137"/>
      <c r="L223" s="229"/>
      <c r="M223" s="136"/>
      <c r="N223" s="137"/>
      <c r="O223" s="140"/>
      <c r="P223" s="136"/>
      <c r="Q223" s="137"/>
      <c r="R223" s="140"/>
    </row>
    <row r="224" spans="1:18" ht="72">
      <c r="A224" s="329" t="s">
        <v>312</v>
      </c>
      <c r="B224" s="121" t="s">
        <v>548</v>
      </c>
      <c r="C224" s="113">
        <v>1669000</v>
      </c>
      <c r="D224" s="114">
        <f t="shared" si="35"/>
        <v>1737198</v>
      </c>
      <c r="E224" s="114">
        <f t="shared" si="35"/>
        <v>1251747</v>
      </c>
      <c r="F224" s="141">
        <f t="shared" si="32"/>
        <v>72.05551698770088</v>
      </c>
      <c r="G224" s="116"/>
      <c r="H224" s="117"/>
      <c r="I224" s="118"/>
      <c r="J224" s="116">
        <f>1669000+68198</f>
        <v>1737198</v>
      </c>
      <c r="K224" s="117">
        <v>1251747</v>
      </c>
      <c r="L224" s="230">
        <f>K224/J224*100</f>
        <v>72.05551698770088</v>
      </c>
      <c r="M224" s="116"/>
      <c r="N224" s="117"/>
      <c r="O224" s="120"/>
      <c r="P224" s="116"/>
      <c r="Q224" s="117"/>
      <c r="R224" s="120"/>
    </row>
    <row r="225" spans="1:18" ht="36" customHeight="1">
      <c r="A225" s="340" t="s">
        <v>498</v>
      </c>
      <c r="B225" s="146" t="s">
        <v>560</v>
      </c>
      <c r="C225" s="147">
        <v>2560000</v>
      </c>
      <c r="D225" s="148">
        <f t="shared" si="35"/>
        <v>2560000</v>
      </c>
      <c r="E225" s="148">
        <f t="shared" si="35"/>
        <v>1919997</v>
      </c>
      <c r="F225" s="149">
        <f t="shared" si="32"/>
        <v>74.99988281249999</v>
      </c>
      <c r="G225" s="150">
        <v>2560000</v>
      </c>
      <c r="H225" s="151">
        <v>1919997</v>
      </c>
      <c r="I225" s="152">
        <f aca="true" t="shared" si="36" ref="I225:I232">H225/G225*100</f>
        <v>74.99988281249999</v>
      </c>
      <c r="J225" s="150"/>
      <c r="K225" s="151"/>
      <c r="L225" s="217"/>
      <c r="M225" s="150"/>
      <c r="N225" s="151"/>
      <c r="O225" s="299"/>
      <c r="P225" s="150"/>
      <c r="Q225" s="151"/>
      <c r="R225" s="299"/>
    </row>
    <row r="226" spans="1:18" ht="15.75" customHeight="1">
      <c r="A226" s="285" t="s">
        <v>561</v>
      </c>
      <c r="B226" s="332" t="s">
        <v>562</v>
      </c>
      <c r="C226" s="110">
        <f>SUM(C228:C228)</f>
        <v>30000</v>
      </c>
      <c r="D226" s="104">
        <f>SUM(D227:D228)</f>
        <v>30000</v>
      </c>
      <c r="E226" s="104">
        <f>SUM(E227:E228)</f>
        <v>14952</v>
      </c>
      <c r="F226" s="105">
        <f t="shared" si="32"/>
        <v>49.84</v>
      </c>
      <c r="G226" s="110">
        <f>SUM(G227:G228)</f>
        <v>30000</v>
      </c>
      <c r="H226" s="349">
        <f>SUM(H227:H228)</f>
        <v>14952</v>
      </c>
      <c r="I226" s="335">
        <f t="shared" si="36"/>
        <v>49.84</v>
      </c>
      <c r="J226" s="233"/>
      <c r="K226" s="219"/>
      <c r="L226" s="214"/>
      <c r="M226" s="233"/>
      <c r="N226" s="219"/>
      <c r="O226" s="298"/>
      <c r="P226" s="233"/>
      <c r="Q226" s="219"/>
      <c r="R226" s="298"/>
    </row>
    <row r="227" spans="1:18" s="330" customFormat="1" ht="15.75" customHeight="1">
      <c r="A227" s="329" t="s">
        <v>368</v>
      </c>
      <c r="B227" s="297" t="s">
        <v>412</v>
      </c>
      <c r="C227" s="113"/>
      <c r="D227" s="114"/>
      <c r="E227" s="114">
        <f>H227+K227+N227+Q227</f>
        <v>64</v>
      </c>
      <c r="F227" s="141"/>
      <c r="G227" s="116"/>
      <c r="H227" s="117">
        <v>64</v>
      </c>
      <c r="I227" s="118"/>
      <c r="J227" s="116"/>
      <c r="K227" s="117"/>
      <c r="L227" s="119"/>
      <c r="M227" s="116"/>
      <c r="N227" s="117"/>
      <c r="O227" s="120"/>
      <c r="P227" s="116"/>
      <c r="Q227" s="117"/>
      <c r="R227" s="120"/>
    </row>
    <row r="228" spans="1:18" ht="28.5" customHeight="1">
      <c r="A228" s="340" t="s">
        <v>322</v>
      </c>
      <c r="B228" s="350" t="s">
        <v>563</v>
      </c>
      <c r="C228" s="147">
        <v>30000</v>
      </c>
      <c r="D228" s="148">
        <f>G228+J228+M228+P228</f>
        <v>30000</v>
      </c>
      <c r="E228" s="148">
        <f>H228+K228+N228+Q228</f>
        <v>14888</v>
      </c>
      <c r="F228" s="216">
        <f t="shared" si="32"/>
        <v>49.62666666666667</v>
      </c>
      <c r="G228" s="150">
        <v>30000</v>
      </c>
      <c r="H228" s="151">
        <v>14888</v>
      </c>
      <c r="I228" s="152">
        <f t="shared" si="36"/>
        <v>49.62666666666667</v>
      </c>
      <c r="J228" s="153"/>
      <c r="K228" s="154"/>
      <c r="L228" s="155"/>
      <c r="M228" s="153"/>
      <c r="N228" s="154"/>
      <c r="O228" s="152"/>
      <c r="P228" s="153"/>
      <c r="Q228" s="154"/>
      <c r="R228" s="156"/>
    </row>
    <row r="229" spans="1:18" ht="24">
      <c r="A229" s="285" t="s">
        <v>564</v>
      </c>
      <c r="B229" s="332" t="s">
        <v>565</v>
      </c>
      <c r="C229" s="125">
        <f>SUM(C230:C232)</f>
        <v>1225000</v>
      </c>
      <c r="D229" s="104">
        <f>SUM(D230:D232)</f>
        <v>1312000</v>
      </c>
      <c r="E229" s="104">
        <f>SUM(E230:E232)</f>
        <v>1008124</v>
      </c>
      <c r="F229" s="126">
        <f t="shared" si="32"/>
        <v>76.83871951219513</v>
      </c>
      <c r="G229" s="127">
        <f>SUM(G230:G232)</f>
        <v>1312000</v>
      </c>
      <c r="H229" s="128">
        <f>SUM(H230:H232)</f>
        <v>1008124</v>
      </c>
      <c r="I229" s="335">
        <f t="shared" si="36"/>
        <v>76.83871951219513</v>
      </c>
      <c r="J229" s="127"/>
      <c r="K229" s="128"/>
      <c r="L229" s="333"/>
      <c r="M229" s="211"/>
      <c r="N229" s="212"/>
      <c r="O229" s="280"/>
      <c r="P229" s="211"/>
      <c r="Q229" s="212"/>
      <c r="R229" s="280"/>
    </row>
    <row r="230" spans="1:18" ht="15.75" customHeight="1">
      <c r="A230" s="277" t="s">
        <v>378</v>
      </c>
      <c r="B230" s="347" t="s">
        <v>379</v>
      </c>
      <c r="C230" s="133">
        <v>2000</v>
      </c>
      <c r="D230" s="134">
        <f aca="true" t="shared" si="37" ref="D230:E232">G230+J230+M230+P230</f>
        <v>2000</v>
      </c>
      <c r="E230" s="134">
        <f t="shared" si="37"/>
        <v>282</v>
      </c>
      <c r="F230" s="135">
        <f t="shared" si="32"/>
        <v>14.099999999999998</v>
      </c>
      <c r="G230" s="136">
        <v>2000</v>
      </c>
      <c r="H230" s="137">
        <v>282</v>
      </c>
      <c r="I230" s="138">
        <f t="shared" si="36"/>
        <v>14.099999999999998</v>
      </c>
      <c r="J230" s="136"/>
      <c r="K230" s="137"/>
      <c r="L230" s="229"/>
      <c r="M230" s="136"/>
      <c r="N230" s="137"/>
      <c r="O230" s="138"/>
      <c r="P230" s="136"/>
      <c r="Q230" s="137"/>
      <c r="R230" s="140"/>
    </row>
    <row r="231" spans="1:18" ht="17.25" customHeight="1">
      <c r="A231" s="329" t="s">
        <v>322</v>
      </c>
      <c r="B231" s="297" t="s">
        <v>323</v>
      </c>
      <c r="C231" s="113">
        <v>4000</v>
      </c>
      <c r="D231" s="114">
        <f t="shared" si="37"/>
        <v>9000</v>
      </c>
      <c r="E231" s="114">
        <f t="shared" si="37"/>
        <v>11595</v>
      </c>
      <c r="F231" s="230">
        <f t="shared" si="32"/>
        <v>128.83333333333334</v>
      </c>
      <c r="G231" s="116">
        <f>4000+5000</f>
        <v>9000</v>
      </c>
      <c r="H231" s="117">
        <v>11595</v>
      </c>
      <c r="I231" s="118">
        <f t="shared" si="36"/>
        <v>128.83333333333334</v>
      </c>
      <c r="J231" s="116"/>
      <c r="K231" s="117"/>
      <c r="L231" s="119"/>
      <c r="M231" s="116"/>
      <c r="N231" s="351"/>
      <c r="O231" s="118"/>
      <c r="P231" s="352"/>
      <c r="Q231" s="351"/>
      <c r="R231" s="118"/>
    </row>
    <row r="232" spans="1:18" ht="36.75" customHeight="1">
      <c r="A232" s="340" t="s">
        <v>498</v>
      </c>
      <c r="B232" s="146" t="s">
        <v>560</v>
      </c>
      <c r="C232" s="147">
        <v>1219000</v>
      </c>
      <c r="D232" s="148">
        <f t="shared" si="37"/>
        <v>1301000</v>
      </c>
      <c r="E232" s="148">
        <f t="shared" si="37"/>
        <v>996247</v>
      </c>
      <c r="F232" s="149">
        <f t="shared" si="32"/>
        <v>76.57548039969254</v>
      </c>
      <c r="G232" s="150">
        <f>1219000+76000+6000</f>
        <v>1301000</v>
      </c>
      <c r="H232" s="151">
        <v>996247</v>
      </c>
      <c r="I232" s="152">
        <f t="shared" si="36"/>
        <v>76.57548039969254</v>
      </c>
      <c r="J232" s="150"/>
      <c r="K232" s="151"/>
      <c r="L232" s="217"/>
      <c r="M232" s="150"/>
      <c r="N232" s="151"/>
      <c r="O232" s="299"/>
      <c r="P232" s="150"/>
      <c r="Q232" s="151"/>
      <c r="R232" s="152"/>
    </row>
    <row r="233" spans="1:18" ht="59.25" customHeight="1">
      <c r="A233" s="285" t="s">
        <v>566</v>
      </c>
      <c r="B233" s="332" t="s">
        <v>567</v>
      </c>
      <c r="C233" s="110">
        <f>SUM(C234:C236)</f>
        <v>23000</v>
      </c>
      <c r="D233" s="104">
        <f>SUM(D234:D236)</f>
        <v>52500</v>
      </c>
      <c r="E233" s="104">
        <f>SUM(E234:E236)</f>
        <v>51802</v>
      </c>
      <c r="F233" s="126">
        <f t="shared" si="32"/>
        <v>98.67047619047618</v>
      </c>
      <c r="G233" s="110">
        <f>SUM(G234:G236)</f>
        <v>10000</v>
      </c>
      <c r="H233" s="104">
        <f>SUM(H234:H236)</f>
        <v>9302</v>
      </c>
      <c r="I233" s="129">
        <f>H233/G233*100</f>
        <v>93.02</v>
      </c>
      <c r="J233" s="127"/>
      <c r="K233" s="128"/>
      <c r="L233" s="333"/>
      <c r="M233" s="110">
        <f>SUM(M234:M236)</f>
        <v>25000</v>
      </c>
      <c r="N233" s="104">
        <f>SUM(N234:N236)</f>
        <v>25000</v>
      </c>
      <c r="O233" s="129">
        <f>N233/M233*100</f>
        <v>100</v>
      </c>
      <c r="P233" s="110">
        <f>SUM(P234:P236)</f>
        <v>17500</v>
      </c>
      <c r="Q233" s="104">
        <f>SUM(Q234:Q236)</f>
        <v>17500</v>
      </c>
      <c r="R233" s="129">
        <f>Q233/P233*100</f>
        <v>100</v>
      </c>
    </row>
    <row r="234" spans="1:18" s="122" customFormat="1" ht="36">
      <c r="A234" s="277" t="s">
        <v>378</v>
      </c>
      <c r="B234" s="225" t="s">
        <v>568</v>
      </c>
      <c r="C234" s="133">
        <v>10000</v>
      </c>
      <c r="D234" s="134">
        <f aca="true" t="shared" si="38" ref="D234:E238">G234+J234+M234+P234</f>
        <v>10000</v>
      </c>
      <c r="E234" s="134">
        <f t="shared" si="38"/>
        <v>9302</v>
      </c>
      <c r="F234" s="135">
        <f t="shared" si="32"/>
        <v>93.02</v>
      </c>
      <c r="G234" s="136">
        <v>10000</v>
      </c>
      <c r="H234" s="137">
        <v>9302</v>
      </c>
      <c r="I234" s="353">
        <f>H234/G234*100</f>
        <v>93.02</v>
      </c>
      <c r="J234" s="136"/>
      <c r="K234" s="137"/>
      <c r="L234" s="229"/>
      <c r="M234" s="136"/>
      <c r="N234" s="137"/>
      <c r="O234" s="140"/>
      <c r="P234" s="136"/>
      <c r="Q234" s="137"/>
      <c r="R234" s="138"/>
    </row>
    <row r="235" spans="1:18" s="122" customFormat="1" ht="64.5" customHeight="1">
      <c r="A235" s="329" t="s">
        <v>355</v>
      </c>
      <c r="B235" s="195" t="s">
        <v>356</v>
      </c>
      <c r="C235" s="113">
        <v>13000</v>
      </c>
      <c r="D235" s="114">
        <f>G235+J235+M235+P235</f>
        <v>17500</v>
      </c>
      <c r="E235" s="114">
        <f>H235+K235+N235+Q235</f>
        <v>17500</v>
      </c>
      <c r="F235" s="230">
        <f t="shared" si="32"/>
        <v>100</v>
      </c>
      <c r="G235" s="116"/>
      <c r="H235" s="117"/>
      <c r="I235" s="118"/>
      <c r="J235" s="116"/>
      <c r="K235" s="117"/>
      <c r="L235" s="230"/>
      <c r="M235" s="116"/>
      <c r="N235" s="117"/>
      <c r="O235" s="120"/>
      <c r="P235" s="116">
        <f>13000+4500</f>
        <v>17500</v>
      </c>
      <c r="Q235" s="117">
        <v>17500</v>
      </c>
      <c r="R235" s="118">
        <f>Q235/P235*100</f>
        <v>100</v>
      </c>
    </row>
    <row r="236" spans="1:18" s="330" customFormat="1" ht="49.5" customHeight="1">
      <c r="A236" s="145" t="s">
        <v>523</v>
      </c>
      <c r="B236" s="350" t="s">
        <v>524</v>
      </c>
      <c r="C236" s="147"/>
      <c r="D236" s="148">
        <f>G236+J236+M236+P236</f>
        <v>25000</v>
      </c>
      <c r="E236" s="148">
        <f>H236+K236+N236+Q236</f>
        <v>25000</v>
      </c>
      <c r="F236" s="354">
        <f>E236/D236*100</f>
        <v>100</v>
      </c>
      <c r="G236" s="150"/>
      <c r="H236" s="151"/>
      <c r="I236" s="152"/>
      <c r="J236" s="150"/>
      <c r="K236" s="151"/>
      <c r="L236" s="155"/>
      <c r="M236" s="150">
        <v>25000</v>
      </c>
      <c r="N236" s="151">
        <v>25000</v>
      </c>
      <c r="O236" s="152">
        <f>N236/M236*100</f>
        <v>100</v>
      </c>
      <c r="P236" s="150"/>
      <c r="Q236" s="151"/>
      <c r="R236" s="299"/>
    </row>
    <row r="237" spans="1:18" s="275" customFormat="1" ht="24.75" customHeight="1">
      <c r="A237" s="285" t="s">
        <v>569</v>
      </c>
      <c r="B237" s="355" t="s">
        <v>570</v>
      </c>
      <c r="C237" s="125"/>
      <c r="D237" s="197">
        <f t="shared" si="38"/>
        <v>0</v>
      </c>
      <c r="E237" s="197">
        <f t="shared" si="38"/>
        <v>290</v>
      </c>
      <c r="F237" s="333"/>
      <c r="G237" s="221"/>
      <c r="H237" s="222"/>
      <c r="I237" s="305"/>
      <c r="J237" s="221"/>
      <c r="K237" s="222"/>
      <c r="L237" s="269"/>
      <c r="M237" s="221">
        <f>SUM(M238:M238)</f>
        <v>0</v>
      </c>
      <c r="N237" s="222">
        <f>SUM(N238:N238)</f>
        <v>290</v>
      </c>
      <c r="O237" s="129"/>
      <c r="P237" s="127"/>
      <c r="Q237" s="128"/>
      <c r="R237" s="129"/>
    </row>
    <row r="238" spans="1:18" ht="21.75" customHeight="1">
      <c r="A238" s="277" t="s">
        <v>322</v>
      </c>
      <c r="B238" s="347" t="s">
        <v>323</v>
      </c>
      <c r="C238" s="133"/>
      <c r="D238" s="134">
        <f t="shared" si="38"/>
        <v>0</v>
      </c>
      <c r="E238" s="134">
        <f t="shared" si="38"/>
        <v>290</v>
      </c>
      <c r="F238" s="199"/>
      <c r="G238" s="136"/>
      <c r="H238" s="137"/>
      <c r="I238" s="138"/>
      <c r="J238" s="136"/>
      <c r="K238" s="137"/>
      <c r="L238" s="229"/>
      <c r="M238" s="136"/>
      <c r="N238" s="137">
        <v>290</v>
      </c>
      <c r="O238" s="138"/>
      <c r="P238" s="136"/>
      <c r="Q238" s="137"/>
      <c r="R238" s="138"/>
    </row>
    <row r="239" spans="1:18" ht="39.75" customHeight="1">
      <c r="A239" s="285" t="s">
        <v>571</v>
      </c>
      <c r="B239" s="332" t="s">
        <v>572</v>
      </c>
      <c r="C239" s="125">
        <f>SUM(C240:C241)</f>
        <v>223000</v>
      </c>
      <c r="D239" s="104">
        <f>SUM(D240:D242)</f>
        <v>223000</v>
      </c>
      <c r="E239" s="104">
        <f>SUM(E240:E242)</f>
        <v>179000</v>
      </c>
      <c r="F239" s="126">
        <f t="shared" si="32"/>
        <v>80.26905829596413</v>
      </c>
      <c r="G239" s="127">
        <f>SUM(G240:G242)</f>
        <v>78000</v>
      </c>
      <c r="H239" s="128">
        <f>SUM(H240:H242)</f>
        <v>70253</v>
      </c>
      <c r="I239" s="129">
        <f>H239/G239*100</f>
        <v>90.06794871794872</v>
      </c>
      <c r="J239" s="221">
        <f>J241</f>
        <v>145000</v>
      </c>
      <c r="K239" s="222">
        <f>SUM(K241)</f>
        <v>108747</v>
      </c>
      <c r="L239" s="333">
        <f>K239/J239*100</f>
        <v>74.99793103448276</v>
      </c>
      <c r="M239" s="356"/>
      <c r="N239" s="357"/>
      <c r="O239" s="358"/>
      <c r="P239" s="356"/>
      <c r="Q239" s="357"/>
      <c r="R239" s="358"/>
    </row>
    <row r="240" spans="1:18" ht="24">
      <c r="A240" s="334" t="s">
        <v>378</v>
      </c>
      <c r="B240" s="359" t="s">
        <v>573</v>
      </c>
      <c r="C240" s="208">
        <v>78000</v>
      </c>
      <c r="D240" s="209">
        <f aca="true" t="shared" si="39" ref="D240:E242">G240+J240+M240+P240</f>
        <v>78000</v>
      </c>
      <c r="E240" s="209">
        <f t="shared" si="39"/>
        <v>69688</v>
      </c>
      <c r="F240" s="210">
        <f t="shared" si="32"/>
        <v>89.34358974358975</v>
      </c>
      <c r="G240" s="211">
        <v>78000</v>
      </c>
      <c r="H240" s="212">
        <v>69688</v>
      </c>
      <c r="I240" s="213">
        <f>H240/G240*100</f>
        <v>89.34358974358975</v>
      </c>
      <c r="J240" s="221"/>
      <c r="K240" s="222"/>
      <c r="L240" s="267"/>
      <c r="M240" s="356"/>
      <c r="N240" s="357"/>
      <c r="O240" s="358"/>
      <c r="P240" s="356"/>
      <c r="Q240" s="357"/>
      <c r="R240" s="358"/>
    </row>
    <row r="241" spans="1:18" s="122" customFormat="1" ht="70.5" customHeight="1">
      <c r="A241" s="329" t="s">
        <v>312</v>
      </c>
      <c r="B241" s="121" t="s">
        <v>548</v>
      </c>
      <c r="C241" s="113">
        <v>145000</v>
      </c>
      <c r="D241" s="114">
        <f t="shared" si="39"/>
        <v>145000</v>
      </c>
      <c r="E241" s="114">
        <f t="shared" si="39"/>
        <v>108747</v>
      </c>
      <c r="F241" s="115">
        <f t="shared" si="32"/>
        <v>74.99793103448276</v>
      </c>
      <c r="G241" s="116"/>
      <c r="H241" s="117"/>
      <c r="I241" s="118"/>
      <c r="J241" s="116">
        <v>145000</v>
      </c>
      <c r="K241" s="143">
        <v>108747</v>
      </c>
      <c r="L241" s="230">
        <f>K241/J241*100</f>
        <v>74.99793103448276</v>
      </c>
      <c r="M241" s="360"/>
      <c r="N241" s="361"/>
      <c r="O241" s="362"/>
      <c r="P241" s="360"/>
      <c r="Q241" s="361"/>
      <c r="R241" s="362"/>
    </row>
    <row r="242" spans="1:18" s="122" customFormat="1" ht="43.5" customHeight="1">
      <c r="A242" s="340" t="s">
        <v>357</v>
      </c>
      <c r="B242" s="231" t="s">
        <v>413</v>
      </c>
      <c r="C242" s="147"/>
      <c r="D242" s="148">
        <f t="shared" si="39"/>
        <v>0</v>
      </c>
      <c r="E242" s="148">
        <f t="shared" si="39"/>
        <v>565</v>
      </c>
      <c r="F242" s="216"/>
      <c r="G242" s="150"/>
      <c r="H242" s="151">
        <v>565</v>
      </c>
      <c r="I242" s="152"/>
      <c r="J242" s="150"/>
      <c r="K242" s="154"/>
      <c r="L242" s="217"/>
      <c r="M242" s="363"/>
      <c r="N242" s="364"/>
      <c r="O242" s="365"/>
      <c r="P242" s="363"/>
      <c r="Q242" s="364"/>
      <c r="R242" s="365"/>
    </row>
    <row r="243" spans="1:18" ht="14.25" customHeight="1">
      <c r="A243" s="285" t="s">
        <v>574</v>
      </c>
      <c r="B243" s="366" t="s">
        <v>311</v>
      </c>
      <c r="C243" s="125">
        <f>SUM(C244:C247)</f>
        <v>751200</v>
      </c>
      <c r="D243" s="128">
        <f>SUM(D244:D249)</f>
        <v>1155144</v>
      </c>
      <c r="E243" s="342">
        <f>SUM(E244:E249)</f>
        <v>785436</v>
      </c>
      <c r="F243" s="126">
        <f t="shared" si="32"/>
        <v>67.99463962934492</v>
      </c>
      <c r="G243" s="127">
        <f>SUM(G244:G249)</f>
        <v>1155144</v>
      </c>
      <c r="H243" s="128">
        <f>SUM(H244:H249)</f>
        <v>785436</v>
      </c>
      <c r="I243" s="335">
        <f aca="true" t="shared" si="40" ref="I243:I252">H243/G243*100</f>
        <v>67.99463962934492</v>
      </c>
      <c r="J243" s="233"/>
      <c r="K243" s="219"/>
      <c r="L243" s="214"/>
      <c r="M243" s="367"/>
      <c r="N243" s="368"/>
      <c r="O243" s="369"/>
      <c r="P243" s="356"/>
      <c r="Q243" s="357"/>
      <c r="R243" s="358"/>
    </row>
    <row r="244" spans="1:18" s="122" customFormat="1" ht="24">
      <c r="A244" s="277" t="s">
        <v>378</v>
      </c>
      <c r="B244" s="225" t="s">
        <v>575</v>
      </c>
      <c r="C244" s="133">
        <v>5000</v>
      </c>
      <c r="D244" s="134">
        <f aca="true" t="shared" si="41" ref="D244:E248">G244+J244+M244+P244</f>
        <v>5000</v>
      </c>
      <c r="E244" s="134">
        <f t="shared" si="41"/>
        <v>4768</v>
      </c>
      <c r="F244" s="135">
        <f t="shared" si="32"/>
        <v>95.36</v>
      </c>
      <c r="G244" s="136">
        <v>5000</v>
      </c>
      <c r="H244" s="137">
        <v>4768</v>
      </c>
      <c r="I244" s="138">
        <f t="shared" si="40"/>
        <v>95.36</v>
      </c>
      <c r="J244" s="185"/>
      <c r="K244" s="186"/>
      <c r="L244" s="139"/>
      <c r="M244" s="185"/>
      <c r="N244" s="186"/>
      <c r="O244" s="187"/>
      <c r="P244" s="185"/>
      <c r="Q244" s="186"/>
      <c r="R244" s="187"/>
    </row>
    <row r="245" spans="1:18" ht="27" customHeight="1">
      <c r="A245" s="329" t="s">
        <v>322</v>
      </c>
      <c r="B245" s="166" t="s">
        <v>576</v>
      </c>
      <c r="C245" s="113">
        <v>151200</v>
      </c>
      <c r="D245" s="114">
        <f t="shared" si="41"/>
        <v>221400</v>
      </c>
      <c r="E245" s="114">
        <f t="shared" si="41"/>
        <v>80713</v>
      </c>
      <c r="F245" s="141">
        <f t="shared" si="32"/>
        <v>36.455736224028904</v>
      </c>
      <c r="G245" s="116">
        <v>221400</v>
      </c>
      <c r="H245" s="117">
        <v>80713</v>
      </c>
      <c r="I245" s="118">
        <f t="shared" si="40"/>
        <v>36.455736224028904</v>
      </c>
      <c r="J245" s="142"/>
      <c r="K245" s="143"/>
      <c r="L245" s="119"/>
      <c r="M245" s="142"/>
      <c r="N245" s="143"/>
      <c r="O245" s="144"/>
      <c r="P245" s="142"/>
      <c r="Q245" s="143"/>
      <c r="R245" s="144"/>
    </row>
    <row r="246" spans="1:18" ht="75.75" customHeight="1">
      <c r="A246" s="112" t="s">
        <v>375</v>
      </c>
      <c r="B246" s="166" t="s">
        <v>577</v>
      </c>
      <c r="C246" s="113"/>
      <c r="D246" s="114">
        <f t="shared" si="41"/>
        <v>23080</v>
      </c>
      <c r="E246" s="114">
        <f t="shared" si="41"/>
        <v>23080</v>
      </c>
      <c r="F246" s="141">
        <f t="shared" si="32"/>
        <v>100</v>
      </c>
      <c r="G246" s="116">
        <f>10250+12830</f>
        <v>23080</v>
      </c>
      <c r="H246" s="117">
        <v>23080</v>
      </c>
      <c r="I246" s="118">
        <f t="shared" si="40"/>
        <v>100</v>
      </c>
      <c r="J246" s="116"/>
      <c r="K246" s="117"/>
      <c r="L246" s="119"/>
      <c r="M246" s="116"/>
      <c r="N246" s="117"/>
      <c r="O246" s="118"/>
      <c r="P246" s="116"/>
      <c r="Q246" s="117"/>
      <c r="R246" s="120"/>
    </row>
    <row r="247" spans="1:18" s="122" customFormat="1" ht="48.75" customHeight="1">
      <c r="A247" s="329" t="s">
        <v>498</v>
      </c>
      <c r="B247" s="166" t="s">
        <v>560</v>
      </c>
      <c r="C247" s="113">
        <v>595000</v>
      </c>
      <c r="D247" s="114">
        <f t="shared" si="41"/>
        <v>679000</v>
      </c>
      <c r="E247" s="114">
        <f t="shared" si="41"/>
        <v>644875</v>
      </c>
      <c r="F247" s="141">
        <f t="shared" si="32"/>
        <v>94.9742268041237</v>
      </c>
      <c r="G247" s="116">
        <f>595000+42000+42000</f>
        <v>679000</v>
      </c>
      <c r="H247" s="117">
        <v>644875</v>
      </c>
      <c r="I247" s="118">
        <f t="shared" si="40"/>
        <v>94.9742268041237</v>
      </c>
      <c r="J247" s="142"/>
      <c r="K247" s="143"/>
      <c r="L247" s="119"/>
      <c r="M247" s="142"/>
      <c r="N247" s="143"/>
      <c r="O247" s="144"/>
      <c r="P247" s="142"/>
      <c r="Q247" s="143"/>
      <c r="R247" s="144"/>
    </row>
    <row r="248" spans="1:18" s="122" customFormat="1" ht="62.25" customHeight="1">
      <c r="A248" s="329" t="s">
        <v>337</v>
      </c>
      <c r="B248" s="297" t="s">
        <v>578</v>
      </c>
      <c r="C248" s="113"/>
      <c r="D248" s="114">
        <f t="shared" si="41"/>
        <v>226664</v>
      </c>
      <c r="E248" s="114">
        <f t="shared" si="41"/>
        <v>27200</v>
      </c>
      <c r="F248" s="141">
        <f t="shared" si="32"/>
        <v>12.000141178131507</v>
      </c>
      <c r="G248" s="116">
        <v>226664</v>
      </c>
      <c r="H248" s="117">
        <v>27200</v>
      </c>
      <c r="I248" s="118">
        <f t="shared" si="40"/>
        <v>12.000141178131507</v>
      </c>
      <c r="J248" s="142"/>
      <c r="K248" s="143"/>
      <c r="L248" s="119"/>
      <c r="M248" s="142"/>
      <c r="N248" s="143"/>
      <c r="O248" s="144"/>
      <c r="P248" s="142"/>
      <c r="Q248" s="143"/>
      <c r="R248" s="144"/>
    </row>
    <row r="249" spans="1:18" s="122" customFormat="1" ht="60.75" customHeight="1">
      <c r="A249" s="340" t="s">
        <v>339</v>
      </c>
      <c r="B249" s="350" t="s">
        <v>578</v>
      </c>
      <c r="C249" s="147"/>
      <c r="D249" s="148">
        <f>G249+J249+M249+P249</f>
        <v>0</v>
      </c>
      <c r="E249" s="148">
        <f>H249+K249+N249+Q249</f>
        <v>4800</v>
      </c>
      <c r="F249" s="149"/>
      <c r="G249" s="150"/>
      <c r="H249" s="151">
        <v>4800</v>
      </c>
      <c r="I249" s="152"/>
      <c r="J249" s="153"/>
      <c r="K249" s="154"/>
      <c r="L249" s="155"/>
      <c r="M249" s="153"/>
      <c r="N249" s="154"/>
      <c r="O249" s="156"/>
      <c r="P249" s="153"/>
      <c r="Q249" s="154"/>
      <c r="R249" s="156"/>
    </row>
    <row r="250" spans="1:18" ht="39" customHeight="1" thickBot="1">
      <c r="A250" s="370" t="s">
        <v>579</v>
      </c>
      <c r="B250" s="371" t="s">
        <v>580</v>
      </c>
      <c r="C250" s="372">
        <f>C251+C255+C257</f>
        <v>178000</v>
      </c>
      <c r="D250" s="373">
        <f>D251+D253+D255+D257+D259</f>
        <v>1834492</v>
      </c>
      <c r="E250" s="373">
        <f>E251+E253+E255+E257+E259</f>
        <v>1993724</v>
      </c>
      <c r="F250" s="374">
        <f t="shared" si="32"/>
        <v>108.67989612383155</v>
      </c>
      <c r="G250" s="373">
        <f>G251+G253+G255+G257+G259</f>
        <v>826154</v>
      </c>
      <c r="H250" s="373">
        <f>H251+H253+H255+H257+H259</f>
        <v>948799</v>
      </c>
      <c r="I250" s="375">
        <f t="shared" si="40"/>
        <v>114.84529518709587</v>
      </c>
      <c r="J250" s="376"/>
      <c r="K250" s="377"/>
      <c r="L250" s="378"/>
      <c r="M250" s="379">
        <f>M253+M251+M255+M257</f>
        <v>113404</v>
      </c>
      <c r="N250" s="373">
        <f>N253+N251+N255+N257</f>
        <v>73291</v>
      </c>
      <c r="O250" s="375">
        <f>N250/M250*100</f>
        <v>64.62823180840182</v>
      </c>
      <c r="P250" s="379">
        <f>P251+P255+P257</f>
        <v>116000</v>
      </c>
      <c r="Q250" s="373">
        <f>Q251+Q255+Q257</f>
        <v>89000</v>
      </c>
      <c r="R250" s="375">
        <f>Q250/P250*100</f>
        <v>76.72413793103449</v>
      </c>
    </row>
    <row r="251" spans="1:18" ht="18.75" customHeight="1" thickTop="1">
      <c r="A251" s="325" t="s">
        <v>581</v>
      </c>
      <c r="B251" s="326" t="s">
        <v>582</v>
      </c>
      <c r="C251" s="327">
        <f>C252</f>
        <v>2800</v>
      </c>
      <c r="D251" s="205">
        <f>D252</f>
        <v>1400</v>
      </c>
      <c r="E251" s="205">
        <f>E252</f>
        <v>2045</v>
      </c>
      <c r="F251" s="380">
        <f t="shared" si="32"/>
        <v>146.07142857142856</v>
      </c>
      <c r="G251" s="293">
        <f>G252</f>
        <v>1400</v>
      </c>
      <c r="H251" s="192">
        <f>H252</f>
        <v>2045</v>
      </c>
      <c r="I251" s="294">
        <f t="shared" si="40"/>
        <v>146.07142857142856</v>
      </c>
      <c r="J251" s="293"/>
      <c r="K251" s="192"/>
      <c r="L251" s="381"/>
      <c r="M251" s="293"/>
      <c r="N251" s="192"/>
      <c r="O251" s="294"/>
      <c r="P251" s="293"/>
      <c r="Q251" s="192"/>
      <c r="R251" s="294"/>
    </row>
    <row r="252" spans="1:18" ht="58.5" customHeight="1">
      <c r="A252" s="334" t="s">
        <v>348</v>
      </c>
      <c r="B252" s="165" t="s">
        <v>349</v>
      </c>
      <c r="C252" s="208">
        <v>2800</v>
      </c>
      <c r="D252" s="209">
        <f aca="true" t="shared" si="42" ref="D252:E254">G252+J252+M252+P252</f>
        <v>1400</v>
      </c>
      <c r="E252" s="209">
        <f t="shared" si="42"/>
        <v>2045</v>
      </c>
      <c r="F252" s="210">
        <f t="shared" si="32"/>
        <v>146.07142857142856</v>
      </c>
      <c r="G252" s="211">
        <f>2800-1400</f>
        <v>1400</v>
      </c>
      <c r="H252" s="212">
        <v>2045</v>
      </c>
      <c r="I252" s="213">
        <f t="shared" si="40"/>
        <v>146.07142857142856</v>
      </c>
      <c r="J252" s="211"/>
      <c r="K252" s="212"/>
      <c r="L252" s="214"/>
      <c r="M252" s="211"/>
      <c r="N252" s="212"/>
      <c r="O252" s="213"/>
      <c r="P252" s="211"/>
      <c r="Q252" s="212"/>
      <c r="R252" s="213"/>
    </row>
    <row r="253" spans="1:18" s="164" customFormat="1" ht="39.75" customHeight="1">
      <c r="A253" s="285" t="s">
        <v>583</v>
      </c>
      <c r="B253" s="332" t="s">
        <v>584</v>
      </c>
      <c r="C253" s="125"/>
      <c r="D253" s="197">
        <f t="shared" si="42"/>
        <v>46204</v>
      </c>
      <c r="E253" s="257">
        <f t="shared" si="42"/>
        <v>38006</v>
      </c>
      <c r="F253" s="198">
        <f t="shared" si="32"/>
        <v>82.2569474504372</v>
      </c>
      <c r="G253" s="127"/>
      <c r="H253" s="128"/>
      <c r="I253" s="213"/>
      <c r="J253" s="127"/>
      <c r="K253" s="128"/>
      <c r="L253" s="109"/>
      <c r="M253" s="127">
        <f>M254</f>
        <v>46204</v>
      </c>
      <c r="N253" s="128">
        <f>N254</f>
        <v>38006</v>
      </c>
      <c r="O253" s="129">
        <f>N253/M253*100</f>
        <v>82.2569474504372</v>
      </c>
      <c r="P253" s="127"/>
      <c r="Q253" s="128"/>
      <c r="R253" s="129"/>
    </row>
    <row r="254" spans="1:18" ht="47.25" customHeight="1">
      <c r="A254" s="340" t="s">
        <v>541</v>
      </c>
      <c r="B254" s="382" t="s">
        <v>542</v>
      </c>
      <c r="C254" s="147"/>
      <c r="D254" s="148">
        <f t="shared" si="42"/>
        <v>46204</v>
      </c>
      <c r="E254" s="276">
        <f t="shared" si="42"/>
        <v>38006</v>
      </c>
      <c r="F254" s="216">
        <f t="shared" si="32"/>
        <v>82.2569474504372</v>
      </c>
      <c r="G254" s="150"/>
      <c r="H254" s="151"/>
      <c r="I254" s="152"/>
      <c r="J254" s="150"/>
      <c r="K254" s="151"/>
      <c r="L254" s="155"/>
      <c r="M254" s="150">
        <v>46204</v>
      </c>
      <c r="N254" s="151">
        <v>38006</v>
      </c>
      <c r="O254" s="152">
        <f>N254/M254*100</f>
        <v>82.2569474504372</v>
      </c>
      <c r="P254" s="150"/>
      <c r="Q254" s="151"/>
      <c r="R254" s="152"/>
    </row>
    <row r="255" spans="1:18" ht="24" customHeight="1">
      <c r="A255" s="285" t="s">
        <v>585</v>
      </c>
      <c r="B255" s="332" t="s">
        <v>586</v>
      </c>
      <c r="C255" s="125">
        <f>C256</f>
        <v>108000</v>
      </c>
      <c r="D255" s="104">
        <f>D256</f>
        <v>116000</v>
      </c>
      <c r="E255" s="104">
        <f>E256</f>
        <v>89000</v>
      </c>
      <c r="F255" s="126">
        <f t="shared" si="32"/>
        <v>76.72413793103449</v>
      </c>
      <c r="G255" s="211"/>
      <c r="H255" s="212"/>
      <c r="I255" s="213"/>
      <c r="J255" s="211"/>
      <c r="K255" s="212"/>
      <c r="L255" s="214"/>
      <c r="M255" s="211"/>
      <c r="N255" s="212"/>
      <c r="O255" s="280"/>
      <c r="P255" s="127">
        <f>P256</f>
        <v>116000</v>
      </c>
      <c r="Q255" s="128">
        <f>Q256</f>
        <v>89000</v>
      </c>
      <c r="R255" s="129">
        <f>Q255/P255*100</f>
        <v>76.72413793103449</v>
      </c>
    </row>
    <row r="256" spans="1:18" ht="69.75" customHeight="1">
      <c r="A256" s="334" t="s">
        <v>355</v>
      </c>
      <c r="B256" s="346" t="s">
        <v>587</v>
      </c>
      <c r="C256" s="208">
        <v>108000</v>
      </c>
      <c r="D256" s="209">
        <f>G256+J256+M256+P256</f>
        <v>116000</v>
      </c>
      <c r="E256" s="209">
        <f>H256+K256+N256+Q256</f>
        <v>89000</v>
      </c>
      <c r="F256" s="210">
        <f t="shared" si="32"/>
        <v>76.72413793103449</v>
      </c>
      <c r="G256" s="211"/>
      <c r="H256" s="212"/>
      <c r="I256" s="213"/>
      <c r="J256" s="211"/>
      <c r="K256" s="212"/>
      <c r="L256" s="214"/>
      <c r="M256" s="211"/>
      <c r="N256" s="212"/>
      <c r="O256" s="213"/>
      <c r="P256" s="211">
        <f>111000+5000</f>
        <v>116000</v>
      </c>
      <c r="Q256" s="212">
        <v>89000</v>
      </c>
      <c r="R256" s="213">
        <f>Q256/P256*100</f>
        <v>76.72413793103449</v>
      </c>
    </row>
    <row r="257" spans="1:18" ht="36">
      <c r="A257" s="285" t="s">
        <v>588</v>
      </c>
      <c r="B257" s="332" t="s">
        <v>589</v>
      </c>
      <c r="C257" s="125">
        <f>C258</f>
        <v>67200</v>
      </c>
      <c r="D257" s="104">
        <f>D258</f>
        <v>67200</v>
      </c>
      <c r="E257" s="104">
        <f>E258</f>
        <v>35285</v>
      </c>
      <c r="F257" s="126">
        <f>E257/D257*100</f>
        <v>52.50744047619048</v>
      </c>
      <c r="G257" s="127"/>
      <c r="H257" s="128"/>
      <c r="I257" s="213"/>
      <c r="J257" s="127"/>
      <c r="K257" s="128"/>
      <c r="L257" s="109"/>
      <c r="M257" s="127">
        <f>M258</f>
        <v>67200</v>
      </c>
      <c r="N257" s="128">
        <f>N258</f>
        <v>35285</v>
      </c>
      <c r="O257" s="129">
        <f aca="true" t="shared" si="43" ref="O257:O284">N257/M257*100</f>
        <v>52.50744047619048</v>
      </c>
      <c r="P257" s="127"/>
      <c r="Q257" s="128"/>
      <c r="R257" s="130"/>
    </row>
    <row r="258" spans="1:18" ht="26.25" customHeight="1">
      <c r="A258" s="277" t="s">
        <v>322</v>
      </c>
      <c r="B258" s="347" t="s">
        <v>590</v>
      </c>
      <c r="C258" s="133">
        <v>67200</v>
      </c>
      <c r="D258" s="134">
        <f>G258+J258+M258+P258</f>
        <v>67200</v>
      </c>
      <c r="E258" s="134">
        <f>H258+K258+N258+Q258</f>
        <v>35285</v>
      </c>
      <c r="F258" s="199">
        <f>E258/D258*100</f>
        <v>52.50744047619048</v>
      </c>
      <c r="G258" s="136"/>
      <c r="H258" s="137"/>
      <c r="I258" s="138"/>
      <c r="J258" s="136"/>
      <c r="K258" s="137"/>
      <c r="L258" s="139"/>
      <c r="M258" s="136">
        <v>67200</v>
      </c>
      <c r="N258" s="137">
        <v>35285</v>
      </c>
      <c r="O258" s="138">
        <f t="shared" si="43"/>
        <v>52.50744047619048</v>
      </c>
      <c r="P258" s="136"/>
      <c r="Q258" s="137"/>
      <c r="R258" s="140"/>
    </row>
    <row r="259" spans="1:18" ht="15.75" customHeight="1">
      <c r="A259" s="285" t="s">
        <v>591</v>
      </c>
      <c r="B259" s="366" t="s">
        <v>311</v>
      </c>
      <c r="C259" s="125"/>
      <c r="D259" s="128">
        <f>SUM(D260:D263)</f>
        <v>1603688</v>
      </c>
      <c r="E259" s="342">
        <f>SUM(E260:E263)</f>
        <v>1829388</v>
      </c>
      <c r="F259" s="105">
        <f>E259/D259*100</f>
        <v>114.07380986825369</v>
      </c>
      <c r="G259" s="127">
        <f>G260+G263</f>
        <v>824754</v>
      </c>
      <c r="H259" s="128">
        <f>H260+H263</f>
        <v>946754</v>
      </c>
      <c r="I259" s="129">
        <f>H259/G259*100</f>
        <v>114.79228957968073</v>
      </c>
      <c r="J259" s="233"/>
      <c r="K259" s="219"/>
      <c r="L259" s="214"/>
      <c r="M259" s="367"/>
      <c r="N259" s="368"/>
      <c r="O259" s="369"/>
      <c r="P259" s="356"/>
      <c r="Q259" s="357"/>
      <c r="R259" s="358"/>
    </row>
    <row r="260" spans="1:18" ht="36.75" customHeight="1">
      <c r="A260" s="277" t="s">
        <v>592</v>
      </c>
      <c r="B260" s="347" t="s">
        <v>593</v>
      </c>
      <c r="C260" s="133"/>
      <c r="D260" s="134">
        <f aca="true" t="shared" si="44" ref="D260:E266">G260+J260+M260+P260</f>
        <v>778934</v>
      </c>
      <c r="E260" s="134">
        <f t="shared" si="44"/>
        <v>882634</v>
      </c>
      <c r="F260" s="383">
        <f>E260/D260*100</f>
        <v>113.31306631884088</v>
      </c>
      <c r="G260" s="185">
        <f>G261+G262</f>
        <v>778934</v>
      </c>
      <c r="H260" s="186">
        <f>H261+H262</f>
        <v>882634</v>
      </c>
      <c r="I260" s="353">
        <f>H260/G260*100</f>
        <v>113.31306631884088</v>
      </c>
      <c r="J260" s="136"/>
      <c r="K260" s="137"/>
      <c r="L260" s="139"/>
      <c r="M260" s="136"/>
      <c r="N260" s="137"/>
      <c r="O260" s="138"/>
      <c r="P260" s="136"/>
      <c r="Q260" s="137"/>
      <c r="R260" s="140"/>
    </row>
    <row r="261" spans="1:18" s="397" customFormat="1" ht="11.25" customHeight="1">
      <c r="A261" s="384"/>
      <c r="B261" s="385" t="s">
        <v>594</v>
      </c>
      <c r="C261" s="386"/>
      <c r="D261" s="387">
        <f t="shared" si="44"/>
        <v>778934</v>
      </c>
      <c r="E261" s="387">
        <f t="shared" si="44"/>
        <v>778934</v>
      </c>
      <c r="F261" s="388">
        <f>E261/D261*100</f>
        <v>100</v>
      </c>
      <c r="G261" s="389">
        <v>778934</v>
      </c>
      <c r="H261" s="390">
        <v>778934</v>
      </c>
      <c r="I261" s="391">
        <f>H261/G261*100</f>
        <v>100</v>
      </c>
      <c r="J261" s="392"/>
      <c r="K261" s="393"/>
      <c r="L261" s="394"/>
      <c r="M261" s="392"/>
      <c r="N261" s="393"/>
      <c r="O261" s="395"/>
      <c r="P261" s="392"/>
      <c r="Q261" s="393"/>
      <c r="R261" s="396"/>
    </row>
    <row r="262" spans="1:18" s="397" customFormat="1" ht="14.25" customHeight="1">
      <c r="A262" s="398"/>
      <c r="B262" s="399" t="s">
        <v>595</v>
      </c>
      <c r="C262" s="400"/>
      <c r="D262" s="401">
        <f t="shared" si="44"/>
        <v>0</v>
      </c>
      <c r="E262" s="401">
        <f t="shared" si="44"/>
        <v>103700</v>
      </c>
      <c r="F262" s="402"/>
      <c r="G262" s="403"/>
      <c r="H262" s="404">
        <v>103700</v>
      </c>
      <c r="I262" s="405"/>
      <c r="J262" s="406"/>
      <c r="K262" s="407"/>
      <c r="L262" s="408"/>
      <c r="M262" s="406"/>
      <c r="N262" s="407"/>
      <c r="O262" s="409"/>
      <c r="P262" s="406"/>
      <c r="Q262" s="407"/>
      <c r="R262" s="410"/>
    </row>
    <row r="263" spans="1:18" ht="39.75" customHeight="1">
      <c r="A263" s="277" t="s">
        <v>596</v>
      </c>
      <c r="B263" s="347" t="s">
        <v>593</v>
      </c>
      <c r="C263" s="133"/>
      <c r="D263" s="134">
        <f t="shared" si="44"/>
        <v>45820</v>
      </c>
      <c r="E263" s="134">
        <f t="shared" si="44"/>
        <v>64120</v>
      </c>
      <c r="F263" s="383">
        <f>E263/D263*100</f>
        <v>139.93889131383673</v>
      </c>
      <c r="G263" s="185">
        <f>G264+G265</f>
        <v>45820</v>
      </c>
      <c r="H263" s="186">
        <f>H264+H265</f>
        <v>64120</v>
      </c>
      <c r="I263" s="353">
        <f>H263/G263*100</f>
        <v>139.93889131383673</v>
      </c>
      <c r="J263" s="136"/>
      <c r="K263" s="137"/>
      <c r="L263" s="139"/>
      <c r="M263" s="136"/>
      <c r="N263" s="137"/>
      <c r="O263" s="138"/>
      <c r="P263" s="136"/>
      <c r="Q263" s="137"/>
      <c r="R263" s="140"/>
    </row>
    <row r="264" spans="1:18" s="397" customFormat="1" ht="11.25" customHeight="1">
      <c r="A264" s="384"/>
      <c r="B264" s="385" t="s">
        <v>594</v>
      </c>
      <c r="C264" s="386"/>
      <c r="D264" s="387">
        <f t="shared" si="44"/>
        <v>45820</v>
      </c>
      <c r="E264" s="387">
        <f t="shared" si="44"/>
        <v>45820</v>
      </c>
      <c r="F264" s="388">
        <f>E264/D264*100</f>
        <v>100</v>
      </c>
      <c r="G264" s="389">
        <v>45820</v>
      </c>
      <c r="H264" s="390">
        <v>45820</v>
      </c>
      <c r="I264" s="391">
        <f>H264/G264*100</f>
        <v>100</v>
      </c>
      <c r="J264" s="392"/>
      <c r="K264" s="393"/>
      <c r="L264" s="394"/>
      <c r="M264" s="392"/>
      <c r="N264" s="393"/>
      <c r="O264" s="395"/>
      <c r="P264" s="392"/>
      <c r="Q264" s="393"/>
      <c r="R264" s="396"/>
    </row>
    <row r="265" spans="1:18" s="397" customFormat="1" ht="14.25" customHeight="1" thickBot="1">
      <c r="A265" s="411"/>
      <c r="B265" s="412" t="s">
        <v>595</v>
      </c>
      <c r="C265" s="413"/>
      <c r="D265" s="414">
        <f t="shared" si="44"/>
        <v>0</v>
      </c>
      <c r="E265" s="414">
        <f t="shared" si="44"/>
        <v>18300</v>
      </c>
      <c r="F265" s="415"/>
      <c r="G265" s="416"/>
      <c r="H265" s="417">
        <v>18300</v>
      </c>
      <c r="I265" s="418"/>
      <c r="J265" s="419"/>
      <c r="K265" s="420"/>
      <c r="L265" s="421"/>
      <c r="M265" s="419"/>
      <c r="N265" s="420"/>
      <c r="O265" s="422"/>
      <c r="P265" s="419"/>
      <c r="Q265" s="420"/>
      <c r="R265" s="423"/>
    </row>
    <row r="266" spans="1:18" ht="24.75" thickTop="1">
      <c r="A266" s="325" t="s">
        <v>597</v>
      </c>
      <c r="B266" s="326" t="s">
        <v>598</v>
      </c>
      <c r="C266" s="327">
        <f>C267+C273+C278+C281+C284+C289</f>
        <v>382300</v>
      </c>
      <c r="D266" s="205">
        <f t="shared" si="44"/>
        <v>1057683</v>
      </c>
      <c r="E266" s="205">
        <f t="shared" si="44"/>
        <v>957420</v>
      </c>
      <c r="F266" s="328">
        <f t="shared" si="32"/>
        <v>90.520505671359</v>
      </c>
      <c r="G266" s="293">
        <f>G267+G273+G278+G281+G284+G289</f>
        <v>718535</v>
      </c>
      <c r="H266" s="192">
        <f>H267+H273+H278+H281+H284+H289</f>
        <v>699965</v>
      </c>
      <c r="I266" s="294">
        <f>H266/G266*100</f>
        <v>97.41557474583702</v>
      </c>
      <c r="J266" s="293"/>
      <c r="K266" s="192"/>
      <c r="L266" s="424"/>
      <c r="M266" s="293">
        <f>M267+M273+M278+M281+M284+M292</f>
        <v>339148</v>
      </c>
      <c r="N266" s="192">
        <f>N267+N273+N278+N281+N284+N292</f>
        <v>257455</v>
      </c>
      <c r="O266" s="296">
        <f t="shared" si="43"/>
        <v>75.9122860815927</v>
      </c>
      <c r="P266" s="293"/>
      <c r="Q266" s="192"/>
      <c r="R266" s="296"/>
    </row>
    <row r="267" spans="1:18" ht="26.25" customHeight="1">
      <c r="A267" s="425" t="s">
        <v>599</v>
      </c>
      <c r="B267" s="426" t="s">
        <v>600</v>
      </c>
      <c r="C267" s="194">
        <f>SUM(C268:C272)</f>
        <v>65300</v>
      </c>
      <c r="D267" s="157">
        <f>SUM(D268:D272)</f>
        <v>73900</v>
      </c>
      <c r="E267" s="157">
        <f>SUM(E268:E272)</f>
        <v>58571</v>
      </c>
      <c r="F267" s="180">
        <f t="shared" si="32"/>
        <v>79.25710419485792</v>
      </c>
      <c r="G267" s="106"/>
      <c r="H267" s="107"/>
      <c r="I267" s="152"/>
      <c r="J267" s="106"/>
      <c r="K267" s="107"/>
      <c r="L267" s="193"/>
      <c r="M267" s="194">
        <f>SUM(M268:M272)</f>
        <v>73900</v>
      </c>
      <c r="N267" s="157">
        <f>SUM(N268:N272)</f>
        <v>58571</v>
      </c>
      <c r="O267" s="111">
        <f t="shared" si="43"/>
        <v>79.25710419485792</v>
      </c>
      <c r="P267" s="106"/>
      <c r="Q267" s="107"/>
      <c r="R267" s="111"/>
    </row>
    <row r="268" spans="1:18" ht="18" customHeight="1">
      <c r="A268" s="277" t="s">
        <v>346</v>
      </c>
      <c r="B268" s="347" t="s">
        <v>502</v>
      </c>
      <c r="C268" s="133">
        <v>57000</v>
      </c>
      <c r="D268" s="134">
        <f aca="true" t="shared" si="45" ref="D268:E272">G268+J268+M268+P268</f>
        <v>57000</v>
      </c>
      <c r="E268" s="134">
        <f t="shared" si="45"/>
        <v>37548</v>
      </c>
      <c r="F268" s="135">
        <f t="shared" si="32"/>
        <v>65.87368421052632</v>
      </c>
      <c r="G268" s="136"/>
      <c r="H268" s="137"/>
      <c r="I268" s="138"/>
      <c r="J268" s="136"/>
      <c r="K268" s="137"/>
      <c r="L268" s="139"/>
      <c r="M268" s="136">
        <v>57000</v>
      </c>
      <c r="N268" s="137">
        <v>37548</v>
      </c>
      <c r="O268" s="138">
        <f t="shared" si="43"/>
        <v>65.87368421052632</v>
      </c>
      <c r="P268" s="136"/>
      <c r="Q268" s="137"/>
      <c r="R268" s="140"/>
    </row>
    <row r="269" spans="1:18" s="122" customFormat="1" ht="64.5" customHeight="1">
      <c r="A269" s="329" t="s">
        <v>348</v>
      </c>
      <c r="B269" s="166" t="s">
        <v>349</v>
      </c>
      <c r="C269" s="113">
        <v>2000</v>
      </c>
      <c r="D269" s="114">
        <f t="shared" si="45"/>
        <v>2000</v>
      </c>
      <c r="E269" s="114">
        <f t="shared" si="45"/>
        <v>1464</v>
      </c>
      <c r="F269" s="141">
        <f t="shared" si="32"/>
        <v>73.2</v>
      </c>
      <c r="G269" s="116"/>
      <c r="H269" s="117"/>
      <c r="I269" s="118"/>
      <c r="J269" s="116"/>
      <c r="K269" s="117"/>
      <c r="L269" s="119"/>
      <c r="M269" s="116">
        <v>2000</v>
      </c>
      <c r="N269" s="117">
        <v>1464</v>
      </c>
      <c r="O269" s="118">
        <f t="shared" si="43"/>
        <v>73.2</v>
      </c>
      <c r="P269" s="116"/>
      <c r="Q269" s="117"/>
      <c r="R269" s="120"/>
    </row>
    <row r="270" spans="1:18" ht="12.75" customHeight="1">
      <c r="A270" s="329" t="s">
        <v>378</v>
      </c>
      <c r="B270" s="297" t="s">
        <v>379</v>
      </c>
      <c r="C270" s="113">
        <v>6000</v>
      </c>
      <c r="D270" s="114">
        <f t="shared" si="45"/>
        <v>12000</v>
      </c>
      <c r="E270" s="114">
        <f t="shared" si="45"/>
        <v>16871</v>
      </c>
      <c r="F270" s="141">
        <f t="shared" si="32"/>
        <v>140.59166666666667</v>
      </c>
      <c r="G270" s="116"/>
      <c r="H270" s="117"/>
      <c r="I270" s="118"/>
      <c r="J270" s="142"/>
      <c r="K270" s="143"/>
      <c r="L270" s="119"/>
      <c r="M270" s="142">
        <f>6000+6000</f>
        <v>12000</v>
      </c>
      <c r="N270" s="143">
        <v>16871</v>
      </c>
      <c r="O270" s="118">
        <f t="shared" si="43"/>
        <v>140.59166666666667</v>
      </c>
      <c r="P270" s="142"/>
      <c r="Q270" s="143"/>
      <c r="R270" s="144"/>
    </row>
    <row r="271" spans="1:18" ht="14.25" customHeight="1">
      <c r="A271" s="329" t="s">
        <v>368</v>
      </c>
      <c r="B271" s="297" t="s">
        <v>412</v>
      </c>
      <c r="C271" s="113">
        <v>200</v>
      </c>
      <c r="D271" s="114">
        <f t="shared" si="45"/>
        <v>200</v>
      </c>
      <c r="E271" s="114">
        <f t="shared" si="45"/>
        <v>80</v>
      </c>
      <c r="F271" s="141">
        <f aca="true" t="shared" si="46" ref="F271:F294">E271/D271*100</f>
        <v>40</v>
      </c>
      <c r="G271" s="116"/>
      <c r="H271" s="117"/>
      <c r="I271" s="118"/>
      <c r="J271" s="142"/>
      <c r="K271" s="143"/>
      <c r="L271" s="119"/>
      <c r="M271" s="142">
        <v>200</v>
      </c>
      <c r="N271" s="143">
        <v>80</v>
      </c>
      <c r="O271" s="118">
        <f t="shared" si="43"/>
        <v>40</v>
      </c>
      <c r="P271" s="142"/>
      <c r="Q271" s="143"/>
      <c r="R271" s="144"/>
    </row>
    <row r="272" spans="1:18" ht="14.25" customHeight="1">
      <c r="A272" s="340" t="s">
        <v>322</v>
      </c>
      <c r="B272" s="236" t="s">
        <v>329</v>
      </c>
      <c r="C272" s="147">
        <v>100</v>
      </c>
      <c r="D272" s="148">
        <f t="shared" si="45"/>
        <v>2700</v>
      </c>
      <c r="E272" s="148">
        <f t="shared" si="45"/>
        <v>2608</v>
      </c>
      <c r="F272" s="216">
        <f t="shared" si="46"/>
        <v>96.5925925925926</v>
      </c>
      <c r="G272" s="150"/>
      <c r="H272" s="151"/>
      <c r="I272" s="152"/>
      <c r="J272" s="153"/>
      <c r="K272" s="154"/>
      <c r="L272" s="155"/>
      <c r="M272" s="153">
        <f>100+1300+1300</f>
        <v>2700</v>
      </c>
      <c r="N272" s="154">
        <v>2608</v>
      </c>
      <c r="O272" s="152">
        <f t="shared" si="43"/>
        <v>96.5925925925926</v>
      </c>
      <c r="P272" s="153"/>
      <c r="Q272" s="154"/>
      <c r="R272" s="156"/>
    </row>
    <row r="273" spans="1:18" ht="36">
      <c r="A273" s="285" t="s">
        <v>601</v>
      </c>
      <c r="B273" s="332" t="s">
        <v>602</v>
      </c>
      <c r="C273" s="125">
        <f>C274</f>
        <v>2500</v>
      </c>
      <c r="D273" s="104">
        <f>SUM(D274:D277)</f>
        <v>6648</v>
      </c>
      <c r="E273" s="104">
        <f>SUM(E274:E277)</f>
        <v>7127</v>
      </c>
      <c r="F273" s="126">
        <f t="shared" si="46"/>
        <v>107.20517448856799</v>
      </c>
      <c r="G273" s="127"/>
      <c r="H273" s="128"/>
      <c r="I273" s="213"/>
      <c r="J273" s="127"/>
      <c r="K273" s="128"/>
      <c r="L273" s="214"/>
      <c r="M273" s="127">
        <f>SUM(M274:M277)</f>
        <v>6648</v>
      </c>
      <c r="N273" s="128">
        <f>SUM(N274:N277)</f>
        <v>7127</v>
      </c>
      <c r="O273" s="129">
        <f t="shared" si="43"/>
        <v>107.20517448856799</v>
      </c>
      <c r="P273" s="127"/>
      <c r="Q273" s="128"/>
      <c r="R273" s="213"/>
    </row>
    <row r="274" spans="1:18" ht="53.25" customHeight="1">
      <c r="A274" s="277" t="s">
        <v>348</v>
      </c>
      <c r="B274" s="132" t="s">
        <v>349</v>
      </c>
      <c r="C274" s="133">
        <v>2500</v>
      </c>
      <c r="D274" s="134">
        <f aca="true" t="shared" si="47" ref="D274:E277">G274+J274+M274+P274</f>
        <v>3000</v>
      </c>
      <c r="E274" s="134">
        <f t="shared" si="47"/>
        <v>3444</v>
      </c>
      <c r="F274" s="135">
        <f t="shared" si="46"/>
        <v>114.8</v>
      </c>
      <c r="G274" s="136"/>
      <c r="H274" s="137"/>
      <c r="I274" s="138"/>
      <c r="J274" s="136"/>
      <c r="K274" s="137"/>
      <c r="L274" s="139"/>
      <c r="M274" s="136">
        <f>2500+500</f>
        <v>3000</v>
      </c>
      <c r="N274" s="137">
        <v>3444</v>
      </c>
      <c r="O274" s="138">
        <f t="shared" si="43"/>
        <v>114.8</v>
      </c>
      <c r="P274" s="136"/>
      <c r="Q274" s="137"/>
      <c r="R274" s="140"/>
    </row>
    <row r="275" spans="1:18" ht="12.75">
      <c r="A275" s="329" t="s">
        <v>368</v>
      </c>
      <c r="B275" s="297" t="s">
        <v>412</v>
      </c>
      <c r="C275" s="113"/>
      <c r="D275" s="114"/>
      <c r="E275" s="114">
        <f t="shared" si="47"/>
        <v>34</v>
      </c>
      <c r="F275" s="141"/>
      <c r="G275" s="116"/>
      <c r="H275" s="117"/>
      <c r="I275" s="118"/>
      <c r="J275" s="116"/>
      <c r="K275" s="117"/>
      <c r="L275" s="119"/>
      <c r="M275" s="116"/>
      <c r="N275" s="117">
        <v>34</v>
      </c>
      <c r="O275" s="118"/>
      <c r="P275" s="116"/>
      <c r="Q275" s="117"/>
      <c r="R275" s="120"/>
    </row>
    <row r="276" spans="1:18" s="122" customFormat="1" ht="18" customHeight="1">
      <c r="A276" s="329" t="s">
        <v>322</v>
      </c>
      <c r="B276" s="297" t="s">
        <v>329</v>
      </c>
      <c r="C276" s="113"/>
      <c r="D276" s="114">
        <f t="shared" si="47"/>
        <v>3648</v>
      </c>
      <c r="E276" s="114">
        <f t="shared" si="47"/>
        <v>3649</v>
      </c>
      <c r="F276" s="141">
        <f t="shared" si="46"/>
        <v>100.02741228070175</v>
      </c>
      <c r="G276" s="116"/>
      <c r="H276" s="117"/>
      <c r="I276" s="118"/>
      <c r="J276" s="116"/>
      <c r="K276" s="117"/>
      <c r="L276" s="119"/>
      <c r="M276" s="116">
        <v>3648</v>
      </c>
      <c r="N276" s="117">
        <v>3649</v>
      </c>
      <c r="O276" s="118">
        <f t="shared" si="43"/>
        <v>100.02741228070175</v>
      </c>
      <c r="P276" s="116"/>
      <c r="Q276" s="117"/>
      <c r="R276" s="120"/>
    </row>
    <row r="277" spans="1:18" s="330" customFormat="1" ht="48.75" customHeight="1">
      <c r="A277" s="145" t="s">
        <v>523</v>
      </c>
      <c r="B277" s="350" t="s">
        <v>524</v>
      </c>
      <c r="C277" s="147"/>
      <c r="D277" s="148">
        <f t="shared" si="47"/>
        <v>0</v>
      </c>
      <c r="E277" s="148">
        <f t="shared" si="47"/>
        <v>0</v>
      </c>
      <c r="F277" s="149"/>
      <c r="G277" s="150"/>
      <c r="H277" s="151"/>
      <c r="I277" s="152"/>
      <c r="J277" s="150"/>
      <c r="K277" s="151"/>
      <c r="L277" s="155"/>
      <c r="M277" s="150"/>
      <c r="N277" s="151"/>
      <c r="O277" s="152"/>
      <c r="P277" s="150"/>
      <c r="Q277" s="151"/>
      <c r="R277" s="299"/>
    </row>
    <row r="278" spans="1:18" ht="24.75" customHeight="1">
      <c r="A278" s="285" t="s">
        <v>603</v>
      </c>
      <c r="B278" s="124" t="s">
        <v>604</v>
      </c>
      <c r="C278" s="125">
        <f>SUM(C279:C280)</f>
        <v>14500</v>
      </c>
      <c r="D278" s="104">
        <f>SUM(D279:D280)</f>
        <v>20500</v>
      </c>
      <c r="E278" s="104">
        <f>SUM(E279:E280)</f>
        <v>21185</v>
      </c>
      <c r="F278" s="126">
        <f t="shared" si="46"/>
        <v>103.34146341463415</v>
      </c>
      <c r="G278" s="127"/>
      <c r="H278" s="128"/>
      <c r="I278" s="213"/>
      <c r="J278" s="127"/>
      <c r="K278" s="128"/>
      <c r="L278" s="267"/>
      <c r="M278" s="127">
        <f>M279+M280</f>
        <v>20500</v>
      </c>
      <c r="N278" s="128">
        <f>N279+N280</f>
        <v>21185</v>
      </c>
      <c r="O278" s="129">
        <f t="shared" si="43"/>
        <v>103.34146341463415</v>
      </c>
      <c r="P278" s="221"/>
      <c r="Q278" s="222"/>
      <c r="R278" s="280"/>
    </row>
    <row r="279" spans="1:18" s="122" customFormat="1" ht="63" customHeight="1">
      <c r="A279" s="277" t="s">
        <v>348</v>
      </c>
      <c r="B279" s="132" t="s">
        <v>605</v>
      </c>
      <c r="C279" s="133">
        <v>6000</v>
      </c>
      <c r="D279" s="134">
        <f>G279+J279+M279+P279</f>
        <v>12000</v>
      </c>
      <c r="E279" s="134">
        <f>H279+K279+N279+Q279</f>
        <v>11685</v>
      </c>
      <c r="F279" s="135">
        <f t="shared" si="46"/>
        <v>97.375</v>
      </c>
      <c r="G279" s="136"/>
      <c r="H279" s="137"/>
      <c r="I279" s="138"/>
      <c r="J279" s="136"/>
      <c r="K279" s="137"/>
      <c r="L279" s="139"/>
      <c r="M279" s="136">
        <f>6000+6000</f>
        <v>12000</v>
      </c>
      <c r="N279" s="137">
        <v>11685</v>
      </c>
      <c r="O279" s="138">
        <f t="shared" si="43"/>
        <v>97.375</v>
      </c>
      <c r="P279" s="136"/>
      <c r="Q279" s="137"/>
      <c r="R279" s="140"/>
    </row>
    <row r="280" spans="1:18" ht="12.75" customHeight="1">
      <c r="A280" s="340" t="s">
        <v>378</v>
      </c>
      <c r="B280" s="350" t="s">
        <v>379</v>
      </c>
      <c r="C280" s="147">
        <v>8500</v>
      </c>
      <c r="D280" s="148">
        <f>G280+J280+M280+P280</f>
        <v>8500</v>
      </c>
      <c r="E280" s="148">
        <f>H280+K280+N280+Q280</f>
        <v>9500</v>
      </c>
      <c r="F280" s="216">
        <f t="shared" si="46"/>
        <v>111.76470588235294</v>
      </c>
      <c r="G280" s="150"/>
      <c r="H280" s="151"/>
      <c r="I280" s="152"/>
      <c r="J280" s="153"/>
      <c r="K280" s="154"/>
      <c r="L280" s="155"/>
      <c r="M280" s="153">
        <v>8500</v>
      </c>
      <c r="N280" s="154">
        <v>9500</v>
      </c>
      <c r="O280" s="152">
        <f t="shared" si="43"/>
        <v>111.76470588235294</v>
      </c>
      <c r="P280" s="153"/>
      <c r="Q280" s="154"/>
      <c r="R280" s="156"/>
    </row>
    <row r="281" spans="1:18" ht="15.75" customHeight="1">
      <c r="A281" s="285" t="s">
        <v>606</v>
      </c>
      <c r="B281" s="332" t="s">
        <v>607</v>
      </c>
      <c r="C281" s="125">
        <f>C282</f>
        <v>200000</v>
      </c>
      <c r="D281" s="104">
        <f>SUM(D282:D283)</f>
        <v>201500</v>
      </c>
      <c r="E281" s="104">
        <f>SUM(E282:E283)</f>
        <v>136472</v>
      </c>
      <c r="F281" s="126">
        <f t="shared" si="46"/>
        <v>67.72803970223326</v>
      </c>
      <c r="G281" s="127"/>
      <c r="H281" s="128"/>
      <c r="I281" s="213"/>
      <c r="J281" s="127"/>
      <c r="K281" s="128"/>
      <c r="L281" s="109"/>
      <c r="M281" s="127">
        <f>SUM(M282:M283)</f>
        <v>201500</v>
      </c>
      <c r="N281" s="128">
        <f>SUM(N282:N283)</f>
        <v>136472</v>
      </c>
      <c r="O281" s="129">
        <f t="shared" si="43"/>
        <v>67.72803970223326</v>
      </c>
      <c r="P281" s="127"/>
      <c r="Q281" s="128"/>
      <c r="R281" s="130"/>
    </row>
    <row r="282" spans="1:18" s="122" customFormat="1" ht="70.5" customHeight="1">
      <c r="A282" s="277" t="s">
        <v>348</v>
      </c>
      <c r="B282" s="132" t="s">
        <v>605</v>
      </c>
      <c r="C282" s="133">
        <v>200000</v>
      </c>
      <c r="D282" s="134">
        <f>G282+J282+M282+P282</f>
        <v>200000</v>
      </c>
      <c r="E282" s="134">
        <f>H282+K282+N282+Q282</f>
        <v>135052</v>
      </c>
      <c r="F282" s="135">
        <f t="shared" si="46"/>
        <v>67.526</v>
      </c>
      <c r="G282" s="136"/>
      <c r="H282" s="137"/>
      <c r="I282" s="138"/>
      <c r="J282" s="136"/>
      <c r="K282" s="137"/>
      <c r="L282" s="139"/>
      <c r="M282" s="136">
        <v>200000</v>
      </c>
      <c r="N282" s="137">
        <v>135052</v>
      </c>
      <c r="O282" s="138">
        <f t="shared" si="43"/>
        <v>67.526</v>
      </c>
      <c r="P282" s="136"/>
      <c r="Q282" s="137"/>
      <c r="R282" s="140"/>
    </row>
    <row r="283" spans="1:18" ht="21" customHeight="1">
      <c r="A283" s="340" t="s">
        <v>320</v>
      </c>
      <c r="B283" s="350" t="s">
        <v>608</v>
      </c>
      <c r="C283" s="147"/>
      <c r="D283" s="148">
        <f>G283+J283+M283+P283</f>
        <v>1500</v>
      </c>
      <c r="E283" s="148">
        <f>H283+K283+N283+Q283</f>
        <v>1420</v>
      </c>
      <c r="F283" s="149">
        <f t="shared" si="46"/>
        <v>94.66666666666667</v>
      </c>
      <c r="G283" s="150"/>
      <c r="H283" s="151"/>
      <c r="I283" s="152"/>
      <c r="J283" s="150"/>
      <c r="K283" s="151"/>
      <c r="L283" s="155"/>
      <c r="M283" s="150">
        <v>1500</v>
      </c>
      <c r="N283" s="151">
        <v>1420</v>
      </c>
      <c r="O283" s="152">
        <f t="shared" si="43"/>
        <v>94.66666666666667</v>
      </c>
      <c r="P283" s="150"/>
      <c r="Q283" s="151"/>
      <c r="R283" s="299"/>
    </row>
    <row r="284" spans="1:18" ht="24">
      <c r="A284" s="285" t="s">
        <v>609</v>
      </c>
      <c r="B284" s="332" t="s">
        <v>610</v>
      </c>
      <c r="C284" s="125">
        <f>SUM(C287:C288)</f>
        <v>0</v>
      </c>
      <c r="D284" s="104">
        <f>SUM(D285:D288)</f>
        <v>644935</v>
      </c>
      <c r="E284" s="104">
        <f>SUM(E285:E288)</f>
        <v>644935</v>
      </c>
      <c r="F284" s="126">
        <f t="shared" si="46"/>
        <v>100</v>
      </c>
      <c r="G284" s="127">
        <f>SUM(G285:G288)</f>
        <v>615335</v>
      </c>
      <c r="H284" s="128">
        <f>SUM(H285:H288)</f>
        <v>615335</v>
      </c>
      <c r="I284" s="129">
        <f>H284/G284*100</f>
        <v>100</v>
      </c>
      <c r="J284" s="127"/>
      <c r="K284" s="128"/>
      <c r="L284" s="109"/>
      <c r="M284" s="127">
        <f>SUM(M285:M288)</f>
        <v>29600</v>
      </c>
      <c r="N284" s="128">
        <f>SUM(N285:N288)</f>
        <v>29600</v>
      </c>
      <c r="O284" s="129">
        <f t="shared" si="43"/>
        <v>100</v>
      </c>
      <c r="P284" s="127"/>
      <c r="Q284" s="128"/>
      <c r="R284" s="130"/>
    </row>
    <row r="285" spans="1:18" s="330" customFormat="1" ht="46.5" customHeight="1">
      <c r="A285" s="131" t="s">
        <v>498</v>
      </c>
      <c r="B285" s="347" t="s">
        <v>611</v>
      </c>
      <c r="C285" s="133"/>
      <c r="D285" s="134">
        <f aca="true" t="shared" si="48" ref="D285:E288">G285+J285+M285+P285</f>
        <v>615335</v>
      </c>
      <c r="E285" s="134">
        <f t="shared" si="48"/>
        <v>615335</v>
      </c>
      <c r="F285" s="199">
        <f t="shared" si="46"/>
        <v>100</v>
      </c>
      <c r="G285" s="136">
        <f>576559+38776</f>
        <v>615335</v>
      </c>
      <c r="H285" s="137">
        <v>615335</v>
      </c>
      <c r="I285" s="138">
        <f>H285/G285*100</f>
        <v>100</v>
      </c>
      <c r="J285" s="136"/>
      <c r="K285" s="137"/>
      <c r="L285" s="139"/>
      <c r="M285" s="136"/>
      <c r="N285" s="137"/>
      <c r="O285" s="138"/>
      <c r="P285" s="136"/>
      <c r="Q285" s="137"/>
      <c r="R285" s="140"/>
    </row>
    <row r="286" spans="1:18" s="265" customFormat="1" ht="47.25" customHeight="1">
      <c r="A286" s="112" t="s">
        <v>523</v>
      </c>
      <c r="B286" s="297" t="s">
        <v>524</v>
      </c>
      <c r="C286" s="113"/>
      <c r="D286" s="114">
        <f t="shared" si="48"/>
        <v>29600</v>
      </c>
      <c r="E286" s="114">
        <f t="shared" si="48"/>
        <v>29600</v>
      </c>
      <c r="F286" s="115">
        <f t="shared" si="46"/>
        <v>100</v>
      </c>
      <c r="G286" s="116"/>
      <c r="H286" s="117"/>
      <c r="I286" s="118"/>
      <c r="J286" s="116"/>
      <c r="K286" s="117"/>
      <c r="L286" s="119"/>
      <c r="M286" s="116">
        <v>29600</v>
      </c>
      <c r="N286" s="117">
        <v>29600</v>
      </c>
      <c r="O286" s="118">
        <f>N286/M286*100</f>
        <v>100</v>
      </c>
      <c r="P286" s="116"/>
      <c r="Q286" s="117"/>
      <c r="R286" s="120"/>
    </row>
    <row r="287" spans="1:18" ht="56.25" hidden="1">
      <c r="A287" s="112" t="s">
        <v>612</v>
      </c>
      <c r="B287" s="195" t="s">
        <v>613</v>
      </c>
      <c r="C287" s="113"/>
      <c r="D287" s="114">
        <f t="shared" si="48"/>
        <v>0</v>
      </c>
      <c r="E287" s="114">
        <f t="shared" si="48"/>
        <v>0</v>
      </c>
      <c r="F287" s="141" t="e">
        <f t="shared" si="46"/>
        <v>#DIV/0!</v>
      </c>
      <c r="G287" s="116"/>
      <c r="H287" s="117"/>
      <c r="I287" s="118"/>
      <c r="J287" s="116"/>
      <c r="K287" s="117"/>
      <c r="L287" s="119"/>
      <c r="M287" s="116"/>
      <c r="N287" s="117"/>
      <c r="O287" s="118"/>
      <c r="P287" s="116"/>
      <c r="Q287" s="117"/>
      <c r="R287" s="120"/>
    </row>
    <row r="288" spans="1:18" s="122" customFormat="1" ht="56.25" hidden="1">
      <c r="A288" s="145" t="s">
        <v>614</v>
      </c>
      <c r="B288" s="231" t="s">
        <v>613</v>
      </c>
      <c r="C288" s="147"/>
      <c r="D288" s="148">
        <f t="shared" si="48"/>
        <v>0</v>
      </c>
      <c r="E288" s="148">
        <f t="shared" si="48"/>
        <v>0</v>
      </c>
      <c r="F288" s="149" t="e">
        <f t="shared" si="46"/>
        <v>#DIV/0!</v>
      </c>
      <c r="G288" s="150"/>
      <c r="H288" s="151"/>
      <c r="I288" s="152"/>
      <c r="J288" s="150"/>
      <c r="K288" s="151"/>
      <c r="L288" s="155"/>
      <c r="M288" s="150"/>
      <c r="N288" s="151"/>
      <c r="O288" s="118"/>
      <c r="P288" s="150"/>
      <c r="Q288" s="151"/>
      <c r="R288" s="299"/>
    </row>
    <row r="289" spans="1:18" ht="24">
      <c r="A289" s="285" t="s">
        <v>615</v>
      </c>
      <c r="B289" s="332" t="s">
        <v>616</v>
      </c>
      <c r="C289" s="125">
        <f>SUM(C290:C291)</f>
        <v>100000</v>
      </c>
      <c r="D289" s="104">
        <f>SUM(D290:D291)</f>
        <v>103200</v>
      </c>
      <c r="E289" s="104">
        <f>SUM(E290:E291)</f>
        <v>84630</v>
      </c>
      <c r="F289" s="126">
        <f t="shared" si="46"/>
        <v>82.00581395348837</v>
      </c>
      <c r="G289" s="127">
        <f>SUM(G290:G291)</f>
        <v>103200</v>
      </c>
      <c r="H289" s="128">
        <f>SUM(H290:H291)</f>
        <v>84630</v>
      </c>
      <c r="I289" s="129">
        <f aca="true" t="shared" si="49" ref="I289:I304">H289/G289*100</f>
        <v>82.00581395348837</v>
      </c>
      <c r="J289" s="127"/>
      <c r="K289" s="128"/>
      <c r="L289" s="109"/>
      <c r="M289" s="127"/>
      <c r="N289" s="128"/>
      <c r="O289" s="129"/>
      <c r="P289" s="127"/>
      <c r="Q289" s="128"/>
      <c r="R289" s="129"/>
    </row>
    <row r="290" spans="1:18" ht="13.5" customHeight="1">
      <c r="A290" s="277" t="s">
        <v>378</v>
      </c>
      <c r="B290" s="347" t="s">
        <v>379</v>
      </c>
      <c r="C290" s="133">
        <v>97000</v>
      </c>
      <c r="D290" s="134">
        <f aca="true" t="shared" si="50" ref="D290:E293">G290+J290+M290+P290</f>
        <v>97000</v>
      </c>
      <c r="E290" s="134">
        <f t="shared" si="50"/>
        <v>78434</v>
      </c>
      <c r="F290" s="135">
        <f t="shared" si="46"/>
        <v>80.85979381443299</v>
      </c>
      <c r="G290" s="136">
        <v>97000</v>
      </c>
      <c r="H290" s="137">
        <v>78434</v>
      </c>
      <c r="I290" s="138">
        <f t="shared" si="49"/>
        <v>80.85979381443299</v>
      </c>
      <c r="J290" s="136"/>
      <c r="K290" s="137"/>
      <c r="L290" s="139"/>
      <c r="M290" s="136"/>
      <c r="N290" s="137"/>
      <c r="O290" s="140"/>
      <c r="P290" s="136"/>
      <c r="Q290" s="137"/>
      <c r="R290" s="140"/>
    </row>
    <row r="291" spans="1:18" ht="23.25" customHeight="1">
      <c r="A291" s="329" t="s">
        <v>322</v>
      </c>
      <c r="B291" s="166" t="s">
        <v>323</v>
      </c>
      <c r="C291" s="113">
        <v>3000</v>
      </c>
      <c r="D291" s="114">
        <f t="shared" si="50"/>
        <v>6200</v>
      </c>
      <c r="E291" s="114">
        <f t="shared" si="50"/>
        <v>6196</v>
      </c>
      <c r="F291" s="141">
        <f t="shared" si="46"/>
        <v>99.93548387096774</v>
      </c>
      <c r="G291" s="116">
        <f>3000+3200</f>
        <v>6200</v>
      </c>
      <c r="H291" s="117">
        <v>6196</v>
      </c>
      <c r="I291" s="118">
        <f t="shared" si="49"/>
        <v>99.93548387096774</v>
      </c>
      <c r="J291" s="116"/>
      <c r="K291" s="117"/>
      <c r="L291" s="119"/>
      <c r="M291" s="116"/>
      <c r="N291" s="117"/>
      <c r="O291" s="120"/>
      <c r="P291" s="116"/>
      <c r="Q291" s="117"/>
      <c r="R291" s="120"/>
    </row>
    <row r="292" spans="1:18" ht="13.5" customHeight="1">
      <c r="A292" s="427" t="s">
        <v>617</v>
      </c>
      <c r="B292" s="301" t="s">
        <v>311</v>
      </c>
      <c r="C292" s="428"/>
      <c r="D292" s="197">
        <f t="shared" si="50"/>
        <v>7000</v>
      </c>
      <c r="E292" s="197">
        <f t="shared" si="50"/>
        <v>4500</v>
      </c>
      <c r="F292" s="268">
        <f t="shared" si="46"/>
        <v>64.28571428571429</v>
      </c>
      <c r="G292" s="429"/>
      <c r="H292" s="222"/>
      <c r="I292" s="430"/>
      <c r="J292" s="221"/>
      <c r="K292" s="222"/>
      <c r="L292" s="304"/>
      <c r="M292" s="429">
        <f>M293</f>
        <v>7000</v>
      </c>
      <c r="N292" s="222">
        <f>N293</f>
        <v>4500</v>
      </c>
      <c r="O292" s="306">
        <f>N292/M292*100</f>
        <v>64.28571428571429</v>
      </c>
      <c r="P292" s="221"/>
      <c r="Q292" s="222"/>
      <c r="R292" s="306"/>
    </row>
    <row r="293" spans="1:18" ht="45.75" customHeight="1">
      <c r="A293" s="277" t="s">
        <v>443</v>
      </c>
      <c r="B293" s="132" t="s">
        <v>505</v>
      </c>
      <c r="C293" s="431"/>
      <c r="D293" s="134">
        <f t="shared" si="50"/>
        <v>7000</v>
      </c>
      <c r="E293" s="114">
        <f t="shared" si="50"/>
        <v>4500</v>
      </c>
      <c r="F293" s="141">
        <f t="shared" si="46"/>
        <v>64.28571428571429</v>
      </c>
      <c r="G293" s="432"/>
      <c r="H293" s="137"/>
      <c r="I293" s="433"/>
      <c r="J293" s="136"/>
      <c r="K293" s="137"/>
      <c r="L293" s="139"/>
      <c r="M293" s="432">
        <v>7000</v>
      </c>
      <c r="N293" s="137">
        <v>4500</v>
      </c>
      <c r="O293" s="140">
        <f>N293/M293*100</f>
        <v>64.28571428571429</v>
      </c>
      <c r="P293" s="136"/>
      <c r="Q293" s="137"/>
      <c r="R293" s="140"/>
    </row>
    <row r="294" spans="1:18" ht="48.75" customHeight="1" thickBot="1">
      <c r="A294" s="434" t="s">
        <v>618</v>
      </c>
      <c r="B294" s="435" t="s">
        <v>619</v>
      </c>
      <c r="C294" s="436">
        <f>C295+C297+C299</f>
        <v>10000</v>
      </c>
      <c r="D294" s="436">
        <f>D295+D297+D299</f>
        <v>313071</v>
      </c>
      <c r="E294" s="436">
        <f>E295+E297+E299</f>
        <v>192479</v>
      </c>
      <c r="F294" s="437">
        <f t="shared" si="46"/>
        <v>61.48094202273605</v>
      </c>
      <c r="G294" s="436">
        <f>G295+G297+G299</f>
        <v>310771</v>
      </c>
      <c r="H294" s="436">
        <f>H295+H297+H299</f>
        <v>190187</v>
      </c>
      <c r="I294" s="438">
        <f>H294/G294*100</f>
        <v>61.19843872175975</v>
      </c>
      <c r="J294" s="439"/>
      <c r="K294" s="436"/>
      <c r="L294" s="440"/>
      <c r="M294" s="441">
        <f>M295+M297+M299</f>
        <v>2300</v>
      </c>
      <c r="N294" s="436">
        <f>N295+N297+N299</f>
        <v>2292</v>
      </c>
      <c r="O294" s="442">
        <f>N294/M294*100</f>
        <v>99.65217391304347</v>
      </c>
      <c r="P294" s="439"/>
      <c r="Q294" s="436"/>
      <c r="R294" s="443"/>
    </row>
    <row r="295" spans="1:18" ht="17.25" customHeight="1" thickTop="1">
      <c r="A295" s="425" t="s">
        <v>620</v>
      </c>
      <c r="B295" s="102" t="s">
        <v>621</v>
      </c>
      <c r="C295" s="103"/>
      <c r="D295" s="157">
        <f>SUM(D296:D296)</f>
        <v>2300</v>
      </c>
      <c r="E295" s="157">
        <f>SUM(E296:E296)</f>
        <v>2292</v>
      </c>
      <c r="F295" s="204">
        <f>E295/D295*100</f>
        <v>99.65217391304347</v>
      </c>
      <c r="G295" s="106"/>
      <c r="H295" s="107">
        <f>H296</f>
        <v>0</v>
      </c>
      <c r="I295" s="213"/>
      <c r="J295" s="106"/>
      <c r="K295" s="107"/>
      <c r="L295" s="217"/>
      <c r="M295" s="107">
        <f>M296</f>
        <v>2300</v>
      </c>
      <c r="N295" s="107">
        <f>N296</f>
        <v>2292</v>
      </c>
      <c r="O295" s="306">
        <f>N295/M295*100</f>
        <v>99.65217391304347</v>
      </c>
      <c r="P295" s="106"/>
      <c r="Q295" s="107"/>
      <c r="R295" s="111"/>
    </row>
    <row r="296" spans="1:18" ht="33" customHeight="1">
      <c r="A296" s="206" t="s">
        <v>318</v>
      </c>
      <c r="B296" s="165" t="s">
        <v>319</v>
      </c>
      <c r="C296" s="208"/>
      <c r="D296" s="209">
        <f>G296+J296+M296</f>
        <v>2300</v>
      </c>
      <c r="E296" s="209">
        <f>H296+K296+N296+Q296</f>
        <v>2292</v>
      </c>
      <c r="F296" s="210">
        <f>E296/D296*100</f>
        <v>99.65217391304347</v>
      </c>
      <c r="G296" s="211"/>
      <c r="H296" s="212"/>
      <c r="I296" s="213"/>
      <c r="J296" s="211"/>
      <c r="K296" s="212"/>
      <c r="L296" s="214"/>
      <c r="M296" s="211">
        <v>2300</v>
      </c>
      <c r="N296" s="212">
        <v>2292</v>
      </c>
      <c r="O296" s="298">
        <f>N296/M296*100</f>
        <v>99.65217391304347</v>
      </c>
      <c r="P296" s="211"/>
      <c r="Q296" s="212"/>
      <c r="R296" s="280"/>
    </row>
    <row r="297" spans="1:18" ht="18.75" customHeight="1">
      <c r="A297" s="285" t="s">
        <v>622</v>
      </c>
      <c r="B297" s="124" t="s">
        <v>623</v>
      </c>
      <c r="C297" s="125">
        <f>SUM(C298:C298)</f>
        <v>10000</v>
      </c>
      <c r="D297" s="104">
        <f>SUM(D298:D298)</f>
        <v>10000</v>
      </c>
      <c r="E297" s="104">
        <f>SUM(E298:E298)</f>
        <v>19074</v>
      </c>
      <c r="F297" s="126">
        <f aca="true" t="shared" si="51" ref="F297:F317">E297/D297*100</f>
        <v>190.74</v>
      </c>
      <c r="G297" s="127">
        <f>G298</f>
        <v>10000</v>
      </c>
      <c r="H297" s="128">
        <f>H298</f>
        <v>19074</v>
      </c>
      <c r="I297" s="129">
        <f t="shared" si="49"/>
        <v>190.74</v>
      </c>
      <c r="J297" s="127"/>
      <c r="K297" s="128"/>
      <c r="L297" s="267"/>
      <c r="M297" s="127"/>
      <c r="N297" s="128"/>
      <c r="O297" s="130"/>
      <c r="P297" s="127"/>
      <c r="Q297" s="128"/>
      <c r="R297" s="130"/>
    </row>
    <row r="298" spans="1:18" ht="15.75" customHeight="1">
      <c r="A298" s="334" t="s">
        <v>378</v>
      </c>
      <c r="B298" s="359" t="s">
        <v>624</v>
      </c>
      <c r="C298" s="208">
        <v>10000</v>
      </c>
      <c r="D298" s="148">
        <f>G298+J298+M298+P298</f>
        <v>10000</v>
      </c>
      <c r="E298" s="148">
        <f>H298+K298+N298+Q298</f>
        <v>19074</v>
      </c>
      <c r="F298" s="216">
        <f t="shared" si="51"/>
        <v>190.74</v>
      </c>
      <c r="G298" s="211">
        <v>10000</v>
      </c>
      <c r="H298" s="212">
        <v>19074</v>
      </c>
      <c r="I298" s="213">
        <f t="shared" si="49"/>
        <v>190.74</v>
      </c>
      <c r="J298" s="211"/>
      <c r="K298" s="212"/>
      <c r="L298" s="214"/>
      <c r="M298" s="211"/>
      <c r="N298" s="212"/>
      <c r="O298" s="280"/>
      <c r="P298" s="211"/>
      <c r="Q298" s="212"/>
      <c r="R298" s="280"/>
    </row>
    <row r="299" spans="1:18" ht="16.5" customHeight="1">
      <c r="A299" s="425" t="s">
        <v>625</v>
      </c>
      <c r="B299" s="102" t="s">
        <v>311</v>
      </c>
      <c r="C299" s="103"/>
      <c r="D299" s="157">
        <f>SUM(D300:D302)</f>
        <v>300771</v>
      </c>
      <c r="E299" s="157">
        <f>SUM(E300:E302)</f>
        <v>171113</v>
      </c>
      <c r="F299" s="204">
        <f t="shared" si="51"/>
        <v>56.891455625708595</v>
      </c>
      <c r="G299" s="106">
        <f>SUM(G300:G302)</f>
        <v>300771</v>
      </c>
      <c r="H299" s="107">
        <f>SUM(H300:H302)</f>
        <v>171113</v>
      </c>
      <c r="I299" s="213">
        <f t="shared" si="49"/>
        <v>56.891455625708595</v>
      </c>
      <c r="J299" s="106"/>
      <c r="K299" s="107"/>
      <c r="L299" s="217"/>
      <c r="M299" s="106"/>
      <c r="N299" s="107"/>
      <c r="O299" s="111"/>
      <c r="P299" s="106"/>
      <c r="Q299" s="107"/>
      <c r="R299" s="111"/>
    </row>
    <row r="300" spans="1:18" s="330" customFormat="1" ht="37.5" customHeight="1">
      <c r="A300" s="277" t="s">
        <v>318</v>
      </c>
      <c r="B300" s="79" t="s">
        <v>319</v>
      </c>
      <c r="C300" s="133"/>
      <c r="D300" s="134"/>
      <c r="E300" s="134">
        <f>H300+K300+N300+Q300</f>
        <v>7270</v>
      </c>
      <c r="F300" s="199"/>
      <c r="G300" s="136"/>
      <c r="H300" s="137">
        <v>7270</v>
      </c>
      <c r="I300" s="138"/>
      <c r="J300" s="136"/>
      <c r="K300" s="137"/>
      <c r="L300" s="229"/>
      <c r="M300" s="136"/>
      <c r="N300" s="137"/>
      <c r="O300" s="140"/>
      <c r="P300" s="136"/>
      <c r="Q300" s="137"/>
      <c r="R300" s="140"/>
    </row>
    <row r="301" spans="1:18" ht="50.25" customHeight="1">
      <c r="A301" s="329" t="s">
        <v>337</v>
      </c>
      <c r="B301" s="121" t="s">
        <v>626</v>
      </c>
      <c r="C301" s="113"/>
      <c r="D301" s="114">
        <f>G301+J301+M301+P301</f>
        <v>26067</v>
      </c>
      <c r="E301" s="114">
        <f>H301+K301+N301+Q301</f>
        <v>26067</v>
      </c>
      <c r="F301" s="115">
        <f>E301/D301*100</f>
        <v>100</v>
      </c>
      <c r="G301" s="116">
        <v>26067</v>
      </c>
      <c r="H301" s="117">
        <v>26067</v>
      </c>
      <c r="I301" s="118">
        <f>H301/G301*100</f>
        <v>100</v>
      </c>
      <c r="J301" s="116"/>
      <c r="K301" s="117"/>
      <c r="L301" s="119"/>
      <c r="M301" s="116"/>
      <c r="N301" s="117"/>
      <c r="O301" s="120"/>
      <c r="P301" s="116"/>
      <c r="Q301" s="117"/>
      <c r="R301" s="120"/>
    </row>
    <row r="302" spans="1:18" ht="57" customHeight="1" thickBot="1">
      <c r="A302" s="112" t="s">
        <v>627</v>
      </c>
      <c r="B302" s="121" t="s">
        <v>628</v>
      </c>
      <c r="C302" s="113"/>
      <c r="D302" s="114">
        <f>G302+J302+M302+P302</f>
        <v>274704</v>
      </c>
      <c r="E302" s="114">
        <f>H302</f>
        <v>137776</v>
      </c>
      <c r="F302" s="115">
        <f>E302/D302*100</f>
        <v>50.15434795270546</v>
      </c>
      <c r="G302" s="307">
        <f>200996+73708</f>
        <v>274704</v>
      </c>
      <c r="H302" s="117">
        <v>137776</v>
      </c>
      <c r="I302" s="118">
        <f>H302/G302*100</f>
        <v>50.15434795270546</v>
      </c>
      <c r="J302" s="444"/>
      <c r="K302" s="117"/>
      <c r="L302" s="119"/>
      <c r="M302" s="444"/>
      <c r="N302" s="117"/>
      <c r="O302" s="120"/>
      <c r="P302" s="116"/>
      <c r="Q302" s="117"/>
      <c r="R302" s="120"/>
    </row>
    <row r="303" spans="1:18" ht="39.75" customHeight="1" thickBot="1" thickTop="1">
      <c r="A303" s="91" t="s">
        <v>629</v>
      </c>
      <c r="B303" s="92" t="s">
        <v>630</v>
      </c>
      <c r="C303" s="200">
        <f>C304+C310+C312+C314</f>
        <v>4803048</v>
      </c>
      <c r="D303" s="445">
        <f>G303+J303+M303+P303</f>
        <v>5297619</v>
      </c>
      <c r="E303" s="94">
        <f>H303+K303+N303</f>
        <v>3880401</v>
      </c>
      <c r="F303" s="226">
        <f t="shared" si="51"/>
        <v>73.24801953481366</v>
      </c>
      <c r="G303" s="94">
        <f>G304+G310+G312+G314+G318</f>
        <v>394571</v>
      </c>
      <c r="H303" s="94">
        <f>H304+H310+H312+H314+H318</f>
        <v>153097</v>
      </c>
      <c r="I303" s="97">
        <f t="shared" si="49"/>
        <v>38.800874874230495</v>
      </c>
      <c r="J303" s="200">
        <f>J304+J310+J312+J314+J318</f>
        <v>0</v>
      </c>
      <c r="K303" s="94">
        <f>K304+K310+K312+K314+K318</f>
        <v>0</v>
      </c>
      <c r="L303" s="227"/>
      <c r="M303" s="200">
        <f>M304+M310+M312+M314+M318+M316</f>
        <v>4903048</v>
      </c>
      <c r="N303" s="94">
        <f>N304+N310+N312+N314+N318+N316</f>
        <v>3727304</v>
      </c>
      <c r="O303" s="97">
        <f>N303/M303*100</f>
        <v>76.02014094090043</v>
      </c>
      <c r="P303" s="98"/>
      <c r="Q303" s="96"/>
      <c r="R303" s="100"/>
    </row>
    <row r="304" spans="1:18" ht="26.25" customHeight="1" thickTop="1">
      <c r="A304" s="290" t="s">
        <v>631</v>
      </c>
      <c r="B304" s="326" t="s">
        <v>632</v>
      </c>
      <c r="C304" s="327"/>
      <c r="D304" s="205">
        <f>SUM(D305:D309)</f>
        <v>72858</v>
      </c>
      <c r="E304" s="205">
        <f>SUM(E305:E309)</f>
        <v>148097</v>
      </c>
      <c r="F304" s="328">
        <f t="shared" si="51"/>
        <v>203.2680007686184</v>
      </c>
      <c r="G304" s="293">
        <f>SUM(G305:G309)</f>
        <v>72858</v>
      </c>
      <c r="H304" s="192">
        <f>SUM(H305:H309)</f>
        <v>148097</v>
      </c>
      <c r="I304" s="294">
        <f t="shared" si="49"/>
        <v>203.2680007686184</v>
      </c>
      <c r="J304" s="293"/>
      <c r="K304" s="192"/>
      <c r="L304" s="424"/>
      <c r="M304" s="293"/>
      <c r="N304" s="192"/>
      <c r="O304" s="294"/>
      <c r="P304" s="293"/>
      <c r="Q304" s="192"/>
      <c r="R304" s="296"/>
    </row>
    <row r="305" spans="1:18" s="446" customFormat="1" ht="43.5" customHeight="1">
      <c r="A305" s="206" t="s">
        <v>527</v>
      </c>
      <c r="B305" s="346" t="s">
        <v>633</v>
      </c>
      <c r="C305" s="208"/>
      <c r="D305" s="209">
        <f>G305+J305+M305+P305</f>
        <v>8741</v>
      </c>
      <c r="E305" s="209">
        <f>H305+K305+N305+Q305</f>
        <v>8741</v>
      </c>
      <c r="F305" s="232">
        <f t="shared" si="51"/>
        <v>100</v>
      </c>
      <c r="G305" s="211">
        <v>8741</v>
      </c>
      <c r="H305" s="212">
        <v>8741</v>
      </c>
      <c r="I305" s="213">
        <f>H305/G305*100</f>
        <v>100</v>
      </c>
      <c r="J305" s="211"/>
      <c r="K305" s="212"/>
      <c r="L305" s="214"/>
      <c r="M305" s="211"/>
      <c r="N305" s="212"/>
      <c r="O305" s="213"/>
      <c r="P305" s="211"/>
      <c r="Q305" s="212"/>
      <c r="R305" s="280"/>
    </row>
    <row r="306" spans="1:18" s="122" customFormat="1" ht="47.25" customHeight="1">
      <c r="A306" s="131" t="s">
        <v>337</v>
      </c>
      <c r="B306" s="343" t="s">
        <v>634</v>
      </c>
      <c r="C306" s="133"/>
      <c r="D306" s="134">
        <f>G306+J306+M306+P306</f>
        <v>55064</v>
      </c>
      <c r="E306" s="134">
        <f>H306+K306+N306+Q306</f>
        <v>55064</v>
      </c>
      <c r="F306" s="135">
        <f t="shared" si="51"/>
        <v>100</v>
      </c>
      <c r="G306" s="136">
        <v>55064</v>
      </c>
      <c r="H306" s="137">
        <v>55064</v>
      </c>
      <c r="I306" s="138">
        <f>H306/G306*100</f>
        <v>100</v>
      </c>
      <c r="J306" s="136"/>
      <c r="K306" s="137"/>
      <c r="L306" s="139"/>
      <c r="M306" s="136"/>
      <c r="N306" s="137"/>
      <c r="O306" s="138"/>
      <c r="P306" s="136"/>
      <c r="Q306" s="137"/>
      <c r="R306" s="140"/>
    </row>
    <row r="307" spans="1:18" s="122" customFormat="1" ht="48">
      <c r="A307" s="112" t="s">
        <v>339</v>
      </c>
      <c r="B307" s="79" t="s">
        <v>634</v>
      </c>
      <c r="C307" s="113"/>
      <c r="D307" s="114"/>
      <c r="E307" s="114">
        <f>H307+K307+N307+Q307</f>
        <v>7342</v>
      </c>
      <c r="F307" s="141"/>
      <c r="G307" s="116"/>
      <c r="H307" s="117">
        <v>7342</v>
      </c>
      <c r="I307" s="118"/>
      <c r="J307" s="116"/>
      <c r="K307" s="117"/>
      <c r="L307" s="119"/>
      <c r="M307" s="116"/>
      <c r="N307" s="117"/>
      <c r="O307" s="118"/>
      <c r="P307" s="116"/>
      <c r="Q307" s="117"/>
      <c r="R307" s="120"/>
    </row>
    <row r="308" spans="1:18" s="122" customFormat="1" ht="48">
      <c r="A308" s="112" t="s">
        <v>337</v>
      </c>
      <c r="B308" s="79" t="s">
        <v>635</v>
      </c>
      <c r="C308" s="113"/>
      <c r="D308" s="114"/>
      <c r="E308" s="114">
        <f>H308+K308+N308+Q308</f>
        <v>67897</v>
      </c>
      <c r="F308" s="141"/>
      <c r="G308" s="116"/>
      <c r="H308" s="117">
        <v>67897</v>
      </c>
      <c r="I308" s="118"/>
      <c r="J308" s="116"/>
      <c r="K308" s="117"/>
      <c r="L308" s="119"/>
      <c r="M308" s="116"/>
      <c r="N308" s="117"/>
      <c r="O308" s="118"/>
      <c r="P308" s="116"/>
      <c r="Q308" s="117"/>
      <c r="R308" s="120"/>
    </row>
    <row r="309" spans="1:18" s="122" customFormat="1" ht="48" customHeight="1">
      <c r="A309" s="145" t="s">
        <v>339</v>
      </c>
      <c r="B309" s="146" t="s">
        <v>635</v>
      </c>
      <c r="C309" s="147"/>
      <c r="D309" s="114">
        <f>G309+J309+M309+P309</f>
        <v>9053</v>
      </c>
      <c r="E309" s="114">
        <f>H309+K309+N309+Q309</f>
        <v>9053</v>
      </c>
      <c r="F309" s="141">
        <f t="shared" si="51"/>
        <v>100</v>
      </c>
      <c r="G309" s="116">
        <v>9053</v>
      </c>
      <c r="H309" s="151">
        <v>9053</v>
      </c>
      <c r="I309" s="152">
        <f>H309/G309*100</f>
        <v>100</v>
      </c>
      <c r="J309" s="150"/>
      <c r="K309" s="151"/>
      <c r="L309" s="155"/>
      <c r="M309" s="150"/>
      <c r="N309" s="151"/>
      <c r="O309" s="152"/>
      <c r="P309" s="150"/>
      <c r="Q309" s="151"/>
      <c r="R309" s="299"/>
    </row>
    <row r="310" spans="1:18" ht="24">
      <c r="A310" s="101" t="s">
        <v>636</v>
      </c>
      <c r="B310" s="426" t="s">
        <v>637</v>
      </c>
      <c r="C310" s="103">
        <f>C311</f>
        <v>4803048</v>
      </c>
      <c r="D310" s="104">
        <f>D311</f>
        <v>4803048</v>
      </c>
      <c r="E310" s="104">
        <f>E311</f>
        <v>3627304</v>
      </c>
      <c r="F310" s="105">
        <f t="shared" si="51"/>
        <v>75.52087757607254</v>
      </c>
      <c r="G310" s="127"/>
      <c r="H310" s="107"/>
      <c r="I310" s="129"/>
      <c r="J310" s="106"/>
      <c r="K310" s="107"/>
      <c r="L310" s="193"/>
      <c r="M310" s="106">
        <f>M311</f>
        <v>4803048</v>
      </c>
      <c r="N310" s="107">
        <f>N311</f>
        <v>3627304</v>
      </c>
      <c r="O310" s="260">
        <f>N310/M310*100</f>
        <v>75.52087757607254</v>
      </c>
      <c r="P310" s="106"/>
      <c r="Q310" s="107"/>
      <c r="R310" s="111"/>
    </row>
    <row r="311" spans="1:18" ht="42.75" customHeight="1">
      <c r="A311" s="112" t="s">
        <v>638</v>
      </c>
      <c r="B311" s="121" t="s">
        <v>639</v>
      </c>
      <c r="C311" s="113">
        <v>4803048</v>
      </c>
      <c r="D311" s="114">
        <f aca="true" t="shared" si="52" ref="D311:E313">G311+J311+M311+P311</f>
        <v>4803048</v>
      </c>
      <c r="E311" s="114">
        <f t="shared" si="52"/>
        <v>3627304</v>
      </c>
      <c r="F311" s="141">
        <f t="shared" si="51"/>
        <v>75.52087757607254</v>
      </c>
      <c r="G311" s="116"/>
      <c r="H311" s="117"/>
      <c r="I311" s="282"/>
      <c r="J311" s="116"/>
      <c r="K311" s="117"/>
      <c r="L311" s="119"/>
      <c r="M311" s="116">
        <v>4803048</v>
      </c>
      <c r="N311" s="117">
        <v>3627304</v>
      </c>
      <c r="O311" s="152">
        <f>N311/M311*100</f>
        <v>75.52087757607254</v>
      </c>
      <c r="P311" s="116"/>
      <c r="Q311" s="117"/>
      <c r="R311" s="120"/>
    </row>
    <row r="312" spans="1:18" s="275" customFormat="1" ht="23.25" customHeight="1">
      <c r="A312" s="123" t="s">
        <v>640</v>
      </c>
      <c r="B312" s="345" t="s">
        <v>641</v>
      </c>
      <c r="C312" s="125"/>
      <c r="D312" s="104">
        <f>D313</f>
        <v>5000</v>
      </c>
      <c r="E312" s="197">
        <f>E313</f>
        <v>5000</v>
      </c>
      <c r="F312" s="105"/>
      <c r="G312" s="127">
        <f>G313</f>
        <v>5000</v>
      </c>
      <c r="H312" s="128">
        <f>H313</f>
        <v>5000</v>
      </c>
      <c r="I312" s="129"/>
      <c r="J312" s="127"/>
      <c r="K312" s="128"/>
      <c r="L312" s="109"/>
      <c r="M312" s="127"/>
      <c r="N312" s="128"/>
      <c r="O312" s="129"/>
      <c r="P312" s="127"/>
      <c r="Q312" s="128"/>
      <c r="R312" s="130"/>
    </row>
    <row r="313" spans="1:18" ht="65.25" customHeight="1">
      <c r="A313" s="112" t="s">
        <v>375</v>
      </c>
      <c r="B313" s="79" t="s">
        <v>642</v>
      </c>
      <c r="C313" s="113"/>
      <c r="D313" s="114">
        <f t="shared" si="52"/>
        <v>5000</v>
      </c>
      <c r="E313" s="114">
        <f>H313</f>
        <v>5000</v>
      </c>
      <c r="F313" s="141"/>
      <c r="G313" s="150">
        <f>2100-2100+5000</f>
        <v>5000</v>
      </c>
      <c r="H313" s="117">
        <v>5000</v>
      </c>
      <c r="I313" s="282"/>
      <c r="J313" s="116"/>
      <c r="K313" s="117"/>
      <c r="L313" s="155"/>
      <c r="M313" s="116"/>
      <c r="N313" s="117"/>
      <c r="O313" s="118"/>
      <c r="P313" s="116"/>
      <c r="Q313" s="117"/>
      <c r="R313" s="120"/>
    </row>
    <row r="314" spans="1:18" ht="15.75" customHeight="1">
      <c r="A314" s="300" t="s">
        <v>643</v>
      </c>
      <c r="B314" s="332" t="s">
        <v>644</v>
      </c>
      <c r="C314" s="302"/>
      <c r="D314" s="197">
        <f>SUM(D315:D315)</f>
        <v>30000</v>
      </c>
      <c r="E314" s="197">
        <f>SUM(E315:E315)</f>
        <v>30000</v>
      </c>
      <c r="F314" s="268">
        <f t="shared" si="51"/>
        <v>100</v>
      </c>
      <c r="G314" s="221"/>
      <c r="H314" s="222"/>
      <c r="I314" s="305"/>
      <c r="J314" s="221"/>
      <c r="K314" s="222"/>
      <c r="L314" s="304"/>
      <c r="M314" s="221">
        <f>SUM(M315:M315)</f>
        <v>30000</v>
      </c>
      <c r="N314" s="222">
        <f>SUM(N315:N315)</f>
        <v>30000</v>
      </c>
      <c r="O314" s="305">
        <f>N314/M314*100</f>
        <v>100</v>
      </c>
      <c r="P314" s="221"/>
      <c r="Q314" s="222"/>
      <c r="R314" s="306"/>
    </row>
    <row r="315" spans="1:18" ht="47.25" customHeight="1">
      <c r="A315" s="145" t="s">
        <v>541</v>
      </c>
      <c r="B315" s="341" t="s">
        <v>542</v>
      </c>
      <c r="C315" s="147"/>
      <c r="D315" s="148">
        <f>G315+J315+M315+P315</f>
        <v>30000</v>
      </c>
      <c r="E315" s="148">
        <f>H315+K315+N315+Q315</f>
        <v>30000</v>
      </c>
      <c r="F315" s="447">
        <f t="shared" si="51"/>
        <v>100</v>
      </c>
      <c r="G315" s="150"/>
      <c r="H315" s="151"/>
      <c r="I315" s="108"/>
      <c r="J315" s="150"/>
      <c r="K315" s="151"/>
      <c r="L315" s="155"/>
      <c r="M315" s="150">
        <v>30000</v>
      </c>
      <c r="N315" s="151">
        <v>30000</v>
      </c>
      <c r="O315" s="152">
        <f>N315/M315*100</f>
        <v>100</v>
      </c>
      <c r="P315" s="150"/>
      <c r="Q315" s="151"/>
      <c r="R315" s="299"/>
    </row>
    <row r="316" spans="1:18" s="275" customFormat="1" ht="15.75" customHeight="1">
      <c r="A316" s="101" t="s">
        <v>645</v>
      </c>
      <c r="B316" s="448" t="s">
        <v>646</v>
      </c>
      <c r="C316" s="103"/>
      <c r="D316" s="157">
        <f>D317</f>
        <v>70000</v>
      </c>
      <c r="E316" s="157">
        <f>E317</f>
        <v>70000</v>
      </c>
      <c r="F316" s="278">
        <f t="shared" si="51"/>
        <v>100</v>
      </c>
      <c r="G316" s="106"/>
      <c r="H316" s="107"/>
      <c r="I316" s="108"/>
      <c r="J316" s="106"/>
      <c r="K316" s="107"/>
      <c r="L316" s="193"/>
      <c r="M316" s="106">
        <f>M317</f>
        <v>70000</v>
      </c>
      <c r="N316" s="107">
        <f>N317</f>
        <v>70000</v>
      </c>
      <c r="O316" s="108">
        <f>N316/M316*100</f>
        <v>100</v>
      </c>
      <c r="P316" s="106"/>
      <c r="Q316" s="107"/>
      <c r="R316" s="111"/>
    </row>
    <row r="317" spans="1:18" ht="60.75" customHeight="1">
      <c r="A317" s="145" t="s">
        <v>397</v>
      </c>
      <c r="B317" s="341" t="s">
        <v>647</v>
      </c>
      <c r="C317" s="147"/>
      <c r="D317" s="148">
        <f>G317+J317+M317+P317</f>
        <v>70000</v>
      </c>
      <c r="E317" s="148">
        <f>H317+K317+N317+Q317</f>
        <v>70000</v>
      </c>
      <c r="F317" s="447">
        <f t="shared" si="51"/>
        <v>100</v>
      </c>
      <c r="G317" s="150"/>
      <c r="H317" s="151"/>
      <c r="I317" s="108"/>
      <c r="J317" s="150"/>
      <c r="K317" s="151"/>
      <c r="L317" s="155"/>
      <c r="M317" s="150">
        <v>70000</v>
      </c>
      <c r="N317" s="151">
        <v>70000</v>
      </c>
      <c r="O317" s="152">
        <f>N317/N317*100</f>
        <v>100</v>
      </c>
      <c r="P317" s="150"/>
      <c r="Q317" s="151"/>
      <c r="R317" s="299"/>
    </row>
    <row r="318" spans="1:18" ht="16.5" customHeight="1">
      <c r="A318" s="285" t="s">
        <v>648</v>
      </c>
      <c r="B318" s="124" t="s">
        <v>311</v>
      </c>
      <c r="C318" s="125"/>
      <c r="D318" s="104">
        <f>SUM(D319:D319)</f>
        <v>316713</v>
      </c>
      <c r="E318" s="104">
        <f>E319</f>
        <v>0</v>
      </c>
      <c r="F318" s="126"/>
      <c r="G318" s="127">
        <f>G319</f>
        <v>316713</v>
      </c>
      <c r="H318" s="128">
        <f>H319</f>
        <v>0</v>
      </c>
      <c r="I318" s="213"/>
      <c r="J318" s="127"/>
      <c r="K318" s="128"/>
      <c r="L318" s="267"/>
      <c r="M318" s="127"/>
      <c r="N318" s="128"/>
      <c r="O318" s="130"/>
      <c r="P318" s="127"/>
      <c r="Q318" s="128"/>
      <c r="R318" s="130"/>
    </row>
    <row r="319" spans="1:18" ht="53.25" customHeight="1" thickBot="1">
      <c r="A319" s="131" t="s">
        <v>337</v>
      </c>
      <c r="B319" s="343" t="s">
        <v>649</v>
      </c>
      <c r="C319" s="133"/>
      <c r="D319" s="134">
        <f>G319+J319+M319+P319</f>
        <v>316713</v>
      </c>
      <c r="E319" s="134">
        <f>H319+K319+N319+Q319</f>
        <v>0</v>
      </c>
      <c r="F319" s="135"/>
      <c r="G319" s="136">
        <v>316713</v>
      </c>
      <c r="H319" s="137"/>
      <c r="I319" s="289"/>
      <c r="J319" s="136"/>
      <c r="K319" s="137"/>
      <c r="L319" s="139"/>
      <c r="M319" s="136"/>
      <c r="N319" s="137"/>
      <c r="O319" s="138"/>
      <c r="P319" s="136"/>
      <c r="Q319" s="137"/>
      <c r="R319" s="140"/>
    </row>
    <row r="320" spans="1:18" ht="28.5" customHeight="1" thickBot="1" thickTop="1">
      <c r="A320" s="324" t="s">
        <v>650</v>
      </c>
      <c r="B320" s="190" t="s">
        <v>651</v>
      </c>
      <c r="C320" s="98"/>
      <c r="D320" s="94">
        <f>D321+D325</f>
        <v>1595786</v>
      </c>
      <c r="E320" s="94">
        <f>E321+E325</f>
        <v>520197</v>
      </c>
      <c r="F320" s="226">
        <f>E320/D320*100</f>
        <v>32.59816792477187</v>
      </c>
      <c r="G320" s="94">
        <f>G321+G325</f>
        <v>1595786</v>
      </c>
      <c r="H320" s="94">
        <f>H321+H325</f>
        <v>1386197</v>
      </c>
      <c r="I320" s="97">
        <f>H320/G320*100</f>
        <v>86.86609608055215</v>
      </c>
      <c r="J320" s="98"/>
      <c r="K320" s="96"/>
      <c r="L320" s="99"/>
      <c r="M320" s="98"/>
      <c r="N320" s="96"/>
      <c r="O320" s="97"/>
      <c r="P320" s="98"/>
      <c r="Q320" s="96"/>
      <c r="R320" s="100"/>
    </row>
    <row r="321" spans="1:18" ht="15" customHeight="1" thickTop="1">
      <c r="A321" s="425" t="s">
        <v>652</v>
      </c>
      <c r="B321" s="102" t="s">
        <v>653</v>
      </c>
      <c r="C321" s="194"/>
      <c r="D321" s="107">
        <f>SUM(D322)</f>
        <v>0</v>
      </c>
      <c r="E321" s="107">
        <f>SUM(E322)</f>
        <v>256377</v>
      </c>
      <c r="F321" s="180"/>
      <c r="G321" s="107">
        <f>SUM(G322)</f>
        <v>0</v>
      </c>
      <c r="H321" s="107">
        <f>SUM(H322:H324)</f>
        <v>1122377</v>
      </c>
      <c r="I321" s="108"/>
      <c r="J321" s="106"/>
      <c r="K321" s="107"/>
      <c r="L321" s="193"/>
      <c r="M321" s="106"/>
      <c r="N321" s="107"/>
      <c r="O321" s="111"/>
      <c r="P321" s="106"/>
      <c r="Q321" s="107"/>
      <c r="R321" s="111"/>
    </row>
    <row r="322" spans="1:18" s="330" customFormat="1" ht="60.75" customHeight="1">
      <c r="A322" s="277" t="s">
        <v>638</v>
      </c>
      <c r="B322" s="132" t="s">
        <v>654</v>
      </c>
      <c r="C322" s="263"/>
      <c r="D322" s="134">
        <f>G322+J322+M322+P322</f>
        <v>0</v>
      </c>
      <c r="E322" s="134">
        <f>H322+K322+N322+Q322</f>
        <v>256377</v>
      </c>
      <c r="F322" s="135"/>
      <c r="G322" s="136"/>
      <c r="H322" s="137">
        <v>256377</v>
      </c>
      <c r="I322" s="138"/>
      <c r="J322" s="136"/>
      <c r="K322" s="137"/>
      <c r="L322" s="139"/>
      <c r="M322" s="136"/>
      <c r="N322" s="137"/>
      <c r="O322" s="140"/>
      <c r="P322" s="136"/>
      <c r="Q322" s="137"/>
      <c r="R322" s="140"/>
    </row>
    <row r="323" spans="1:18" s="330" customFormat="1" ht="74.25" customHeight="1">
      <c r="A323" s="329" t="s">
        <v>655</v>
      </c>
      <c r="B323" s="79" t="s">
        <v>656</v>
      </c>
      <c r="C323" s="235"/>
      <c r="D323" s="114"/>
      <c r="E323" s="114">
        <f>H323+K323+N323+Q323</f>
        <v>666000</v>
      </c>
      <c r="F323" s="141"/>
      <c r="G323" s="307"/>
      <c r="H323" s="117">
        <v>666000</v>
      </c>
      <c r="I323" s="118"/>
      <c r="J323" s="116"/>
      <c r="K323" s="117"/>
      <c r="L323" s="119"/>
      <c r="M323" s="116"/>
      <c r="N323" s="117"/>
      <c r="O323" s="120"/>
      <c r="P323" s="116"/>
      <c r="Q323" s="117"/>
      <c r="R323" s="120"/>
    </row>
    <row r="324" spans="1:18" s="330" customFormat="1" ht="60.75" customHeight="1">
      <c r="A324" s="340" t="s">
        <v>657</v>
      </c>
      <c r="B324" s="146" t="s">
        <v>658</v>
      </c>
      <c r="C324" s="237"/>
      <c r="D324" s="148"/>
      <c r="E324" s="148">
        <f>H324+K324+N324+Q324</f>
        <v>200000</v>
      </c>
      <c r="F324" s="149"/>
      <c r="G324" s="308"/>
      <c r="H324" s="151">
        <v>200000</v>
      </c>
      <c r="I324" s="152"/>
      <c r="J324" s="150"/>
      <c r="K324" s="151"/>
      <c r="L324" s="155"/>
      <c r="M324" s="150"/>
      <c r="N324" s="151"/>
      <c r="O324" s="299"/>
      <c r="P324" s="150"/>
      <c r="Q324" s="151"/>
      <c r="R324" s="299"/>
    </row>
    <row r="325" spans="1:18" ht="17.25" customHeight="1">
      <c r="A325" s="425" t="s">
        <v>659</v>
      </c>
      <c r="B325" s="102" t="s">
        <v>311</v>
      </c>
      <c r="C325" s="194"/>
      <c r="D325" s="157">
        <f>SUM(D326:D330)</f>
        <v>1595786</v>
      </c>
      <c r="E325" s="157">
        <f>SUM(E326:E330)</f>
        <v>263820</v>
      </c>
      <c r="F325" s="180">
        <f>E325/D325*100</f>
        <v>16.53229192385445</v>
      </c>
      <c r="G325" s="157">
        <f>SUM(G326:G330)</f>
        <v>1595786</v>
      </c>
      <c r="H325" s="157">
        <f>SUM(H326:H330)</f>
        <v>263820</v>
      </c>
      <c r="I325" s="108">
        <f>H325/G325*100</f>
        <v>16.53229192385445</v>
      </c>
      <c r="J325" s="106"/>
      <c r="K325" s="107"/>
      <c r="L325" s="193"/>
      <c r="M325" s="106"/>
      <c r="N325" s="107"/>
      <c r="O325" s="111"/>
      <c r="P325" s="106"/>
      <c r="Q325" s="107"/>
      <c r="R325" s="111"/>
    </row>
    <row r="326" spans="1:18" s="330" customFormat="1" ht="15" customHeight="1">
      <c r="A326" s="334" t="s">
        <v>322</v>
      </c>
      <c r="B326" s="234" t="s">
        <v>329</v>
      </c>
      <c r="C326" s="238"/>
      <c r="D326" s="209">
        <f aca="true" t="shared" si="53" ref="D326:E330">G326+J326+M326+P326</f>
        <v>0</v>
      </c>
      <c r="E326" s="449">
        <f t="shared" si="53"/>
        <v>34</v>
      </c>
      <c r="F326" s="232"/>
      <c r="G326" s="450"/>
      <c r="H326" s="209">
        <v>34</v>
      </c>
      <c r="I326" s="213"/>
      <c r="J326" s="211"/>
      <c r="K326" s="212"/>
      <c r="L326" s="214"/>
      <c r="M326" s="211"/>
      <c r="N326" s="212"/>
      <c r="O326" s="280"/>
      <c r="P326" s="211"/>
      <c r="Q326" s="212"/>
      <c r="R326" s="280"/>
    </row>
    <row r="327" spans="1:18" s="265" customFormat="1" ht="59.25" customHeight="1">
      <c r="A327" s="329" t="s">
        <v>337</v>
      </c>
      <c r="B327" s="79" t="s">
        <v>660</v>
      </c>
      <c r="C327" s="235"/>
      <c r="D327" s="114">
        <f t="shared" si="53"/>
        <v>12164</v>
      </c>
      <c r="E327" s="451">
        <f t="shared" si="53"/>
        <v>12164</v>
      </c>
      <c r="F327" s="141">
        <f>E327/D327*100</f>
        <v>100</v>
      </c>
      <c r="G327" s="116">
        <v>12164</v>
      </c>
      <c r="H327" s="117">
        <v>12164</v>
      </c>
      <c r="I327" s="118">
        <f>H327/G327*100</f>
        <v>100</v>
      </c>
      <c r="J327" s="116"/>
      <c r="K327" s="117"/>
      <c r="L327" s="119"/>
      <c r="M327" s="116"/>
      <c r="N327" s="117"/>
      <c r="O327" s="120"/>
      <c r="P327" s="116"/>
      <c r="Q327" s="117"/>
      <c r="R327" s="120"/>
    </row>
    <row r="328" spans="1:18" s="265" customFormat="1" ht="59.25" customHeight="1">
      <c r="A328" s="329" t="s">
        <v>339</v>
      </c>
      <c r="B328" s="79" t="s">
        <v>660</v>
      </c>
      <c r="C328" s="235"/>
      <c r="D328" s="114">
        <f t="shared" si="53"/>
        <v>1622</v>
      </c>
      <c r="E328" s="451">
        <f t="shared" si="53"/>
        <v>1622</v>
      </c>
      <c r="F328" s="141">
        <f>E328/D328*100</f>
        <v>100</v>
      </c>
      <c r="G328" s="116">
        <v>1622</v>
      </c>
      <c r="H328" s="117">
        <v>1622</v>
      </c>
      <c r="I328" s="118">
        <f>H328/G328*100</f>
        <v>100</v>
      </c>
      <c r="J328" s="116"/>
      <c r="K328" s="117"/>
      <c r="L328" s="119"/>
      <c r="M328" s="116"/>
      <c r="N328" s="117"/>
      <c r="O328" s="120"/>
      <c r="P328" s="116"/>
      <c r="Q328" s="117"/>
      <c r="R328" s="120"/>
    </row>
    <row r="329" spans="1:18" s="265" customFormat="1" ht="72" customHeight="1">
      <c r="A329" s="329" t="s">
        <v>661</v>
      </c>
      <c r="B329" s="79" t="s">
        <v>662</v>
      </c>
      <c r="C329" s="235"/>
      <c r="D329" s="114">
        <f t="shared" si="53"/>
        <v>250000</v>
      </c>
      <c r="E329" s="452">
        <f t="shared" si="53"/>
        <v>250000</v>
      </c>
      <c r="F329" s="141">
        <f>E329/D329*100</f>
        <v>100</v>
      </c>
      <c r="G329" s="307">
        <v>250000</v>
      </c>
      <c r="H329" s="307">
        <v>250000</v>
      </c>
      <c r="I329" s="118">
        <f>H329/G329*100</f>
        <v>100</v>
      </c>
      <c r="J329" s="116"/>
      <c r="K329" s="117"/>
      <c r="L329" s="119"/>
      <c r="M329" s="307"/>
      <c r="N329" s="307"/>
      <c r="O329" s="120"/>
      <c r="P329" s="116"/>
      <c r="Q329" s="117"/>
      <c r="R329" s="120"/>
    </row>
    <row r="330" spans="1:18" s="265" customFormat="1" ht="58.5" customHeight="1" thickBot="1">
      <c r="A330" s="112" t="s">
        <v>663</v>
      </c>
      <c r="B330" s="79" t="s">
        <v>658</v>
      </c>
      <c r="C330" s="453"/>
      <c r="D330" s="189">
        <f t="shared" si="53"/>
        <v>1332000</v>
      </c>
      <c r="E330" s="454"/>
      <c r="F330" s="455"/>
      <c r="G330" s="456">
        <v>1332000</v>
      </c>
      <c r="H330" s="456"/>
      <c r="I330" s="457"/>
      <c r="J330" s="322"/>
      <c r="K330" s="323"/>
      <c r="L330" s="378"/>
      <c r="M330" s="456"/>
      <c r="N330" s="456"/>
      <c r="O330" s="458"/>
      <c r="P330" s="322"/>
      <c r="Q330" s="323"/>
      <c r="R330" s="458"/>
    </row>
    <row r="331" spans="1:18" ht="23.25" customHeight="1" thickBot="1" thickTop="1">
      <c r="A331" s="459" t="s">
        <v>664</v>
      </c>
      <c r="B331" s="460"/>
      <c r="C331" s="461">
        <f>C320+C303+C294+C266+C250+C195+C200+C142+C128+C89+C81+C78+C58+C41+C28+C24+C10+C7</f>
        <v>291951255</v>
      </c>
      <c r="D331" s="462">
        <f>D320+D303+D294+D266+D250+D195+D200+D142+D128+D89+D81+D78+D58+D41+D28+D24+D10+D7</f>
        <v>316587208.07</v>
      </c>
      <c r="E331" s="463">
        <f>H331+K331+N331+Q331</f>
        <v>244962336</v>
      </c>
      <c r="F331" s="464">
        <f aca="true" t="shared" si="54" ref="F331:F336">E331/D331*100</f>
        <v>77.37594247517318</v>
      </c>
      <c r="G331" s="465">
        <f>G10+G24+G28+G41+G58+G81+G89+G128+G142+G195+G200+G250+G266+G294+G303+G320</f>
        <v>201141468</v>
      </c>
      <c r="H331" s="465">
        <f>H10+H24+H28+H41+H58+H81+H89+H128+H142+H195+H200+H250+H266+H294+H303+H320</f>
        <v>152553862</v>
      </c>
      <c r="I331" s="375">
        <f>H331/G331*100</f>
        <v>75.844063144652</v>
      </c>
      <c r="J331" s="466">
        <f>J7+J10+J28+J41+J58+J81+J89+J128+J142+J195+J200+J250+J266+J294+J303+J320+J78</f>
        <v>21709375.07</v>
      </c>
      <c r="K331" s="467">
        <f>K7+K10+K28+K41+K58+K81+K89+K128+K142+K195+K200+K250+K266+K294+K303+K320+K78</f>
        <v>16473397</v>
      </c>
      <c r="L331" s="468">
        <f>K331/J331*100</f>
        <v>75.88148874337911</v>
      </c>
      <c r="M331" s="465">
        <f>M7+M10+M24+M28+M41+M58+M81+M89+M128+M142+M195+M200+M250+M266+M294+M303+M320+M78</f>
        <v>83961353</v>
      </c>
      <c r="N331" s="465">
        <f>N7+N10+N24+N28+N41+N58+N81+N89+N128+N142+N195+N200+N250+N266+N294+N303+N320+N78</f>
        <v>69014516</v>
      </c>
      <c r="O331" s="375">
        <f>N331/M331*100</f>
        <v>82.19795600482999</v>
      </c>
      <c r="P331" s="461">
        <f>P10+P28+P41+P58+P81+P89+P128+P142+P195+P200+P250+P266+P294+P303+P320</f>
        <v>9044503</v>
      </c>
      <c r="Q331" s="469">
        <f>Q10+Q28+Q41+Q58+Q81+Q89+Q128+Q142+Q195+Q200+Q250+Q266+Q294+Q303+Q320</f>
        <v>6920561</v>
      </c>
      <c r="R331" s="375">
        <f>Q331/P331*100</f>
        <v>76.51676382881402</v>
      </c>
    </row>
    <row r="332" spans="1:18" s="275" customFormat="1" ht="18" customHeight="1" thickTop="1">
      <c r="A332" s="470" t="s">
        <v>665</v>
      </c>
      <c r="B332" s="471"/>
      <c r="C332" s="472">
        <f>C331-C335-C336</f>
        <v>263389145</v>
      </c>
      <c r="D332" s="473">
        <f>G332+M332</f>
        <v>283461576</v>
      </c>
      <c r="E332" s="474">
        <f aca="true" t="shared" si="55" ref="D332:E336">H332+K332+N332+Q332</f>
        <v>219930298</v>
      </c>
      <c r="F332" s="475">
        <f t="shared" si="54"/>
        <v>77.58734044433592</v>
      </c>
      <c r="G332" s="472">
        <f>G331-G336</f>
        <v>201089688</v>
      </c>
      <c r="H332" s="476">
        <f>H331-H336</f>
        <v>152506235</v>
      </c>
      <c r="I332" s="477">
        <f>H332/G332*100</f>
        <v>75.83990830996764</v>
      </c>
      <c r="J332" s="478"/>
      <c r="K332" s="479"/>
      <c r="L332" s="480"/>
      <c r="M332" s="481">
        <f>M331-M336</f>
        <v>82371888</v>
      </c>
      <c r="N332" s="482">
        <f>N331-N336</f>
        <v>67424063</v>
      </c>
      <c r="O332" s="477">
        <f>N332/M332*100</f>
        <v>81.85324464093866</v>
      </c>
      <c r="P332" s="472"/>
      <c r="Q332" s="476"/>
      <c r="R332" s="483"/>
    </row>
    <row r="333" spans="1:18" s="275" customFormat="1" ht="9.75" customHeight="1">
      <c r="A333" s="484" t="s">
        <v>666</v>
      </c>
      <c r="B333" s="485"/>
      <c r="C333" s="472"/>
      <c r="D333" s="474"/>
      <c r="E333" s="474"/>
      <c r="F333" s="475"/>
      <c r="G333" s="472"/>
      <c r="H333" s="476"/>
      <c r="I333" s="477"/>
      <c r="J333" s="478"/>
      <c r="K333" s="479"/>
      <c r="L333" s="480"/>
      <c r="M333" s="472"/>
      <c r="N333" s="476"/>
      <c r="O333" s="477"/>
      <c r="P333" s="472"/>
      <c r="Q333" s="476"/>
      <c r="R333" s="483"/>
    </row>
    <row r="334" spans="1:18" ht="21" customHeight="1">
      <c r="A334" s="486" t="s">
        <v>667</v>
      </c>
      <c r="B334" s="487"/>
      <c r="C334" s="488">
        <f>C215+C287+C288</f>
        <v>197000</v>
      </c>
      <c r="D334" s="489">
        <f t="shared" si="55"/>
        <v>740204</v>
      </c>
      <c r="E334" s="489">
        <f t="shared" si="55"/>
        <v>1330410</v>
      </c>
      <c r="F334" s="490">
        <f t="shared" si="54"/>
        <v>179.73558640590971</v>
      </c>
      <c r="G334" s="488">
        <f>G329</f>
        <v>250000</v>
      </c>
      <c r="H334" s="491">
        <f>H329+H323</f>
        <v>916000</v>
      </c>
      <c r="I334" s="492">
        <f>H334/G334*100</f>
        <v>366.40000000000003</v>
      </c>
      <c r="J334" s="493"/>
      <c r="K334" s="494"/>
      <c r="L334" s="495"/>
      <c r="M334" s="488">
        <f>M204+M215+M287+M288+M254+M315</f>
        <v>490204</v>
      </c>
      <c r="N334" s="491">
        <f>N204+N215+N287+N288+N254+N315</f>
        <v>414410</v>
      </c>
      <c r="O334" s="492">
        <f>N334/M334*100</f>
        <v>84.53827386149439</v>
      </c>
      <c r="P334" s="488"/>
      <c r="Q334" s="491"/>
      <c r="R334" s="396"/>
    </row>
    <row r="335" spans="1:18" s="275" customFormat="1" ht="15.75" customHeight="1">
      <c r="A335" s="496" t="s">
        <v>668</v>
      </c>
      <c r="B335" s="497"/>
      <c r="C335" s="498">
        <v>28537510</v>
      </c>
      <c r="D335" s="473">
        <f>J331+P331</f>
        <v>30753878.07</v>
      </c>
      <c r="E335" s="473">
        <f>K331+Q331</f>
        <v>23393958</v>
      </c>
      <c r="F335" s="475">
        <f>E335/D335*100</f>
        <v>76.06831875561247</v>
      </c>
      <c r="G335" s="472"/>
      <c r="H335" s="499"/>
      <c r="I335" s="477"/>
      <c r="J335" s="478"/>
      <c r="K335" s="479"/>
      <c r="L335" s="480"/>
      <c r="M335" s="472"/>
      <c r="N335" s="476"/>
      <c r="O335" s="477"/>
      <c r="P335" s="472"/>
      <c r="Q335" s="476"/>
      <c r="R335" s="483"/>
    </row>
    <row r="336" spans="1:18" ht="27" customHeight="1" thickBot="1">
      <c r="A336" s="500" t="s">
        <v>669</v>
      </c>
      <c r="B336" s="501"/>
      <c r="C336" s="502">
        <f>C55+C74</f>
        <v>24600</v>
      </c>
      <c r="D336" s="503">
        <f t="shared" si="55"/>
        <v>1641245</v>
      </c>
      <c r="E336" s="503">
        <f t="shared" si="55"/>
        <v>1638080</v>
      </c>
      <c r="F336" s="504">
        <f t="shared" si="54"/>
        <v>99.80715858997286</v>
      </c>
      <c r="G336" s="505">
        <f>G55+G246+G188+G313</f>
        <v>51780</v>
      </c>
      <c r="H336" s="505">
        <f>H55+H246+H188+H313</f>
        <v>47627</v>
      </c>
      <c r="I336" s="506">
        <f>H336/G336*100</f>
        <v>91.97952877558903</v>
      </c>
      <c r="J336" s="507"/>
      <c r="K336" s="508"/>
      <c r="L336" s="509"/>
      <c r="M336" s="510">
        <f>M74+M15+M317</f>
        <v>1589465</v>
      </c>
      <c r="N336" s="505">
        <f>N74+N15+N317</f>
        <v>1590453</v>
      </c>
      <c r="O336" s="506">
        <f>N336/M336*100</f>
        <v>100.06215928000933</v>
      </c>
      <c r="P336" s="510"/>
      <c r="Q336" s="505"/>
      <c r="R336" s="511"/>
    </row>
    <row r="337" spans="1:18" s="524" customFormat="1" ht="17.25" customHeight="1" thickBot="1" thickTop="1">
      <c r="A337" s="512" t="s">
        <v>670</v>
      </c>
      <c r="B337" s="513"/>
      <c r="C337" s="514">
        <v>208636408</v>
      </c>
      <c r="D337" s="515">
        <f>G331+J331</f>
        <v>222850843.07</v>
      </c>
      <c r="E337" s="515">
        <f>H331+K331</f>
        <v>169027259</v>
      </c>
      <c r="F337" s="516">
        <f>E337/D337*100</f>
        <v>75.84770901984274</v>
      </c>
      <c r="G337" s="517"/>
      <c r="H337" s="518"/>
      <c r="I337" s="519"/>
      <c r="J337" s="520"/>
      <c r="K337" s="521"/>
      <c r="L337" s="522"/>
      <c r="M337" s="517"/>
      <c r="N337" s="518"/>
      <c r="O337" s="519"/>
      <c r="P337" s="517"/>
      <c r="Q337" s="518"/>
      <c r="R337" s="523"/>
    </row>
    <row r="338" spans="1:18" s="524" customFormat="1" ht="16.5" customHeight="1" thickBot="1" thickTop="1">
      <c r="A338" s="525" t="s">
        <v>671</v>
      </c>
      <c r="B338" s="526"/>
      <c r="C338" s="527">
        <v>83314847</v>
      </c>
      <c r="D338" s="528">
        <f>M331+P331</f>
        <v>93005856</v>
      </c>
      <c r="E338" s="528">
        <f>N331+Q331</f>
        <v>75935077</v>
      </c>
      <c r="F338" s="529">
        <f>E338/D338*100</f>
        <v>81.64547939863056</v>
      </c>
      <c r="G338" s="530"/>
      <c r="H338" s="530"/>
      <c r="I338" s="531"/>
      <c r="J338" s="532"/>
      <c r="K338" s="533"/>
      <c r="L338" s="534"/>
      <c r="M338" s="535"/>
      <c r="N338" s="530"/>
      <c r="O338" s="531"/>
      <c r="P338" s="535"/>
      <c r="Q338" s="530"/>
      <c r="R338" s="536"/>
    </row>
    <row r="339" ht="13.5" thickTop="1"/>
    <row r="340" spans="1:18" s="537" customFormat="1" ht="14.25" customHeight="1">
      <c r="A340" s="1189" t="s">
        <v>291</v>
      </c>
      <c r="F340" s="17"/>
      <c r="I340" s="18"/>
      <c r="L340" s="19"/>
      <c r="O340" s="18"/>
      <c r="R340" s="18"/>
    </row>
    <row r="341" spans="1:18" s="537" customFormat="1" ht="13.5" customHeight="1">
      <c r="A341" s="1189" t="s">
        <v>292</v>
      </c>
      <c r="F341" s="17"/>
      <c r="I341" s="18"/>
      <c r="L341" s="19"/>
      <c r="O341" s="18"/>
      <c r="R341" s="18"/>
    </row>
    <row r="342" spans="1:12" s="330" customFormat="1" ht="14.25" customHeight="1">
      <c r="A342" s="1189" t="s">
        <v>293</v>
      </c>
      <c r="F342" s="538"/>
      <c r="L342" s="538"/>
    </row>
    <row r="343" spans="1:12" s="330" customFormat="1" ht="12.75">
      <c r="A343" s="539"/>
      <c r="F343" s="538"/>
      <c r="L343" s="538"/>
    </row>
  </sheetData>
  <mergeCells count="16">
    <mergeCell ref="A336:B336"/>
    <mergeCell ref="A337:B337"/>
    <mergeCell ref="A338:B338"/>
    <mergeCell ref="A331:B331"/>
    <mergeCell ref="A332:B332"/>
    <mergeCell ref="A334:B334"/>
    <mergeCell ref="A335:B335"/>
    <mergeCell ref="M3:R3"/>
    <mergeCell ref="G4:I4"/>
    <mergeCell ref="J4:L4"/>
    <mergeCell ref="M4:O4"/>
    <mergeCell ref="P4:R4"/>
    <mergeCell ref="A3:A5"/>
    <mergeCell ref="B3:B5"/>
    <mergeCell ref="C3:F4"/>
    <mergeCell ref="G3:L3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25"/>
  <sheetViews>
    <sheetView workbookViewId="0" topLeftCell="A1915">
      <selection activeCell="A1924" sqref="A1924:IV1924"/>
    </sheetView>
  </sheetViews>
  <sheetFormatPr defaultColWidth="9.00390625" defaultRowHeight="12.75"/>
  <cols>
    <col min="1" max="1" width="5.75390625" style="540" customWidth="1"/>
    <col min="2" max="2" width="18.75390625" style="541" customWidth="1"/>
    <col min="3" max="3" width="11.375" style="542" customWidth="1"/>
    <col min="4" max="4" width="13.625" style="543" customWidth="1"/>
    <col min="5" max="5" width="12.75390625" style="542" customWidth="1"/>
    <col min="6" max="6" width="4.25390625" style="544" customWidth="1"/>
    <col min="7" max="7" width="12.00390625" style="542" customWidth="1"/>
    <col min="8" max="8" width="11.125" style="542" customWidth="1"/>
    <col min="9" max="9" width="4.00390625" style="545" customWidth="1"/>
    <col min="10" max="11" width="12.375" style="542" customWidth="1"/>
    <col min="12" max="12" width="4.00390625" style="546" customWidth="1"/>
    <col min="13" max="13" width="11.00390625" style="542" customWidth="1"/>
    <col min="14" max="14" width="10.125" style="542" customWidth="1"/>
    <col min="15" max="15" width="4.00390625" style="545" customWidth="1"/>
    <col min="16" max="16" width="11.375" style="542" customWidth="1"/>
    <col min="17" max="17" width="9.375" style="542" customWidth="1"/>
    <col min="18" max="18" width="4.00390625" style="545" customWidth="1"/>
    <col min="19" max="16384" width="9.125" style="548" customWidth="1"/>
  </cols>
  <sheetData>
    <row r="1" spans="13:14" ht="12.75" hidden="1">
      <c r="M1" s="547"/>
      <c r="N1" s="547"/>
    </row>
    <row r="2" spans="1:18" ht="15.75">
      <c r="A2" s="549"/>
      <c r="B2" s="550"/>
      <c r="C2" s="551"/>
      <c r="D2" s="552"/>
      <c r="E2" s="551"/>
      <c r="F2" s="553"/>
      <c r="G2" s="551"/>
      <c r="H2" s="551"/>
      <c r="I2" s="554"/>
      <c r="J2" s="551"/>
      <c r="K2" s="551"/>
      <c r="L2" s="555"/>
      <c r="M2" s="551"/>
      <c r="N2" s="551"/>
      <c r="O2" s="556"/>
      <c r="P2" s="557"/>
      <c r="Q2" s="558"/>
      <c r="R2" s="554"/>
    </row>
    <row r="3" spans="1:18" s="567" customFormat="1" ht="29.25" customHeight="1">
      <c r="A3" s="559" t="s">
        <v>672</v>
      </c>
      <c r="B3" s="560"/>
      <c r="C3" s="561"/>
      <c r="D3" s="562"/>
      <c r="E3" s="561"/>
      <c r="F3" s="563"/>
      <c r="G3" s="561"/>
      <c r="H3" s="561"/>
      <c r="I3" s="564"/>
      <c r="J3" s="561"/>
      <c r="K3" s="561"/>
      <c r="L3" s="565"/>
      <c r="M3" s="562"/>
      <c r="N3" s="562"/>
      <c r="O3" s="564"/>
      <c r="P3" s="566"/>
      <c r="Q3" s="566"/>
      <c r="R3" s="564"/>
    </row>
    <row r="4" spans="1:18" ht="12" customHeight="1" thickBot="1">
      <c r="A4" s="568"/>
      <c r="B4" s="569"/>
      <c r="C4" s="570"/>
      <c r="D4" s="562"/>
      <c r="E4" s="570"/>
      <c r="F4" s="563"/>
      <c r="G4" s="570"/>
      <c r="H4" s="570"/>
      <c r="I4" s="564"/>
      <c r="J4" s="570"/>
      <c r="K4" s="570"/>
      <c r="L4" s="571"/>
      <c r="M4" s="572"/>
      <c r="N4" s="572"/>
      <c r="O4" s="573"/>
      <c r="P4" s="574" t="s">
        <v>673</v>
      </c>
      <c r="Q4" s="566"/>
      <c r="R4" s="564"/>
    </row>
    <row r="5" spans="1:18" s="592" customFormat="1" ht="26.25" thickTop="1">
      <c r="A5" s="575" t="s">
        <v>674</v>
      </c>
      <c r="B5" s="576"/>
      <c r="C5" s="577" t="s">
        <v>675</v>
      </c>
      <c r="D5" s="578"/>
      <c r="E5" s="579"/>
      <c r="F5" s="580"/>
      <c r="G5" s="581" t="s">
        <v>676</v>
      </c>
      <c r="H5" s="582"/>
      <c r="I5" s="583"/>
      <c r="J5" s="584" t="s">
        <v>677</v>
      </c>
      <c r="K5" s="585"/>
      <c r="L5" s="586"/>
      <c r="M5" s="587" t="s">
        <v>678</v>
      </c>
      <c r="N5" s="588"/>
      <c r="O5" s="589"/>
      <c r="P5" s="590" t="s">
        <v>679</v>
      </c>
      <c r="Q5" s="588"/>
      <c r="R5" s="591"/>
    </row>
    <row r="6" spans="1:18" s="605" customFormat="1" ht="36" customHeight="1" thickBot="1">
      <c r="A6" s="593" t="s">
        <v>680</v>
      </c>
      <c r="B6" s="594" t="s">
        <v>297</v>
      </c>
      <c r="C6" s="595" t="s">
        <v>681</v>
      </c>
      <c r="D6" s="596" t="s">
        <v>304</v>
      </c>
      <c r="E6" s="596" t="s">
        <v>305</v>
      </c>
      <c r="F6" s="597" t="s">
        <v>682</v>
      </c>
      <c r="G6" s="598" t="s">
        <v>307</v>
      </c>
      <c r="H6" s="599" t="s">
        <v>305</v>
      </c>
      <c r="I6" s="600" t="s">
        <v>683</v>
      </c>
      <c r="J6" s="598" t="s">
        <v>307</v>
      </c>
      <c r="K6" s="601" t="s">
        <v>305</v>
      </c>
      <c r="L6" s="602" t="s">
        <v>684</v>
      </c>
      <c r="M6" s="598" t="s">
        <v>307</v>
      </c>
      <c r="N6" s="603" t="s">
        <v>305</v>
      </c>
      <c r="O6" s="602" t="s">
        <v>684</v>
      </c>
      <c r="P6" s="598" t="s">
        <v>307</v>
      </c>
      <c r="Q6" s="604" t="s">
        <v>305</v>
      </c>
      <c r="R6" s="602" t="s">
        <v>683</v>
      </c>
    </row>
    <row r="7" spans="1:18" s="614" customFormat="1" ht="10.5" customHeight="1" thickBot="1" thickTop="1">
      <c r="A7" s="606">
        <v>1</v>
      </c>
      <c r="B7" s="607">
        <v>2</v>
      </c>
      <c r="C7" s="608">
        <v>3</v>
      </c>
      <c r="D7" s="609">
        <v>4</v>
      </c>
      <c r="E7" s="609">
        <v>5</v>
      </c>
      <c r="F7" s="610">
        <v>6</v>
      </c>
      <c r="G7" s="609">
        <v>7</v>
      </c>
      <c r="H7" s="611">
        <v>8</v>
      </c>
      <c r="I7" s="612">
        <v>9</v>
      </c>
      <c r="J7" s="611">
        <v>10</v>
      </c>
      <c r="K7" s="609">
        <v>11</v>
      </c>
      <c r="L7" s="613">
        <v>12</v>
      </c>
      <c r="M7" s="611">
        <v>13</v>
      </c>
      <c r="N7" s="609">
        <v>14</v>
      </c>
      <c r="O7" s="612">
        <v>15</v>
      </c>
      <c r="P7" s="611">
        <v>16</v>
      </c>
      <c r="Q7" s="611">
        <v>17</v>
      </c>
      <c r="R7" s="612">
        <v>18</v>
      </c>
    </row>
    <row r="8" spans="1:18" s="627" customFormat="1" ht="26.25" customHeight="1" thickBot="1" thickTop="1">
      <c r="A8" s="615" t="s">
        <v>308</v>
      </c>
      <c r="B8" s="616" t="s">
        <v>685</v>
      </c>
      <c r="C8" s="617">
        <f>C11+C29</f>
        <v>2000</v>
      </c>
      <c r="D8" s="618">
        <f aca="true" t="shared" si="0" ref="D8:E10">G8+J8+P8+M8</f>
        <v>3376.0699999999997</v>
      </c>
      <c r="E8" s="618">
        <f t="shared" si="0"/>
        <v>3152.0699999999997</v>
      </c>
      <c r="F8" s="619">
        <f>E8/D8*100</f>
        <v>93.36506648262625</v>
      </c>
      <c r="G8" s="620">
        <f>G29</f>
        <v>2000</v>
      </c>
      <c r="H8" s="620">
        <f>H29</f>
        <v>1776</v>
      </c>
      <c r="I8" s="621">
        <f>H8/G8*100</f>
        <v>88.8</v>
      </c>
      <c r="J8" s="622">
        <f>J31</f>
        <v>1376.07</v>
      </c>
      <c r="K8" s="623">
        <f>K31</f>
        <v>1376.07</v>
      </c>
      <c r="L8" s="624">
        <f>K8/J8*100</f>
        <v>100</v>
      </c>
      <c r="M8" s="625"/>
      <c r="N8" s="625"/>
      <c r="O8" s="626"/>
      <c r="P8" s="620"/>
      <c r="Q8" s="620"/>
      <c r="R8" s="621"/>
    </row>
    <row r="9" spans="1:18" s="627" customFormat="1" ht="26.25" customHeight="1" hidden="1">
      <c r="A9" s="628" t="s">
        <v>686</v>
      </c>
      <c r="B9" s="629" t="s">
        <v>687</v>
      </c>
      <c r="C9" s="630"/>
      <c r="D9" s="631">
        <f t="shared" si="0"/>
        <v>0</v>
      </c>
      <c r="E9" s="631">
        <f t="shared" si="0"/>
        <v>0</v>
      </c>
      <c r="F9" s="632" t="e">
        <f>E9/D9*100</f>
        <v>#DIV/0!</v>
      </c>
      <c r="G9" s="633"/>
      <c r="H9" s="634"/>
      <c r="I9" s="635"/>
      <c r="J9" s="636"/>
      <c r="K9" s="637"/>
      <c r="L9" s="638"/>
      <c r="M9" s="639"/>
      <c r="N9" s="639"/>
      <c r="O9" s="640"/>
      <c r="P9" s="633">
        <f>SUM(P10)</f>
        <v>0</v>
      </c>
      <c r="Q9" s="633">
        <f>SUM(Q10)</f>
        <v>0</v>
      </c>
      <c r="R9" s="635" t="e">
        <f>Q9/P9*100</f>
        <v>#DIV/0!</v>
      </c>
    </row>
    <row r="10" spans="1:18" s="653" customFormat="1" ht="15.75" customHeight="1" hidden="1">
      <c r="A10" s="329" t="s">
        <v>688</v>
      </c>
      <c r="B10" s="641" t="s">
        <v>689</v>
      </c>
      <c r="C10" s="642"/>
      <c r="D10" s="643">
        <f t="shared" si="0"/>
        <v>0</v>
      </c>
      <c r="E10" s="643">
        <f t="shared" si="0"/>
        <v>0</v>
      </c>
      <c r="F10" s="644" t="e">
        <f>E10/D10*100</f>
        <v>#DIV/0!</v>
      </c>
      <c r="G10" s="645"/>
      <c r="H10" s="646"/>
      <c r="I10" s="647"/>
      <c r="J10" s="648"/>
      <c r="K10" s="643"/>
      <c r="L10" s="649"/>
      <c r="M10" s="650"/>
      <c r="N10" s="650"/>
      <c r="O10" s="651"/>
      <c r="P10" s="645"/>
      <c r="Q10" s="645"/>
      <c r="R10" s="652" t="e">
        <f>Q10/P10*100</f>
        <v>#DIV/0!</v>
      </c>
    </row>
    <row r="11" spans="1:18" s="627" customFormat="1" ht="15" customHeight="1" hidden="1">
      <c r="A11" s="427" t="s">
        <v>690</v>
      </c>
      <c r="B11" s="654" t="s">
        <v>691</v>
      </c>
      <c r="C11" s="655">
        <f>SUM(C12:C28)</f>
        <v>0</v>
      </c>
      <c r="D11" s="656">
        <f>SUM(D12:D28)</f>
        <v>0</v>
      </c>
      <c r="E11" s="657">
        <f aca="true" t="shared" si="1" ref="E11:E28">SUM(H11+K11+N11+Q11)</f>
        <v>0</v>
      </c>
      <c r="F11" s="658" t="e">
        <f>E11/D11*100</f>
        <v>#DIV/0!</v>
      </c>
      <c r="G11" s="659"/>
      <c r="H11" s="660"/>
      <c r="I11" s="661"/>
      <c r="J11" s="662"/>
      <c r="K11" s="657"/>
      <c r="L11" s="663"/>
      <c r="M11" s="659"/>
      <c r="N11" s="659"/>
      <c r="O11" s="661"/>
      <c r="P11" s="664">
        <f>SUM(P12:P28)</f>
        <v>0</v>
      </c>
      <c r="Q11" s="664">
        <f>SUM(Q12:Q28)</f>
        <v>0</v>
      </c>
      <c r="R11" s="665" t="e">
        <f>Q11/P11*100</f>
        <v>#DIV/0!</v>
      </c>
    </row>
    <row r="12" spans="1:18" s="653" customFormat="1" ht="36.75" hidden="1" thickTop="1">
      <c r="A12" s="329" t="s">
        <v>692</v>
      </c>
      <c r="B12" s="641" t="s">
        <v>693</v>
      </c>
      <c r="C12" s="666"/>
      <c r="D12" s="643">
        <f aca="true" t="shared" si="2" ref="D12:D41">G12+J12+P12+M12</f>
        <v>0</v>
      </c>
      <c r="E12" s="667">
        <f t="shared" si="1"/>
        <v>0</v>
      </c>
      <c r="F12" s="668" t="e">
        <f>E12/D12*100</f>
        <v>#DIV/0!</v>
      </c>
      <c r="G12" s="650"/>
      <c r="H12" s="669"/>
      <c r="I12" s="651"/>
      <c r="J12" s="648"/>
      <c r="K12" s="643"/>
      <c r="L12" s="649"/>
      <c r="M12" s="650"/>
      <c r="N12" s="650"/>
      <c r="O12" s="651"/>
      <c r="P12" s="670"/>
      <c r="Q12" s="671"/>
      <c r="R12" s="647" t="e">
        <f>Q12/P12*100</f>
        <v>#DIV/0!</v>
      </c>
    </row>
    <row r="13" spans="1:18" s="653" customFormat="1" ht="24.75" hidden="1" thickTop="1">
      <c r="A13" s="329" t="s">
        <v>694</v>
      </c>
      <c r="B13" s="641" t="s">
        <v>695</v>
      </c>
      <c r="C13" s="666"/>
      <c r="D13" s="643">
        <f t="shared" si="2"/>
        <v>0</v>
      </c>
      <c r="E13" s="667">
        <f t="shared" si="1"/>
        <v>0</v>
      </c>
      <c r="F13" s="644" t="e">
        <f aca="true" t="shared" si="3" ref="F13:F64">E13/D13*100</f>
        <v>#DIV/0!</v>
      </c>
      <c r="G13" s="650"/>
      <c r="H13" s="669"/>
      <c r="I13" s="651"/>
      <c r="J13" s="648"/>
      <c r="K13" s="643"/>
      <c r="L13" s="649"/>
      <c r="M13" s="650"/>
      <c r="N13" s="650"/>
      <c r="O13" s="651"/>
      <c r="P13" s="666"/>
      <c r="Q13" s="645"/>
      <c r="R13" s="647" t="e">
        <f aca="true" t="shared" si="4" ref="R13:R28">Q13/P13*100</f>
        <v>#DIV/0!</v>
      </c>
    </row>
    <row r="14" spans="1:18" s="653" customFormat="1" ht="24.75" customHeight="1" hidden="1">
      <c r="A14" s="329" t="s">
        <v>696</v>
      </c>
      <c r="B14" s="641" t="s">
        <v>697</v>
      </c>
      <c r="C14" s="666"/>
      <c r="D14" s="643">
        <f t="shared" si="2"/>
        <v>0</v>
      </c>
      <c r="E14" s="667">
        <f t="shared" si="1"/>
        <v>0</v>
      </c>
      <c r="F14" s="644" t="e">
        <f t="shared" si="3"/>
        <v>#DIV/0!</v>
      </c>
      <c r="G14" s="650"/>
      <c r="H14" s="669"/>
      <c r="I14" s="651"/>
      <c r="J14" s="648"/>
      <c r="K14" s="643"/>
      <c r="L14" s="649"/>
      <c r="M14" s="650"/>
      <c r="N14" s="650"/>
      <c r="O14" s="651"/>
      <c r="P14" s="666"/>
      <c r="Q14" s="645"/>
      <c r="R14" s="647" t="e">
        <f t="shared" si="4"/>
        <v>#DIV/0!</v>
      </c>
    </row>
    <row r="15" spans="1:18" s="653" customFormat="1" ht="36.75" hidden="1" thickTop="1">
      <c r="A15" s="329" t="s">
        <v>698</v>
      </c>
      <c r="B15" s="641" t="s">
        <v>699</v>
      </c>
      <c r="C15" s="666"/>
      <c r="D15" s="643">
        <f t="shared" si="2"/>
        <v>0</v>
      </c>
      <c r="E15" s="667">
        <f t="shared" si="1"/>
        <v>0</v>
      </c>
      <c r="F15" s="644" t="e">
        <f t="shared" si="3"/>
        <v>#DIV/0!</v>
      </c>
      <c r="G15" s="650"/>
      <c r="H15" s="669"/>
      <c r="I15" s="651"/>
      <c r="J15" s="648"/>
      <c r="K15" s="643"/>
      <c r="L15" s="649"/>
      <c r="M15" s="650"/>
      <c r="N15" s="650"/>
      <c r="O15" s="651"/>
      <c r="P15" s="666"/>
      <c r="Q15" s="645"/>
      <c r="R15" s="647" t="e">
        <f t="shared" si="4"/>
        <v>#DIV/0!</v>
      </c>
    </row>
    <row r="16" spans="1:18" s="653" customFormat="1" ht="24.75" hidden="1" thickTop="1">
      <c r="A16" s="329" t="s">
        <v>700</v>
      </c>
      <c r="B16" s="641" t="s">
        <v>701</v>
      </c>
      <c r="C16" s="666"/>
      <c r="D16" s="643">
        <f t="shared" si="2"/>
        <v>0</v>
      </c>
      <c r="E16" s="667">
        <f t="shared" si="1"/>
        <v>0</v>
      </c>
      <c r="F16" s="644" t="e">
        <f t="shared" si="3"/>
        <v>#DIV/0!</v>
      </c>
      <c r="G16" s="650"/>
      <c r="H16" s="669"/>
      <c r="I16" s="651"/>
      <c r="J16" s="648"/>
      <c r="K16" s="643"/>
      <c r="L16" s="649"/>
      <c r="M16" s="650"/>
      <c r="N16" s="650"/>
      <c r="O16" s="651"/>
      <c r="P16" s="666"/>
      <c r="Q16" s="645"/>
      <c r="R16" s="647" t="e">
        <f t="shared" si="4"/>
        <v>#DIV/0!</v>
      </c>
    </row>
    <row r="17" spans="1:18" s="653" customFormat="1" ht="24.75" hidden="1" thickTop="1">
      <c r="A17" s="329" t="s">
        <v>702</v>
      </c>
      <c r="B17" s="641" t="s">
        <v>703</v>
      </c>
      <c r="C17" s="666"/>
      <c r="D17" s="643">
        <f t="shared" si="2"/>
        <v>0</v>
      </c>
      <c r="E17" s="667">
        <f t="shared" si="1"/>
        <v>0</v>
      </c>
      <c r="F17" s="644" t="e">
        <f t="shared" si="3"/>
        <v>#DIV/0!</v>
      </c>
      <c r="G17" s="650"/>
      <c r="H17" s="669"/>
      <c r="I17" s="651"/>
      <c r="J17" s="648"/>
      <c r="K17" s="643"/>
      <c r="L17" s="649"/>
      <c r="M17" s="650"/>
      <c r="N17" s="650"/>
      <c r="O17" s="651"/>
      <c r="P17" s="666"/>
      <c r="Q17" s="645"/>
      <c r="R17" s="647" t="e">
        <f t="shared" si="4"/>
        <v>#DIV/0!</v>
      </c>
    </row>
    <row r="18" spans="1:18" s="653" customFormat="1" ht="13.5" hidden="1" thickTop="1">
      <c r="A18" s="329" t="s">
        <v>704</v>
      </c>
      <c r="B18" s="641" t="s">
        <v>705</v>
      </c>
      <c r="C18" s="666"/>
      <c r="D18" s="643">
        <f t="shared" si="2"/>
        <v>0</v>
      </c>
      <c r="E18" s="667">
        <f t="shared" si="1"/>
        <v>0</v>
      </c>
      <c r="F18" s="644" t="e">
        <f t="shared" si="3"/>
        <v>#DIV/0!</v>
      </c>
      <c r="G18" s="650"/>
      <c r="H18" s="669"/>
      <c r="I18" s="651"/>
      <c r="J18" s="648"/>
      <c r="K18" s="643"/>
      <c r="L18" s="649"/>
      <c r="M18" s="650"/>
      <c r="N18" s="650"/>
      <c r="O18" s="651"/>
      <c r="P18" s="666"/>
      <c r="Q18" s="645"/>
      <c r="R18" s="647" t="e">
        <f t="shared" si="4"/>
        <v>#DIV/0!</v>
      </c>
    </row>
    <row r="19" spans="1:18" s="653" customFormat="1" ht="24.75" hidden="1" thickTop="1">
      <c r="A19" s="329" t="s">
        <v>706</v>
      </c>
      <c r="B19" s="641" t="s">
        <v>707</v>
      </c>
      <c r="C19" s="666"/>
      <c r="D19" s="643">
        <f t="shared" si="2"/>
        <v>0</v>
      </c>
      <c r="E19" s="667">
        <f t="shared" si="1"/>
        <v>0</v>
      </c>
      <c r="F19" s="644" t="e">
        <f t="shared" si="3"/>
        <v>#DIV/0!</v>
      </c>
      <c r="G19" s="650"/>
      <c r="H19" s="669"/>
      <c r="I19" s="651"/>
      <c r="J19" s="648"/>
      <c r="K19" s="643"/>
      <c r="L19" s="649"/>
      <c r="M19" s="650"/>
      <c r="N19" s="650"/>
      <c r="O19" s="651"/>
      <c r="P19" s="666"/>
      <c r="Q19" s="645"/>
      <c r="R19" s="647" t="e">
        <f t="shared" si="4"/>
        <v>#DIV/0!</v>
      </c>
    </row>
    <row r="20" spans="1:18" s="653" customFormat="1" ht="24.75" hidden="1" thickTop="1">
      <c r="A20" s="329" t="s">
        <v>708</v>
      </c>
      <c r="B20" s="641" t="s">
        <v>709</v>
      </c>
      <c r="C20" s="666"/>
      <c r="D20" s="643">
        <f t="shared" si="2"/>
        <v>0</v>
      </c>
      <c r="E20" s="667">
        <f t="shared" si="1"/>
        <v>0</v>
      </c>
      <c r="F20" s="644" t="e">
        <f t="shared" si="3"/>
        <v>#DIV/0!</v>
      </c>
      <c r="G20" s="650"/>
      <c r="H20" s="669"/>
      <c r="I20" s="651"/>
      <c r="J20" s="648"/>
      <c r="K20" s="643"/>
      <c r="L20" s="649"/>
      <c r="M20" s="650"/>
      <c r="N20" s="650"/>
      <c r="O20" s="651"/>
      <c r="P20" s="666"/>
      <c r="Q20" s="645"/>
      <c r="R20" s="647" t="e">
        <f t="shared" si="4"/>
        <v>#DIV/0!</v>
      </c>
    </row>
    <row r="21" spans="1:18" s="653" customFormat="1" ht="13.5" hidden="1" thickTop="1">
      <c r="A21" s="329" t="s">
        <v>710</v>
      </c>
      <c r="B21" s="641" t="s">
        <v>711</v>
      </c>
      <c r="C21" s="666"/>
      <c r="D21" s="643">
        <f t="shared" si="2"/>
        <v>0</v>
      </c>
      <c r="E21" s="667">
        <f t="shared" si="1"/>
        <v>0</v>
      </c>
      <c r="F21" s="644" t="e">
        <f t="shared" si="3"/>
        <v>#DIV/0!</v>
      </c>
      <c r="G21" s="650"/>
      <c r="H21" s="669"/>
      <c r="I21" s="651"/>
      <c r="J21" s="648"/>
      <c r="K21" s="643"/>
      <c r="L21" s="649"/>
      <c r="M21" s="650"/>
      <c r="N21" s="650"/>
      <c r="O21" s="651"/>
      <c r="P21" s="666"/>
      <c r="Q21" s="645"/>
      <c r="R21" s="647" t="e">
        <f t="shared" si="4"/>
        <v>#DIV/0!</v>
      </c>
    </row>
    <row r="22" spans="1:18" s="653" customFormat="1" ht="24.75" hidden="1" thickTop="1">
      <c r="A22" s="329" t="s">
        <v>712</v>
      </c>
      <c r="B22" s="641" t="s">
        <v>713</v>
      </c>
      <c r="C22" s="666"/>
      <c r="D22" s="643">
        <f t="shared" si="2"/>
        <v>0</v>
      </c>
      <c r="E22" s="667">
        <f t="shared" si="1"/>
        <v>0</v>
      </c>
      <c r="F22" s="644" t="e">
        <f t="shared" si="3"/>
        <v>#DIV/0!</v>
      </c>
      <c r="G22" s="650"/>
      <c r="H22" s="669"/>
      <c r="I22" s="651"/>
      <c r="J22" s="648"/>
      <c r="K22" s="643"/>
      <c r="L22" s="649"/>
      <c r="M22" s="650"/>
      <c r="N22" s="650"/>
      <c r="O22" s="651"/>
      <c r="P22" s="666"/>
      <c r="Q22" s="645"/>
      <c r="R22" s="647" t="e">
        <f t="shared" si="4"/>
        <v>#DIV/0!</v>
      </c>
    </row>
    <row r="23" spans="1:18" s="653" customFormat="1" ht="24.75" hidden="1" thickTop="1">
      <c r="A23" s="329" t="s">
        <v>714</v>
      </c>
      <c r="B23" s="641" t="s">
        <v>715</v>
      </c>
      <c r="C23" s="666"/>
      <c r="D23" s="643">
        <f t="shared" si="2"/>
        <v>0</v>
      </c>
      <c r="E23" s="667">
        <f t="shared" si="1"/>
        <v>0</v>
      </c>
      <c r="F23" s="644" t="e">
        <f t="shared" si="3"/>
        <v>#DIV/0!</v>
      </c>
      <c r="G23" s="650"/>
      <c r="H23" s="669"/>
      <c r="I23" s="651"/>
      <c r="J23" s="648"/>
      <c r="K23" s="643"/>
      <c r="L23" s="649"/>
      <c r="M23" s="650"/>
      <c r="N23" s="650"/>
      <c r="O23" s="651"/>
      <c r="P23" s="666"/>
      <c r="Q23" s="645"/>
      <c r="R23" s="647" t="e">
        <f t="shared" si="4"/>
        <v>#DIV/0!</v>
      </c>
    </row>
    <row r="24" spans="1:18" s="653" customFormat="1" ht="24.75" hidden="1" thickTop="1">
      <c r="A24" s="329" t="s">
        <v>688</v>
      </c>
      <c r="B24" s="641" t="s">
        <v>689</v>
      </c>
      <c r="C24" s="666"/>
      <c r="D24" s="643">
        <f t="shared" si="2"/>
        <v>0</v>
      </c>
      <c r="E24" s="667">
        <f t="shared" si="1"/>
        <v>0</v>
      </c>
      <c r="F24" s="644" t="e">
        <f t="shared" si="3"/>
        <v>#DIV/0!</v>
      </c>
      <c r="G24" s="650"/>
      <c r="H24" s="669"/>
      <c r="I24" s="651"/>
      <c r="J24" s="648"/>
      <c r="K24" s="643"/>
      <c r="L24" s="649"/>
      <c r="M24" s="650"/>
      <c r="N24" s="650"/>
      <c r="O24" s="651"/>
      <c r="P24" s="666"/>
      <c r="Q24" s="645"/>
      <c r="R24" s="647" t="e">
        <f t="shared" si="4"/>
        <v>#DIV/0!</v>
      </c>
    </row>
    <row r="25" spans="1:18" s="653" customFormat="1" ht="13.5" hidden="1" thickTop="1">
      <c r="A25" s="329" t="s">
        <v>716</v>
      </c>
      <c r="B25" s="641" t="s">
        <v>717</v>
      </c>
      <c r="C25" s="666"/>
      <c r="D25" s="643">
        <f t="shared" si="2"/>
        <v>0</v>
      </c>
      <c r="E25" s="667">
        <f t="shared" si="1"/>
        <v>0</v>
      </c>
      <c r="F25" s="644" t="e">
        <f t="shared" si="3"/>
        <v>#DIV/0!</v>
      </c>
      <c r="G25" s="650"/>
      <c r="H25" s="669"/>
      <c r="I25" s="651"/>
      <c r="J25" s="648"/>
      <c r="K25" s="643"/>
      <c r="L25" s="649"/>
      <c r="M25" s="650"/>
      <c r="N25" s="650"/>
      <c r="O25" s="651"/>
      <c r="P25" s="666"/>
      <c r="Q25" s="645"/>
      <c r="R25" s="647" t="e">
        <f t="shared" si="4"/>
        <v>#DIV/0!</v>
      </c>
    </row>
    <row r="26" spans="1:18" s="653" customFormat="1" ht="13.5" hidden="1" thickTop="1">
      <c r="A26" s="329" t="s">
        <v>718</v>
      </c>
      <c r="B26" s="641" t="s">
        <v>719</v>
      </c>
      <c r="C26" s="666"/>
      <c r="D26" s="643">
        <f t="shared" si="2"/>
        <v>0</v>
      </c>
      <c r="E26" s="667">
        <f t="shared" si="1"/>
        <v>0</v>
      </c>
      <c r="F26" s="644" t="e">
        <f t="shared" si="3"/>
        <v>#DIV/0!</v>
      </c>
      <c r="G26" s="650"/>
      <c r="H26" s="669"/>
      <c r="I26" s="651"/>
      <c r="J26" s="648"/>
      <c r="K26" s="643"/>
      <c r="L26" s="649"/>
      <c r="M26" s="650"/>
      <c r="N26" s="650"/>
      <c r="O26" s="651"/>
      <c r="P26" s="666"/>
      <c r="Q26" s="645"/>
      <c r="R26" s="647" t="e">
        <f t="shared" si="4"/>
        <v>#DIV/0!</v>
      </c>
    </row>
    <row r="27" spans="1:18" s="653" customFormat="1" ht="24.75" hidden="1" thickTop="1">
      <c r="A27" s="329" t="s">
        <v>720</v>
      </c>
      <c r="B27" s="641" t="s">
        <v>426</v>
      </c>
      <c r="C27" s="666"/>
      <c r="D27" s="643">
        <f t="shared" si="2"/>
        <v>0</v>
      </c>
      <c r="E27" s="667">
        <f t="shared" si="1"/>
        <v>0</v>
      </c>
      <c r="F27" s="644" t="e">
        <f t="shared" si="3"/>
        <v>#DIV/0!</v>
      </c>
      <c r="G27" s="650"/>
      <c r="H27" s="669"/>
      <c r="I27" s="651"/>
      <c r="J27" s="648"/>
      <c r="K27" s="643"/>
      <c r="L27" s="649"/>
      <c r="M27" s="650"/>
      <c r="N27" s="650"/>
      <c r="O27" s="651"/>
      <c r="P27" s="666"/>
      <c r="Q27" s="645"/>
      <c r="R27" s="647" t="e">
        <f t="shared" si="4"/>
        <v>#DIV/0!</v>
      </c>
    </row>
    <row r="28" spans="1:18" s="653" customFormat="1" ht="24.75" hidden="1" thickTop="1">
      <c r="A28" s="329" t="s">
        <v>721</v>
      </c>
      <c r="B28" s="641" t="s">
        <v>722</v>
      </c>
      <c r="C28" s="666"/>
      <c r="D28" s="643">
        <f t="shared" si="2"/>
        <v>0</v>
      </c>
      <c r="E28" s="667">
        <f t="shared" si="1"/>
        <v>0</v>
      </c>
      <c r="F28" s="644" t="e">
        <f t="shared" si="3"/>
        <v>#DIV/0!</v>
      </c>
      <c r="G28" s="650"/>
      <c r="H28" s="669"/>
      <c r="I28" s="651"/>
      <c r="J28" s="648"/>
      <c r="K28" s="643"/>
      <c r="L28" s="649"/>
      <c r="M28" s="650"/>
      <c r="N28" s="650"/>
      <c r="O28" s="651"/>
      <c r="P28" s="666"/>
      <c r="Q28" s="645"/>
      <c r="R28" s="647" t="e">
        <f t="shared" si="4"/>
        <v>#DIV/0!</v>
      </c>
    </row>
    <row r="29" spans="1:18" s="682" customFormat="1" ht="14.25" customHeight="1" thickTop="1">
      <c r="A29" s="285" t="s">
        <v>723</v>
      </c>
      <c r="B29" s="672" t="s">
        <v>724</v>
      </c>
      <c r="C29" s="673">
        <f>SUM(C30:C30)</f>
        <v>2000</v>
      </c>
      <c r="D29" s="674">
        <f t="shared" si="2"/>
        <v>2000</v>
      </c>
      <c r="E29" s="674">
        <f>H29+K29+Q29+N29</f>
        <v>1776</v>
      </c>
      <c r="F29" s="675">
        <f t="shared" si="3"/>
        <v>88.8</v>
      </c>
      <c r="G29" s="676">
        <f>SUM(G30:G30)</f>
        <v>2000</v>
      </c>
      <c r="H29" s="674">
        <f>SUM(H30:H30)</f>
        <v>1776</v>
      </c>
      <c r="I29" s="665">
        <f>H29/G29*100</f>
        <v>88.8</v>
      </c>
      <c r="J29" s="677"/>
      <c r="K29" s="674"/>
      <c r="L29" s="663"/>
      <c r="M29" s="678"/>
      <c r="N29" s="678"/>
      <c r="O29" s="679"/>
      <c r="P29" s="680"/>
      <c r="Q29" s="656"/>
      <c r="R29" s="681"/>
    </row>
    <row r="30" spans="1:18" s="653" customFormat="1" ht="54.75" customHeight="1">
      <c r="A30" s="277" t="s">
        <v>725</v>
      </c>
      <c r="B30" s="683" t="s">
        <v>726</v>
      </c>
      <c r="C30" s="684">
        <v>2000</v>
      </c>
      <c r="D30" s="685">
        <f t="shared" si="2"/>
        <v>2000</v>
      </c>
      <c r="E30" s="686">
        <f>SUM(H30+K30+N30+Q30)</f>
        <v>1776</v>
      </c>
      <c r="F30" s="687">
        <f t="shared" si="3"/>
        <v>88.8</v>
      </c>
      <c r="G30" s="688">
        <v>2000</v>
      </c>
      <c r="H30" s="685">
        <f>1775+1</f>
        <v>1776</v>
      </c>
      <c r="I30" s="652">
        <f>H30/G30*100</f>
        <v>88.8</v>
      </c>
      <c r="J30" s="689"/>
      <c r="K30" s="685"/>
      <c r="L30" s="690"/>
      <c r="M30" s="691"/>
      <c r="N30" s="691"/>
      <c r="O30" s="692"/>
      <c r="P30" s="693"/>
      <c r="Q30" s="671"/>
      <c r="R30" s="694"/>
    </row>
    <row r="31" spans="1:18" s="653" customFormat="1" ht="12.75" customHeight="1">
      <c r="A31" s="285" t="s">
        <v>310</v>
      </c>
      <c r="B31" s="672" t="s">
        <v>311</v>
      </c>
      <c r="C31" s="673"/>
      <c r="D31" s="695">
        <f t="shared" si="2"/>
        <v>1376.07</v>
      </c>
      <c r="E31" s="695">
        <f>SUM(H31+K31+N31+Q31)</f>
        <v>1376.07</v>
      </c>
      <c r="F31" s="687">
        <f>E31/D31*100</f>
        <v>100</v>
      </c>
      <c r="G31" s="676"/>
      <c r="H31" s="674"/>
      <c r="I31" s="665"/>
      <c r="J31" s="677">
        <f>SUM(J32:J34)</f>
        <v>1376.07</v>
      </c>
      <c r="K31" s="674">
        <f>SUM(K32:K34)</f>
        <v>1376.07</v>
      </c>
      <c r="L31" s="696">
        <f>K31/J31*100</f>
        <v>100</v>
      </c>
      <c r="M31" s="678"/>
      <c r="N31" s="678"/>
      <c r="O31" s="679"/>
      <c r="P31" s="680"/>
      <c r="Q31" s="656"/>
      <c r="R31" s="681"/>
    </row>
    <row r="32" spans="1:18" s="653" customFormat="1" ht="24">
      <c r="A32" s="329" t="s">
        <v>706</v>
      </c>
      <c r="B32" s="641" t="s">
        <v>707</v>
      </c>
      <c r="C32" s="697"/>
      <c r="D32" s="685">
        <f t="shared" si="2"/>
        <v>26.98</v>
      </c>
      <c r="E32" s="686">
        <f>SUM(H32+K32+N32+Q32)</f>
        <v>26.98</v>
      </c>
      <c r="F32" s="687">
        <f>E32/D32*100</f>
        <v>100</v>
      </c>
      <c r="G32" s="698"/>
      <c r="H32" s="643"/>
      <c r="I32" s="647"/>
      <c r="J32" s="648">
        <v>26.98</v>
      </c>
      <c r="K32" s="643">
        <v>26.98</v>
      </c>
      <c r="L32" s="396">
        <f>K32/J32*100</f>
        <v>100</v>
      </c>
      <c r="M32" s="650"/>
      <c r="N32" s="650"/>
      <c r="O32" s="651"/>
      <c r="P32" s="642"/>
      <c r="Q32" s="645"/>
      <c r="R32" s="699"/>
    </row>
    <row r="33" spans="1:18" s="653" customFormat="1" ht="13.5" thickBot="1">
      <c r="A33" s="329" t="s">
        <v>716</v>
      </c>
      <c r="B33" s="641" t="s">
        <v>717</v>
      </c>
      <c r="C33" s="697"/>
      <c r="D33" s="643">
        <f t="shared" si="2"/>
        <v>1349.09</v>
      </c>
      <c r="E33" s="667">
        <f>SUM(H33+K33+N33+Q33)</f>
        <v>1349.09</v>
      </c>
      <c r="F33" s="700">
        <f>E33/D33*100</f>
        <v>100</v>
      </c>
      <c r="G33" s="645"/>
      <c r="H33" s="643"/>
      <c r="I33" s="647"/>
      <c r="J33" s="648">
        <v>1349.09</v>
      </c>
      <c r="K33" s="643">
        <v>1349.09</v>
      </c>
      <c r="L33" s="396">
        <f>K33/J33*100</f>
        <v>100</v>
      </c>
      <c r="M33" s="650"/>
      <c r="N33" s="650"/>
      <c r="O33" s="651"/>
      <c r="P33" s="642"/>
      <c r="Q33" s="645"/>
      <c r="R33" s="699"/>
    </row>
    <row r="34" spans="1:18" s="653" customFormat="1" ht="60.75" hidden="1" thickBot="1">
      <c r="A34" s="329" t="s">
        <v>727</v>
      </c>
      <c r="B34" s="641" t="s">
        <v>728</v>
      </c>
      <c r="C34" s="697"/>
      <c r="D34" s="643">
        <f t="shared" si="2"/>
        <v>0</v>
      </c>
      <c r="E34" s="667">
        <f>SUM(H34+K34+N34+Q34)</f>
        <v>0</v>
      </c>
      <c r="F34" s="700" t="e">
        <f>E34/D34*100</f>
        <v>#DIV/0!</v>
      </c>
      <c r="G34" s="698"/>
      <c r="H34" s="701"/>
      <c r="I34" s="647"/>
      <c r="J34" s="648"/>
      <c r="K34" s="643"/>
      <c r="L34" s="649" t="e">
        <f>K34/J34*100</f>
        <v>#DIV/0!</v>
      </c>
      <c r="M34" s="650"/>
      <c r="N34" s="650"/>
      <c r="O34" s="651"/>
      <c r="P34" s="642"/>
      <c r="Q34" s="645"/>
      <c r="R34" s="699"/>
    </row>
    <row r="35" spans="1:18" s="627" customFormat="1" ht="18.75" customHeight="1" hidden="1">
      <c r="A35" s="615" t="s">
        <v>729</v>
      </c>
      <c r="B35" s="616" t="s">
        <v>730</v>
      </c>
      <c r="C35" s="617">
        <f>C36</f>
        <v>0</v>
      </c>
      <c r="D35" s="618">
        <f t="shared" si="2"/>
        <v>0</v>
      </c>
      <c r="E35" s="623">
        <f>H35+K35+Q35+N35</f>
        <v>0</v>
      </c>
      <c r="F35" s="619" t="e">
        <f t="shared" si="3"/>
        <v>#DIV/0!</v>
      </c>
      <c r="G35" s="625"/>
      <c r="H35" s="702"/>
      <c r="I35" s="626"/>
      <c r="J35" s="702"/>
      <c r="K35" s="625"/>
      <c r="L35" s="703"/>
      <c r="M35" s="620">
        <f>M36</f>
        <v>0</v>
      </c>
      <c r="N35" s="620">
        <f>N36</f>
        <v>0</v>
      </c>
      <c r="O35" s="621" t="e">
        <f>N35/M35*100</f>
        <v>#DIV/0!</v>
      </c>
      <c r="P35" s="617"/>
      <c r="Q35" s="620"/>
      <c r="R35" s="704"/>
    </row>
    <row r="36" spans="1:18" s="627" customFormat="1" ht="25.5" hidden="1" thickBot="1" thickTop="1">
      <c r="A36" s="427" t="s">
        <v>731</v>
      </c>
      <c r="B36" s="654" t="s">
        <v>732</v>
      </c>
      <c r="C36" s="655">
        <f>C37</f>
        <v>0</v>
      </c>
      <c r="D36" s="631">
        <f t="shared" si="2"/>
        <v>0</v>
      </c>
      <c r="E36" s="664">
        <f>E37</f>
        <v>0</v>
      </c>
      <c r="F36" s="705" t="e">
        <f t="shared" si="3"/>
        <v>#DIV/0!</v>
      </c>
      <c r="G36" s="659"/>
      <c r="H36" s="660"/>
      <c r="I36" s="661"/>
      <c r="J36" s="660"/>
      <c r="K36" s="659"/>
      <c r="L36" s="706"/>
      <c r="M36" s="664">
        <f>M37</f>
        <v>0</v>
      </c>
      <c r="N36" s="664">
        <f>N37</f>
        <v>0</v>
      </c>
      <c r="O36" s="707" t="e">
        <f>N36/M36*100</f>
        <v>#DIV/0!</v>
      </c>
      <c r="P36" s="655"/>
      <c r="Q36" s="664"/>
      <c r="R36" s="708"/>
    </row>
    <row r="37" spans="1:18" s="717" customFormat="1" ht="24.75" hidden="1" thickBot="1">
      <c r="A37" s="709">
        <v>4300</v>
      </c>
      <c r="B37" s="710" t="s">
        <v>733</v>
      </c>
      <c r="C37" s="670"/>
      <c r="D37" s="685">
        <f t="shared" si="2"/>
        <v>0</v>
      </c>
      <c r="E37" s="686">
        <f>SUM(H37+K37+N37+Q37)</f>
        <v>0</v>
      </c>
      <c r="F37" s="668" t="e">
        <f t="shared" si="3"/>
        <v>#DIV/0!</v>
      </c>
      <c r="G37" s="711"/>
      <c r="H37" s="712"/>
      <c r="I37" s="692"/>
      <c r="J37" s="712"/>
      <c r="K37" s="711"/>
      <c r="L37" s="713"/>
      <c r="M37" s="714"/>
      <c r="N37" s="714">
        <v>0</v>
      </c>
      <c r="O37" s="652" t="e">
        <f>N37/M37*100</f>
        <v>#DIV/0!</v>
      </c>
      <c r="P37" s="715"/>
      <c r="Q37" s="714"/>
      <c r="R37" s="716"/>
    </row>
    <row r="38" spans="1:18" s="723" customFormat="1" ht="15.75" customHeight="1" thickBot="1" thickTop="1">
      <c r="A38" s="718">
        <v>500</v>
      </c>
      <c r="B38" s="719" t="s">
        <v>734</v>
      </c>
      <c r="C38" s="720">
        <f>C39</f>
        <v>162000</v>
      </c>
      <c r="D38" s="618">
        <f t="shared" si="2"/>
        <v>180200</v>
      </c>
      <c r="E38" s="623">
        <f>H38+K38+Q38+N38</f>
        <v>108258</v>
      </c>
      <c r="F38" s="619">
        <f t="shared" si="3"/>
        <v>60.07658157602663</v>
      </c>
      <c r="G38" s="618">
        <f>G39</f>
        <v>180200</v>
      </c>
      <c r="H38" s="618">
        <f>H39</f>
        <v>108258</v>
      </c>
      <c r="I38" s="621">
        <f aca="true" t="shared" si="5" ref="I38:I51">H38/G38*100</f>
        <v>60.07658157602663</v>
      </c>
      <c r="J38" s="622"/>
      <c r="K38" s="623"/>
      <c r="L38" s="721"/>
      <c r="M38" s="623"/>
      <c r="N38" s="623"/>
      <c r="O38" s="722"/>
      <c r="P38" s="617"/>
      <c r="Q38" s="620"/>
      <c r="R38" s="704"/>
    </row>
    <row r="39" spans="1:18" s="723" customFormat="1" ht="18" customHeight="1" thickTop="1">
      <c r="A39" s="724">
        <v>50095</v>
      </c>
      <c r="B39" s="725" t="s">
        <v>311</v>
      </c>
      <c r="C39" s="726">
        <f>SUM(C40:C44)</f>
        <v>162000</v>
      </c>
      <c r="D39" s="727">
        <f t="shared" si="2"/>
        <v>180200</v>
      </c>
      <c r="E39" s="657">
        <f>SUM(E40:E44)</f>
        <v>108258</v>
      </c>
      <c r="F39" s="705">
        <f t="shared" si="3"/>
        <v>60.07658157602663</v>
      </c>
      <c r="G39" s="674">
        <f>SUM(G40:G44)</f>
        <v>180200</v>
      </c>
      <c r="H39" s="674">
        <f>SUM(H40:H44)</f>
        <v>108258</v>
      </c>
      <c r="I39" s="707">
        <f t="shared" si="5"/>
        <v>60.07658157602663</v>
      </c>
      <c r="J39" s="662"/>
      <c r="K39" s="657"/>
      <c r="L39" s="663"/>
      <c r="M39" s="657"/>
      <c r="N39" s="657"/>
      <c r="O39" s="317"/>
      <c r="P39" s="655"/>
      <c r="Q39" s="664"/>
      <c r="R39" s="708"/>
    </row>
    <row r="40" spans="1:18" s="592" customFormat="1" ht="24">
      <c r="A40" s="728">
        <v>4210</v>
      </c>
      <c r="B40" s="729" t="s">
        <v>707</v>
      </c>
      <c r="C40" s="666">
        <v>2000</v>
      </c>
      <c r="D40" s="643">
        <f t="shared" si="2"/>
        <v>3000</v>
      </c>
      <c r="E40" s="667">
        <f>SUM(H40+K40+N40+Q40)</f>
        <v>1904</v>
      </c>
      <c r="F40" s="644">
        <f t="shared" si="3"/>
        <v>63.46666666666667</v>
      </c>
      <c r="G40" s="670">
        <f>2000+1000</f>
        <v>3000</v>
      </c>
      <c r="H40" s="685">
        <v>1904</v>
      </c>
      <c r="I40" s="647">
        <f t="shared" si="5"/>
        <v>63.46666666666667</v>
      </c>
      <c r="J40" s="730"/>
      <c r="K40" s="667"/>
      <c r="L40" s="649"/>
      <c r="M40" s="667"/>
      <c r="N40" s="667"/>
      <c r="O40" s="731"/>
      <c r="P40" s="732"/>
      <c r="Q40" s="733"/>
      <c r="R40" s="734"/>
    </row>
    <row r="41" spans="1:18" s="592" customFormat="1" ht="14.25" customHeight="1">
      <c r="A41" s="728">
        <v>4260</v>
      </c>
      <c r="B41" s="729" t="s">
        <v>711</v>
      </c>
      <c r="C41" s="666">
        <v>2000</v>
      </c>
      <c r="D41" s="643">
        <f t="shared" si="2"/>
        <v>4000</v>
      </c>
      <c r="E41" s="667">
        <f>SUM(H41+K41+N41+Q41)</f>
        <v>492</v>
      </c>
      <c r="F41" s="644">
        <f t="shared" si="3"/>
        <v>12.3</v>
      </c>
      <c r="G41" s="666">
        <f>2000+1000+1000</f>
        <v>4000</v>
      </c>
      <c r="H41" s="643">
        <v>492</v>
      </c>
      <c r="I41" s="647">
        <f t="shared" si="5"/>
        <v>12.3</v>
      </c>
      <c r="J41" s="730"/>
      <c r="K41" s="667"/>
      <c r="L41" s="649"/>
      <c r="M41" s="667"/>
      <c r="N41" s="667"/>
      <c r="O41" s="731"/>
      <c r="P41" s="732"/>
      <c r="Q41" s="733"/>
      <c r="R41" s="734"/>
    </row>
    <row r="42" spans="1:18" s="592" customFormat="1" ht="14.25" customHeight="1">
      <c r="A42" s="728">
        <v>4270</v>
      </c>
      <c r="B42" s="729" t="s">
        <v>713</v>
      </c>
      <c r="C42" s="666">
        <v>25000</v>
      </c>
      <c r="D42" s="643">
        <f>G42+J42+P42+M42</f>
        <v>25000</v>
      </c>
      <c r="E42" s="667">
        <f>SUM(H42+K42+N42+Q42)</f>
        <v>0</v>
      </c>
      <c r="F42" s="644">
        <f>E42/D42*100</f>
        <v>0</v>
      </c>
      <c r="G42" s="666">
        <v>25000</v>
      </c>
      <c r="H42" s="643"/>
      <c r="I42" s="647">
        <f t="shared" si="5"/>
        <v>0</v>
      </c>
      <c r="J42" s="730"/>
      <c r="K42" s="667"/>
      <c r="L42" s="649"/>
      <c r="M42" s="667"/>
      <c r="N42" s="667"/>
      <c r="O42" s="731"/>
      <c r="P42" s="732"/>
      <c r="Q42" s="733"/>
      <c r="R42" s="734"/>
    </row>
    <row r="43" spans="1:18" s="592" customFormat="1" ht="14.25" customHeight="1">
      <c r="A43" s="728">
        <v>4300</v>
      </c>
      <c r="B43" s="735" t="s">
        <v>715</v>
      </c>
      <c r="C43" s="666">
        <v>133000</v>
      </c>
      <c r="D43" s="643">
        <f aca="true" t="shared" si="6" ref="D43:E115">G43+J43+P43+M43</f>
        <v>142000</v>
      </c>
      <c r="E43" s="667">
        <f>SUM(H43+K43+N43+Q43)</f>
        <v>105862</v>
      </c>
      <c r="F43" s="644">
        <f>E43/D43*100</f>
        <v>74.55070422535212</v>
      </c>
      <c r="G43" s="666">
        <f>133000-1000+10000</f>
        <v>142000</v>
      </c>
      <c r="H43" s="643">
        <v>105862</v>
      </c>
      <c r="I43" s="647">
        <f t="shared" si="5"/>
        <v>74.55070422535212</v>
      </c>
      <c r="J43" s="730"/>
      <c r="K43" s="667"/>
      <c r="L43" s="649"/>
      <c r="M43" s="667"/>
      <c r="N43" s="667"/>
      <c r="O43" s="731"/>
      <c r="P43" s="732"/>
      <c r="Q43" s="733"/>
      <c r="R43" s="734"/>
    </row>
    <row r="44" spans="1:18" s="592" customFormat="1" ht="22.5" customHeight="1" thickBot="1">
      <c r="A44" s="728">
        <v>6050</v>
      </c>
      <c r="B44" s="735" t="s">
        <v>735</v>
      </c>
      <c r="C44" s="666"/>
      <c r="D44" s="643">
        <f t="shared" si="6"/>
        <v>6200</v>
      </c>
      <c r="E44" s="667">
        <f>SUM(H44+K44+N44+Q44)</f>
        <v>0</v>
      </c>
      <c r="F44" s="644">
        <f t="shared" si="3"/>
        <v>0</v>
      </c>
      <c r="G44" s="736">
        <v>6200</v>
      </c>
      <c r="H44" s="701"/>
      <c r="I44" s="647">
        <f t="shared" si="5"/>
        <v>0</v>
      </c>
      <c r="J44" s="730"/>
      <c r="K44" s="667"/>
      <c r="L44" s="649"/>
      <c r="M44" s="667"/>
      <c r="N44" s="667"/>
      <c r="O44" s="731"/>
      <c r="P44" s="666"/>
      <c r="Q44" s="667"/>
      <c r="R44" s="737"/>
    </row>
    <row r="45" spans="1:18" s="723" customFormat="1" ht="28.5" customHeight="1" thickBot="1" thickTop="1">
      <c r="A45" s="738">
        <v>600</v>
      </c>
      <c r="B45" s="739" t="s">
        <v>736</v>
      </c>
      <c r="C45" s="740">
        <f>SUM(C49+C52+C95+C125+C131+C133)+C46</f>
        <v>41259480</v>
      </c>
      <c r="D45" s="618">
        <f t="shared" si="6"/>
        <v>47050027</v>
      </c>
      <c r="E45" s="618">
        <f t="shared" si="6"/>
        <v>26336501</v>
      </c>
      <c r="F45" s="741">
        <f t="shared" si="3"/>
        <v>55.975527920525955</v>
      </c>
      <c r="G45" s="618">
        <f>SUM(G95+G133+G52)+G49+G125+G131+G46</f>
        <v>33180027</v>
      </c>
      <c r="H45" s="618">
        <f>SUM(H95+H133+H52)+H49+H125+H131+H46</f>
        <v>19204814</v>
      </c>
      <c r="I45" s="742">
        <f t="shared" si="5"/>
        <v>57.880646088684614</v>
      </c>
      <c r="J45" s="743"/>
      <c r="K45" s="618"/>
      <c r="L45" s="721"/>
      <c r="M45" s="618">
        <f>SUM(M95+M133+M52)</f>
        <v>12855000</v>
      </c>
      <c r="N45" s="618">
        <f>SUM(N95+N133+N52)</f>
        <v>6182562</v>
      </c>
      <c r="O45" s="744">
        <f>N45/M45*100</f>
        <v>48.09460910151692</v>
      </c>
      <c r="P45" s="740">
        <f>P52</f>
        <v>1015000</v>
      </c>
      <c r="Q45" s="618">
        <f>Q52</f>
        <v>949125</v>
      </c>
      <c r="R45" s="745">
        <f>Q45/P45*100</f>
        <v>93.50985221674877</v>
      </c>
    </row>
    <row r="46" spans="1:18" s="723" customFormat="1" ht="24.75" thickTop="1">
      <c r="A46" s="746">
        <v>60002</v>
      </c>
      <c r="B46" s="747" t="s">
        <v>737</v>
      </c>
      <c r="C46" s="748">
        <f>SUM(C48)</f>
        <v>0</v>
      </c>
      <c r="D46" s="749">
        <f t="shared" si="6"/>
        <v>1602000</v>
      </c>
      <c r="E46" s="749">
        <f t="shared" si="6"/>
        <v>1526991</v>
      </c>
      <c r="F46" s="700">
        <f t="shared" si="3"/>
        <v>95.31779026217228</v>
      </c>
      <c r="G46" s="749">
        <f>SUM(G47:G48)</f>
        <v>1602000</v>
      </c>
      <c r="H46" s="749">
        <f>SUM(H47:H48)</f>
        <v>1526991</v>
      </c>
      <c r="I46" s="492">
        <f t="shared" si="5"/>
        <v>95.31779026217228</v>
      </c>
      <c r="J46" s="750"/>
      <c r="K46" s="749"/>
      <c r="L46" s="751"/>
      <c r="M46" s="752"/>
      <c r="N46" s="753"/>
      <c r="O46" s="754"/>
      <c r="P46" s="748"/>
      <c r="Q46" s="749"/>
      <c r="R46" s="755"/>
    </row>
    <row r="47" spans="1:18" s="761" customFormat="1" ht="72">
      <c r="A47" s="756">
        <v>2710</v>
      </c>
      <c r="B47" s="757" t="s">
        <v>738</v>
      </c>
      <c r="C47" s="684"/>
      <c r="D47" s="685">
        <f>G47+J47+P47+M47</f>
        <v>100000</v>
      </c>
      <c r="E47" s="685">
        <f>H47+K47+Q47+N47</f>
        <v>25000</v>
      </c>
      <c r="F47" s="668">
        <f>E47/D47*100</f>
        <v>25</v>
      </c>
      <c r="G47" s="685">
        <v>100000</v>
      </c>
      <c r="H47" s="685">
        <v>25000</v>
      </c>
      <c r="I47" s="758">
        <f t="shared" si="5"/>
        <v>25</v>
      </c>
      <c r="J47" s="689"/>
      <c r="K47" s="685"/>
      <c r="L47" s="690"/>
      <c r="M47" s="759"/>
      <c r="N47" s="685"/>
      <c r="O47" s="652"/>
      <c r="P47" s="684"/>
      <c r="Q47" s="685"/>
      <c r="R47" s="760"/>
    </row>
    <row r="48" spans="1:18" s="723" customFormat="1" ht="28.5" customHeight="1">
      <c r="A48" s="762">
        <v>6050</v>
      </c>
      <c r="B48" s="763" t="s">
        <v>739</v>
      </c>
      <c r="C48" s="764"/>
      <c r="D48" s="765">
        <f t="shared" si="6"/>
        <v>1502000</v>
      </c>
      <c r="E48" s="765">
        <f t="shared" si="6"/>
        <v>1501991</v>
      </c>
      <c r="F48" s="705">
        <f t="shared" si="3"/>
        <v>99.99940079893476</v>
      </c>
      <c r="G48" s="765">
        <v>1502000</v>
      </c>
      <c r="H48" s="765">
        <v>1501991</v>
      </c>
      <c r="I48" s="766">
        <f t="shared" si="5"/>
        <v>99.99940079893476</v>
      </c>
      <c r="J48" s="767"/>
      <c r="K48" s="765"/>
      <c r="L48" s="768"/>
      <c r="M48" s="769"/>
      <c r="N48" s="765"/>
      <c r="O48" s="707"/>
      <c r="P48" s="764"/>
      <c r="Q48" s="765"/>
      <c r="R48" s="770"/>
    </row>
    <row r="49" spans="1:18" s="775" customFormat="1" ht="27" customHeight="1">
      <c r="A49" s="746">
        <v>60004</v>
      </c>
      <c r="B49" s="771" t="s">
        <v>740</v>
      </c>
      <c r="C49" s="748">
        <f>SUM(C50:C51)</f>
        <v>6500000</v>
      </c>
      <c r="D49" s="749">
        <f t="shared" si="6"/>
        <v>8259000</v>
      </c>
      <c r="E49" s="749">
        <f t="shared" si="6"/>
        <v>3000000</v>
      </c>
      <c r="F49" s="772">
        <f>E49/D49*100</f>
        <v>36.32401017072285</v>
      </c>
      <c r="G49" s="749">
        <f>SUM(G50:G51)</f>
        <v>8259000</v>
      </c>
      <c r="H49" s="749">
        <f>SUM(H50:H51)</f>
        <v>3000000</v>
      </c>
      <c r="I49" s="766">
        <f t="shared" si="5"/>
        <v>36.32401017072285</v>
      </c>
      <c r="J49" s="750"/>
      <c r="K49" s="773"/>
      <c r="L49" s="754"/>
      <c r="M49" s="752"/>
      <c r="N49" s="749"/>
      <c r="O49" s="774"/>
      <c r="P49" s="748"/>
      <c r="Q49" s="749"/>
      <c r="R49" s="755"/>
    </row>
    <row r="50" spans="1:18" ht="15.75" customHeight="1">
      <c r="A50" s="709">
        <v>4300</v>
      </c>
      <c r="B50" s="776" t="s">
        <v>715</v>
      </c>
      <c r="C50" s="670">
        <v>4500000</v>
      </c>
      <c r="D50" s="685">
        <f t="shared" si="6"/>
        <v>6259000</v>
      </c>
      <c r="E50" s="685">
        <f t="shared" si="6"/>
        <v>3000000</v>
      </c>
      <c r="F50" s="668">
        <f>E50/D50*100</f>
        <v>47.93097938967886</v>
      </c>
      <c r="G50" s="685">
        <f>4500000+1759000</f>
        <v>6259000</v>
      </c>
      <c r="H50" s="689">
        <v>3000000</v>
      </c>
      <c r="I50" s="758">
        <f t="shared" si="5"/>
        <v>47.93097938967886</v>
      </c>
      <c r="J50" s="777"/>
      <c r="K50" s="714"/>
      <c r="L50" s="652"/>
      <c r="M50" s="778"/>
      <c r="N50" s="686"/>
      <c r="O50" s="779"/>
      <c r="P50" s="670"/>
      <c r="Q50" s="686"/>
      <c r="R50" s="760"/>
    </row>
    <row r="51" spans="1:18" ht="60">
      <c r="A51" s="762">
        <v>6010</v>
      </c>
      <c r="B51" s="780" t="s">
        <v>741</v>
      </c>
      <c r="C51" s="781">
        <v>2000000</v>
      </c>
      <c r="D51" s="765">
        <f t="shared" si="6"/>
        <v>2000000</v>
      </c>
      <c r="E51" s="765">
        <f t="shared" si="6"/>
        <v>0</v>
      </c>
      <c r="F51" s="705">
        <f>E51/D51*100</f>
        <v>0</v>
      </c>
      <c r="G51" s="765">
        <v>2000000</v>
      </c>
      <c r="H51" s="767"/>
      <c r="I51" s="766">
        <f t="shared" si="5"/>
        <v>0</v>
      </c>
      <c r="J51" s="782"/>
      <c r="K51" s="783"/>
      <c r="L51" s="707"/>
      <c r="M51" s="784"/>
      <c r="N51" s="785"/>
      <c r="O51" s="786"/>
      <c r="P51" s="781"/>
      <c r="Q51" s="785"/>
      <c r="R51" s="770"/>
    </row>
    <row r="52" spans="1:18" s="723" customFormat="1" ht="39" customHeight="1">
      <c r="A52" s="787">
        <v>60015</v>
      </c>
      <c r="B52" s="788" t="s">
        <v>317</v>
      </c>
      <c r="C52" s="680">
        <f>SUM(C53:C61)+SUM(C91:C94)</f>
        <v>12940000</v>
      </c>
      <c r="D52" s="674">
        <f t="shared" si="6"/>
        <v>13870000</v>
      </c>
      <c r="E52" s="674">
        <f t="shared" si="6"/>
        <v>7131687</v>
      </c>
      <c r="F52" s="675">
        <f t="shared" si="3"/>
        <v>51.41807498197548</v>
      </c>
      <c r="G52" s="656"/>
      <c r="H52" s="789"/>
      <c r="I52" s="790"/>
      <c r="J52" s="789"/>
      <c r="K52" s="656"/>
      <c r="L52" s="791"/>
      <c r="M52" s="676">
        <f>SUM(M53:M61)+SUM(M91:M94)</f>
        <v>12855000</v>
      </c>
      <c r="N52" s="656">
        <f>SUM(N53:N61)+SUM(N91:N94)</f>
        <v>6182562</v>
      </c>
      <c r="O52" s="791">
        <f aca="true" t="shared" si="7" ref="O52:O94">N52/M52*100</f>
        <v>48.09460910151692</v>
      </c>
      <c r="P52" s="680">
        <f>SUM(P53:P61)</f>
        <v>1015000</v>
      </c>
      <c r="Q52" s="656">
        <f>SUM(Q53:Q61)</f>
        <v>949125</v>
      </c>
      <c r="R52" s="681">
        <f>Q52/P52*100</f>
        <v>93.50985221674877</v>
      </c>
    </row>
    <row r="53" spans="1:18" ht="24">
      <c r="A53" s="728">
        <v>4210</v>
      </c>
      <c r="B53" s="729" t="s">
        <v>707</v>
      </c>
      <c r="C53" s="666">
        <v>50000</v>
      </c>
      <c r="D53" s="643">
        <f t="shared" si="6"/>
        <v>70000</v>
      </c>
      <c r="E53" s="667">
        <f>SUM(H53+K53+N53+Q53)</f>
        <v>65897</v>
      </c>
      <c r="F53" s="644">
        <f t="shared" si="3"/>
        <v>94.13857142857142</v>
      </c>
      <c r="G53" s="733"/>
      <c r="H53" s="792"/>
      <c r="I53" s="793"/>
      <c r="J53" s="792"/>
      <c r="K53" s="733"/>
      <c r="L53" s="647"/>
      <c r="M53" s="794">
        <f>50000+20000</f>
        <v>70000</v>
      </c>
      <c r="N53" s="733">
        <v>65897</v>
      </c>
      <c r="O53" s="647">
        <f t="shared" si="7"/>
        <v>94.13857142857142</v>
      </c>
      <c r="P53" s="732"/>
      <c r="Q53" s="733"/>
      <c r="R53" s="734"/>
    </row>
    <row r="54" spans="1:18" ht="24" hidden="1">
      <c r="A54" s="728">
        <v>4170</v>
      </c>
      <c r="B54" s="729" t="s">
        <v>742</v>
      </c>
      <c r="C54" s="666"/>
      <c r="D54" s="643">
        <f t="shared" si="6"/>
        <v>0</v>
      </c>
      <c r="E54" s="667">
        <f>SUM(H54+K54+N54+Q54)</f>
        <v>0</v>
      </c>
      <c r="F54" s="644" t="e">
        <f>E54/D54*100</f>
        <v>#DIV/0!</v>
      </c>
      <c r="G54" s="733"/>
      <c r="H54" s="792"/>
      <c r="I54" s="793"/>
      <c r="J54" s="792"/>
      <c r="K54" s="733"/>
      <c r="L54" s="647"/>
      <c r="M54" s="794"/>
      <c r="N54" s="733"/>
      <c r="O54" s="647" t="e">
        <f t="shared" si="7"/>
        <v>#DIV/0!</v>
      </c>
      <c r="P54" s="732"/>
      <c r="Q54" s="733"/>
      <c r="R54" s="734"/>
    </row>
    <row r="55" spans="1:18" ht="15.75" customHeight="1">
      <c r="A55" s="728">
        <v>4260</v>
      </c>
      <c r="B55" s="729" t="s">
        <v>711</v>
      </c>
      <c r="C55" s="666">
        <v>65000</v>
      </c>
      <c r="D55" s="643">
        <f t="shared" si="6"/>
        <v>42100</v>
      </c>
      <c r="E55" s="667">
        <f>SUM(H55+K55+N55+Q55)</f>
        <v>42046</v>
      </c>
      <c r="F55" s="644">
        <f t="shared" si="3"/>
        <v>99.87173396674585</v>
      </c>
      <c r="G55" s="733"/>
      <c r="H55" s="792"/>
      <c r="I55" s="793"/>
      <c r="J55" s="792"/>
      <c r="K55" s="733"/>
      <c r="L55" s="647"/>
      <c r="M55" s="794">
        <f>65000-22900</f>
        <v>42100</v>
      </c>
      <c r="N55" s="733">
        <v>42046</v>
      </c>
      <c r="O55" s="647">
        <f t="shared" si="7"/>
        <v>99.87173396674585</v>
      </c>
      <c r="P55" s="732"/>
      <c r="Q55" s="733"/>
      <c r="R55" s="734"/>
    </row>
    <row r="56" spans="1:18" ht="15.75" customHeight="1">
      <c r="A56" s="728">
        <v>4270</v>
      </c>
      <c r="B56" s="735" t="s">
        <v>713</v>
      </c>
      <c r="C56" s="666">
        <v>650000</v>
      </c>
      <c r="D56" s="643">
        <f t="shared" si="6"/>
        <v>712900</v>
      </c>
      <c r="E56" s="667">
        <f>SUM(H56+K56+N56+Q56)</f>
        <v>617915</v>
      </c>
      <c r="F56" s="644">
        <f t="shared" si="3"/>
        <v>86.67625192874175</v>
      </c>
      <c r="G56" s="667"/>
      <c r="H56" s="730"/>
      <c r="I56" s="731"/>
      <c r="J56" s="730"/>
      <c r="K56" s="667"/>
      <c r="L56" s="649"/>
      <c r="M56" s="794">
        <f>650000-100000+60000+80000+22900</f>
        <v>712900</v>
      </c>
      <c r="N56" s="667">
        <v>617915</v>
      </c>
      <c r="O56" s="647">
        <f t="shared" si="7"/>
        <v>86.67625192874175</v>
      </c>
      <c r="P56" s="666"/>
      <c r="Q56" s="667"/>
      <c r="R56" s="734"/>
    </row>
    <row r="57" spans="1:18" ht="15.75" customHeight="1">
      <c r="A57" s="728">
        <v>4300</v>
      </c>
      <c r="B57" s="735" t="s">
        <v>715</v>
      </c>
      <c r="C57" s="666">
        <v>25000</v>
      </c>
      <c r="D57" s="643">
        <f t="shared" si="6"/>
        <v>20000</v>
      </c>
      <c r="E57" s="667">
        <f aca="true" t="shared" si="8" ref="E57:E119">SUM(H57+K57+N57+Q57)</f>
        <v>19517</v>
      </c>
      <c r="F57" s="644">
        <f t="shared" si="3"/>
        <v>97.585</v>
      </c>
      <c r="G57" s="667"/>
      <c r="H57" s="730"/>
      <c r="I57" s="731"/>
      <c r="J57" s="730"/>
      <c r="K57" s="667"/>
      <c r="L57" s="649"/>
      <c r="M57" s="794">
        <f>25000-5000</f>
        <v>20000</v>
      </c>
      <c r="N57" s="667">
        <v>19517</v>
      </c>
      <c r="O57" s="647">
        <f t="shared" si="7"/>
        <v>97.585</v>
      </c>
      <c r="P57" s="666"/>
      <c r="Q57" s="667"/>
      <c r="R57" s="734"/>
    </row>
    <row r="58" spans="1:18" ht="36">
      <c r="A58" s="728">
        <v>4390</v>
      </c>
      <c r="B58" s="735" t="s">
        <v>743</v>
      </c>
      <c r="C58" s="666">
        <v>20000</v>
      </c>
      <c r="D58" s="643">
        <f t="shared" si="6"/>
        <v>5000</v>
      </c>
      <c r="E58" s="667">
        <f>SUM(H58+K58+N58+Q58)</f>
        <v>0</v>
      </c>
      <c r="F58" s="644">
        <f>E58/D58*100</f>
        <v>0</v>
      </c>
      <c r="G58" s="667"/>
      <c r="H58" s="730"/>
      <c r="I58" s="731"/>
      <c r="J58" s="730"/>
      <c r="K58" s="667"/>
      <c r="L58" s="649"/>
      <c r="M58" s="794">
        <f>20000-15000</f>
        <v>5000</v>
      </c>
      <c r="N58" s="667"/>
      <c r="O58" s="647">
        <f t="shared" si="7"/>
        <v>0</v>
      </c>
      <c r="P58" s="666"/>
      <c r="Q58" s="667"/>
      <c r="R58" s="734"/>
    </row>
    <row r="59" spans="1:18" ht="12.75" hidden="1">
      <c r="A59" s="728">
        <v>4580</v>
      </c>
      <c r="B59" s="735" t="s">
        <v>412</v>
      </c>
      <c r="C59" s="666"/>
      <c r="D59" s="643">
        <f t="shared" si="6"/>
        <v>0</v>
      </c>
      <c r="E59" s="667">
        <f>SUM(H59+K59+N59+Q59)</f>
        <v>0</v>
      </c>
      <c r="F59" s="644" t="e">
        <f>E59/D59*100</f>
        <v>#DIV/0!</v>
      </c>
      <c r="G59" s="667"/>
      <c r="H59" s="730"/>
      <c r="I59" s="731"/>
      <c r="J59" s="730"/>
      <c r="K59" s="667"/>
      <c r="L59" s="649"/>
      <c r="M59" s="794"/>
      <c r="N59" s="667"/>
      <c r="O59" s="647" t="e">
        <f t="shared" si="7"/>
        <v>#DIV/0!</v>
      </c>
      <c r="P59" s="666"/>
      <c r="Q59" s="667"/>
      <c r="R59" s="734"/>
    </row>
    <row r="60" spans="1:18" ht="36" hidden="1">
      <c r="A60" s="728">
        <v>4610</v>
      </c>
      <c r="B60" s="735" t="s">
        <v>744</v>
      </c>
      <c r="C60" s="666"/>
      <c r="D60" s="643">
        <f t="shared" si="6"/>
        <v>0</v>
      </c>
      <c r="E60" s="667">
        <f>SUM(H60+K60+N60+Q60)</f>
        <v>0</v>
      </c>
      <c r="F60" s="644" t="e">
        <f>E60/D60*100</f>
        <v>#DIV/0!</v>
      </c>
      <c r="G60" s="667"/>
      <c r="H60" s="730"/>
      <c r="I60" s="731"/>
      <c r="J60" s="730"/>
      <c r="K60" s="667"/>
      <c r="L60" s="649"/>
      <c r="M60" s="794"/>
      <c r="N60" s="667"/>
      <c r="O60" s="647" t="e">
        <f t="shared" si="7"/>
        <v>#DIV/0!</v>
      </c>
      <c r="P60" s="666"/>
      <c r="Q60" s="667"/>
      <c r="R60" s="734"/>
    </row>
    <row r="61" spans="1:18" ht="24">
      <c r="A61" s="728">
        <v>6050</v>
      </c>
      <c r="B61" s="735" t="s">
        <v>739</v>
      </c>
      <c r="C61" s="666">
        <f>SUM(C62:C88)</f>
        <v>12130000</v>
      </c>
      <c r="D61" s="643">
        <f t="shared" si="6"/>
        <v>13020000</v>
      </c>
      <c r="E61" s="667">
        <f t="shared" si="8"/>
        <v>6386312</v>
      </c>
      <c r="F61" s="644">
        <f t="shared" si="3"/>
        <v>49.0500153609831</v>
      </c>
      <c r="G61" s="667"/>
      <c r="H61" s="730"/>
      <c r="I61" s="731"/>
      <c r="J61" s="730"/>
      <c r="K61" s="667"/>
      <c r="L61" s="649"/>
      <c r="M61" s="794">
        <f>SUM(M62:M88)</f>
        <v>12005000</v>
      </c>
      <c r="N61" s="667">
        <f>SUM(N62:N88)</f>
        <v>5437187</v>
      </c>
      <c r="O61" s="647">
        <f t="shared" si="7"/>
        <v>45.29102040816326</v>
      </c>
      <c r="P61" s="666">
        <f>SUM(P62:P88)</f>
        <v>1015000</v>
      </c>
      <c r="Q61" s="667">
        <f>SUM(Q62:Q88)</f>
        <v>949125</v>
      </c>
      <c r="R61" s="699">
        <f>Q61/P61*100</f>
        <v>93.50985221674877</v>
      </c>
    </row>
    <row r="62" spans="1:18" s="801" customFormat="1" ht="24">
      <c r="A62" s="795"/>
      <c r="B62" s="796" t="s">
        <v>745</v>
      </c>
      <c r="C62" s="797">
        <v>2200000</v>
      </c>
      <c r="D62" s="798">
        <f t="shared" si="6"/>
        <v>2360000</v>
      </c>
      <c r="E62" s="798">
        <f t="shared" si="8"/>
        <v>1956588</v>
      </c>
      <c r="F62" s="644">
        <f t="shared" si="3"/>
        <v>82.90627118644068</v>
      </c>
      <c r="G62" s="798"/>
      <c r="H62" s="799"/>
      <c r="I62" s="649"/>
      <c r="J62" s="799"/>
      <c r="K62" s="798"/>
      <c r="L62" s="649"/>
      <c r="M62" s="800">
        <f>2200000+160000</f>
        <v>2360000</v>
      </c>
      <c r="N62" s="798">
        <v>1956588</v>
      </c>
      <c r="O62" s="647">
        <f t="shared" si="7"/>
        <v>82.90627118644068</v>
      </c>
      <c r="P62" s="797"/>
      <c r="Q62" s="798"/>
      <c r="R62" s="699"/>
    </row>
    <row r="63" spans="1:18" s="801" customFormat="1" ht="24">
      <c r="A63" s="795"/>
      <c r="B63" s="796" t="s">
        <v>746</v>
      </c>
      <c r="C63" s="797">
        <v>50000</v>
      </c>
      <c r="D63" s="798">
        <f t="shared" si="6"/>
        <v>50000</v>
      </c>
      <c r="E63" s="798">
        <f t="shared" si="8"/>
        <v>0</v>
      </c>
      <c r="F63" s="644">
        <f t="shared" si="3"/>
        <v>0</v>
      </c>
      <c r="G63" s="798"/>
      <c r="H63" s="799"/>
      <c r="I63" s="649"/>
      <c r="J63" s="799"/>
      <c r="K63" s="798"/>
      <c r="L63" s="649"/>
      <c r="M63" s="800">
        <v>50000</v>
      </c>
      <c r="N63" s="798"/>
      <c r="O63" s="647">
        <f t="shared" si="7"/>
        <v>0</v>
      </c>
      <c r="P63" s="797"/>
      <c r="Q63" s="798"/>
      <c r="R63" s="699"/>
    </row>
    <row r="64" spans="1:18" s="801" customFormat="1" ht="36">
      <c r="A64" s="795"/>
      <c r="B64" s="796" t="s">
        <v>747</v>
      </c>
      <c r="C64" s="797">
        <v>10000</v>
      </c>
      <c r="D64" s="798">
        <f t="shared" si="6"/>
        <v>10000</v>
      </c>
      <c r="E64" s="798">
        <f t="shared" si="8"/>
        <v>0</v>
      </c>
      <c r="F64" s="644">
        <f t="shared" si="3"/>
        <v>0</v>
      </c>
      <c r="G64" s="798"/>
      <c r="H64" s="799"/>
      <c r="I64" s="649"/>
      <c r="J64" s="799"/>
      <c r="K64" s="798"/>
      <c r="L64" s="649"/>
      <c r="M64" s="800">
        <v>10000</v>
      </c>
      <c r="N64" s="798"/>
      <c r="O64" s="647">
        <f t="shared" si="7"/>
        <v>0</v>
      </c>
      <c r="P64" s="797"/>
      <c r="Q64" s="798"/>
      <c r="R64" s="699"/>
    </row>
    <row r="65" spans="1:18" s="801" customFormat="1" ht="72">
      <c r="A65" s="795"/>
      <c r="B65" s="796" t="s">
        <v>748</v>
      </c>
      <c r="C65" s="797">
        <v>2400000</v>
      </c>
      <c r="D65" s="798">
        <f t="shared" si="6"/>
        <v>2400000</v>
      </c>
      <c r="E65" s="798">
        <f>SUM(H65+K65+N65+Q65)</f>
        <v>2355569</v>
      </c>
      <c r="F65" s="644">
        <f>E65/D65*100</f>
        <v>98.14870833333333</v>
      </c>
      <c r="G65" s="798"/>
      <c r="H65" s="799"/>
      <c r="I65" s="649"/>
      <c r="J65" s="799"/>
      <c r="K65" s="798"/>
      <c r="L65" s="649"/>
      <c r="M65" s="800">
        <v>2400000</v>
      </c>
      <c r="N65" s="798">
        <v>2355569</v>
      </c>
      <c r="O65" s="647">
        <f t="shared" si="7"/>
        <v>98.14870833333333</v>
      </c>
      <c r="P65" s="797"/>
      <c r="Q65" s="798"/>
      <c r="R65" s="699"/>
    </row>
    <row r="66" spans="1:18" s="801" customFormat="1" ht="48">
      <c r="A66" s="795"/>
      <c r="B66" s="796" t="s">
        <v>749</v>
      </c>
      <c r="C66" s="797">
        <v>20000</v>
      </c>
      <c r="D66" s="798">
        <f t="shared" si="6"/>
        <v>20000</v>
      </c>
      <c r="E66" s="798">
        <f t="shared" si="8"/>
        <v>0</v>
      </c>
      <c r="F66" s="644">
        <f>E66/D66*100</f>
        <v>0</v>
      </c>
      <c r="G66" s="798"/>
      <c r="H66" s="799"/>
      <c r="I66" s="649"/>
      <c r="J66" s="799"/>
      <c r="K66" s="798"/>
      <c r="L66" s="649"/>
      <c r="M66" s="800">
        <v>20000</v>
      </c>
      <c r="N66" s="798"/>
      <c r="O66" s="647">
        <f t="shared" si="7"/>
        <v>0</v>
      </c>
      <c r="P66" s="797"/>
      <c r="Q66" s="798"/>
      <c r="R66" s="699"/>
    </row>
    <row r="67" spans="1:18" s="801" customFormat="1" ht="36">
      <c r="A67" s="795"/>
      <c r="B67" s="796" t="s">
        <v>750</v>
      </c>
      <c r="C67" s="797">
        <v>100000</v>
      </c>
      <c r="D67" s="798">
        <f t="shared" si="6"/>
        <v>100000</v>
      </c>
      <c r="E67" s="798">
        <f t="shared" si="8"/>
        <v>0</v>
      </c>
      <c r="F67" s="644">
        <f aca="true" t="shared" si="9" ref="F67:F95">E67/D67*100</f>
        <v>0</v>
      </c>
      <c r="G67" s="798"/>
      <c r="H67" s="799"/>
      <c r="I67" s="649"/>
      <c r="J67" s="799"/>
      <c r="K67" s="798"/>
      <c r="L67" s="649"/>
      <c r="M67" s="800">
        <v>100000</v>
      </c>
      <c r="N67" s="798"/>
      <c r="O67" s="647">
        <f t="shared" si="7"/>
        <v>0</v>
      </c>
      <c r="P67" s="797"/>
      <c r="Q67" s="798"/>
      <c r="R67" s="699"/>
    </row>
    <row r="68" spans="1:18" s="801" customFormat="1" ht="36">
      <c r="A68" s="802"/>
      <c r="B68" s="803" t="s">
        <v>751</v>
      </c>
      <c r="C68" s="804">
        <v>500000</v>
      </c>
      <c r="D68" s="805">
        <f t="shared" si="6"/>
        <v>140000</v>
      </c>
      <c r="E68" s="805">
        <f>SUM(H68+K68+N68+Q68)</f>
        <v>131665</v>
      </c>
      <c r="F68" s="668">
        <f>E68/D68*100</f>
        <v>94.04642857142858</v>
      </c>
      <c r="G68" s="805"/>
      <c r="H68" s="806"/>
      <c r="I68" s="690"/>
      <c r="J68" s="806"/>
      <c r="K68" s="805"/>
      <c r="L68" s="690"/>
      <c r="M68" s="807">
        <f>500000-360000</f>
        <v>140000</v>
      </c>
      <c r="N68" s="805">
        <v>131665</v>
      </c>
      <c r="O68" s="652">
        <f t="shared" si="7"/>
        <v>94.04642857142858</v>
      </c>
      <c r="P68" s="804"/>
      <c r="Q68" s="805"/>
      <c r="R68" s="694"/>
    </row>
    <row r="69" spans="1:18" s="801" customFormat="1" ht="12.75">
      <c r="A69" s="795"/>
      <c r="B69" s="796" t="s">
        <v>752</v>
      </c>
      <c r="C69" s="797">
        <v>100000</v>
      </c>
      <c r="D69" s="798">
        <f t="shared" si="6"/>
        <v>100000</v>
      </c>
      <c r="E69" s="798">
        <f t="shared" si="8"/>
        <v>0</v>
      </c>
      <c r="F69" s="644">
        <f t="shared" si="9"/>
        <v>0</v>
      </c>
      <c r="G69" s="798"/>
      <c r="H69" s="799"/>
      <c r="I69" s="649"/>
      <c r="J69" s="799"/>
      <c r="K69" s="798"/>
      <c r="L69" s="649"/>
      <c r="M69" s="800">
        <v>100000</v>
      </c>
      <c r="N69" s="798"/>
      <c r="O69" s="647">
        <f t="shared" si="7"/>
        <v>0</v>
      </c>
      <c r="P69" s="797"/>
      <c r="Q69" s="798"/>
      <c r="R69" s="699"/>
    </row>
    <row r="70" spans="1:18" s="801" customFormat="1" ht="12.75">
      <c r="A70" s="795"/>
      <c r="B70" s="796" t="s">
        <v>753</v>
      </c>
      <c r="C70" s="797">
        <v>100000</v>
      </c>
      <c r="D70" s="798">
        <f t="shared" si="6"/>
        <v>100000</v>
      </c>
      <c r="E70" s="798">
        <f t="shared" si="8"/>
        <v>0</v>
      </c>
      <c r="F70" s="644">
        <f t="shared" si="9"/>
        <v>0</v>
      </c>
      <c r="G70" s="798"/>
      <c r="H70" s="799"/>
      <c r="I70" s="649"/>
      <c r="J70" s="799"/>
      <c r="K70" s="798"/>
      <c r="L70" s="649"/>
      <c r="M70" s="800">
        <v>100000</v>
      </c>
      <c r="N70" s="798"/>
      <c r="O70" s="647">
        <f t="shared" si="7"/>
        <v>0</v>
      </c>
      <c r="P70" s="797"/>
      <c r="Q70" s="798"/>
      <c r="R70" s="699"/>
    </row>
    <row r="71" spans="1:18" s="801" customFormat="1" ht="12.75">
      <c r="A71" s="795"/>
      <c r="B71" s="796" t="s">
        <v>754</v>
      </c>
      <c r="C71" s="797">
        <v>100000</v>
      </c>
      <c r="D71" s="798">
        <f t="shared" si="6"/>
        <v>100000</v>
      </c>
      <c r="E71" s="798">
        <f t="shared" si="8"/>
        <v>0</v>
      </c>
      <c r="F71" s="644">
        <f t="shared" si="9"/>
        <v>0</v>
      </c>
      <c r="G71" s="798"/>
      <c r="H71" s="799"/>
      <c r="I71" s="649"/>
      <c r="J71" s="799"/>
      <c r="K71" s="798"/>
      <c r="L71" s="649"/>
      <c r="M71" s="800">
        <v>100000</v>
      </c>
      <c r="N71" s="798"/>
      <c r="O71" s="647">
        <f t="shared" si="7"/>
        <v>0</v>
      </c>
      <c r="P71" s="797"/>
      <c r="Q71" s="798"/>
      <c r="R71" s="699"/>
    </row>
    <row r="72" spans="1:18" s="801" customFormat="1" ht="24">
      <c r="A72" s="795"/>
      <c r="B72" s="796" t="s">
        <v>755</v>
      </c>
      <c r="C72" s="797">
        <v>1580000</v>
      </c>
      <c r="D72" s="798">
        <f t="shared" si="6"/>
        <v>0</v>
      </c>
      <c r="E72" s="798">
        <f t="shared" si="8"/>
        <v>0</v>
      </c>
      <c r="F72" s="644" t="e">
        <f t="shared" si="9"/>
        <v>#DIV/0!</v>
      </c>
      <c r="G72" s="798"/>
      <c r="H72" s="799"/>
      <c r="I72" s="649"/>
      <c r="J72" s="799"/>
      <c r="K72" s="798"/>
      <c r="L72" s="649"/>
      <c r="M72" s="800">
        <f>1580000-130000-1515000+65000</f>
        <v>0</v>
      </c>
      <c r="N72" s="798"/>
      <c r="O72" s="647"/>
      <c r="P72" s="797"/>
      <c r="Q72" s="798"/>
      <c r="R72" s="699"/>
    </row>
    <row r="73" spans="1:18" s="801" customFormat="1" ht="36">
      <c r="A73" s="795"/>
      <c r="B73" s="796" t="s">
        <v>756</v>
      </c>
      <c r="C73" s="797"/>
      <c r="D73" s="798">
        <f>G73+J73+P73+M73</f>
        <v>1015000</v>
      </c>
      <c r="E73" s="798">
        <f>SUM(H73+K73+N73+Q73)</f>
        <v>949125</v>
      </c>
      <c r="F73" s="644">
        <f>E73/D73*100</f>
        <v>93.50985221674877</v>
      </c>
      <c r="G73" s="798"/>
      <c r="H73" s="799"/>
      <c r="I73" s="649"/>
      <c r="J73" s="799"/>
      <c r="K73" s="798"/>
      <c r="L73" s="649"/>
      <c r="M73" s="800"/>
      <c r="N73" s="798"/>
      <c r="O73" s="647"/>
      <c r="P73" s="797">
        <f>1515000-500000</f>
        <v>1015000</v>
      </c>
      <c r="Q73" s="798">
        <v>949125</v>
      </c>
      <c r="R73" s="699">
        <f>Q73/P73*100</f>
        <v>93.50985221674877</v>
      </c>
    </row>
    <row r="74" spans="1:18" s="801" customFormat="1" ht="36">
      <c r="A74" s="795"/>
      <c r="B74" s="796" t="s">
        <v>757</v>
      </c>
      <c r="C74" s="797">
        <v>830000</v>
      </c>
      <c r="D74" s="798">
        <f t="shared" si="6"/>
        <v>115000</v>
      </c>
      <c r="E74" s="798">
        <f t="shared" si="8"/>
        <v>3823</v>
      </c>
      <c r="F74" s="644">
        <f t="shared" si="9"/>
        <v>3.324347826086956</v>
      </c>
      <c r="G74" s="798"/>
      <c r="H74" s="799"/>
      <c r="I74" s="649"/>
      <c r="J74" s="799"/>
      <c r="K74" s="798"/>
      <c r="L74" s="649"/>
      <c r="M74" s="800">
        <f>830000-65000-650000</f>
        <v>115000</v>
      </c>
      <c r="N74" s="798">
        <v>3823</v>
      </c>
      <c r="O74" s="647">
        <f t="shared" si="7"/>
        <v>3.324347826086956</v>
      </c>
      <c r="P74" s="797"/>
      <c r="Q74" s="798"/>
      <c r="R74" s="699"/>
    </row>
    <row r="75" spans="1:18" s="801" customFormat="1" ht="36">
      <c r="A75" s="795"/>
      <c r="B75" s="796" t="s">
        <v>758</v>
      </c>
      <c r="C75" s="797">
        <v>1200000</v>
      </c>
      <c r="D75" s="798">
        <f t="shared" si="6"/>
        <v>3050000</v>
      </c>
      <c r="E75" s="798">
        <f t="shared" si="8"/>
        <v>168620</v>
      </c>
      <c r="F75" s="644">
        <f t="shared" si="9"/>
        <v>5.528524590163935</v>
      </c>
      <c r="G75" s="798"/>
      <c r="H75" s="799"/>
      <c r="I75" s="649"/>
      <c r="J75" s="799"/>
      <c r="K75" s="798"/>
      <c r="L75" s="649"/>
      <c r="M75" s="800">
        <f>1200000+1200000+650000</f>
        <v>3050000</v>
      </c>
      <c r="N75" s="798">
        <v>168620</v>
      </c>
      <c r="O75" s="647">
        <f t="shared" si="7"/>
        <v>5.528524590163935</v>
      </c>
      <c r="P75" s="797"/>
      <c r="Q75" s="798"/>
      <c r="R75" s="699"/>
    </row>
    <row r="76" spans="1:18" s="801" customFormat="1" ht="36">
      <c r="A76" s="795"/>
      <c r="B76" s="796" t="s">
        <v>759</v>
      </c>
      <c r="C76" s="797">
        <v>100000</v>
      </c>
      <c r="D76" s="798">
        <f t="shared" si="6"/>
        <v>100000</v>
      </c>
      <c r="E76" s="798">
        <f t="shared" si="8"/>
        <v>0</v>
      </c>
      <c r="F76" s="644">
        <f>E76/D76*100</f>
        <v>0</v>
      </c>
      <c r="G76" s="798"/>
      <c r="H76" s="799"/>
      <c r="I76" s="649"/>
      <c r="J76" s="799"/>
      <c r="K76" s="798"/>
      <c r="L76" s="649"/>
      <c r="M76" s="800">
        <v>100000</v>
      </c>
      <c r="N76" s="798"/>
      <c r="O76" s="647">
        <f t="shared" si="7"/>
        <v>0</v>
      </c>
      <c r="P76" s="797"/>
      <c r="Q76" s="798"/>
      <c r="R76" s="699"/>
    </row>
    <row r="77" spans="1:18" s="801" customFormat="1" ht="24">
      <c r="A77" s="795"/>
      <c r="B77" s="796" t="s">
        <v>760</v>
      </c>
      <c r="C77" s="797">
        <v>20000</v>
      </c>
      <c r="D77" s="798">
        <f t="shared" si="6"/>
        <v>20000</v>
      </c>
      <c r="E77" s="798">
        <f t="shared" si="8"/>
        <v>3050</v>
      </c>
      <c r="F77" s="644">
        <f t="shared" si="9"/>
        <v>15.25</v>
      </c>
      <c r="G77" s="798"/>
      <c r="H77" s="799"/>
      <c r="I77" s="649"/>
      <c r="J77" s="799"/>
      <c r="K77" s="798"/>
      <c r="L77" s="649"/>
      <c r="M77" s="800">
        <v>20000</v>
      </c>
      <c r="N77" s="798">
        <v>3050</v>
      </c>
      <c r="O77" s="647">
        <f t="shared" si="7"/>
        <v>15.25</v>
      </c>
      <c r="P77" s="797"/>
      <c r="Q77" s="798"/>
      <c r="R77" s="699"/>
    </row>
    <row r="78" spans="1:18" s="801" customFormat="1" ht="12.75" hidden="1">
      <c r="A78" s="795"/>
      <c r="B78" s="796" t="s">
        <v>761</v>
      </c>
      <c r="C78" s="797"/>
      <c r="D78" s="798">
        <f t="shared" si="6"/>
        <v>0</v>
      </c>
      <c r="E78" s="798">
        <f t="shared" si="8"/>
        <v>0</v>
      </c>
      <c r="F78" s="644" t="e">
        <f t="shared" si="9"/>
        <v>#DIV/0!</v>
      </c>
      <c r="G78" s="798"/>
      <c r="H78" s="799"/>
      <c r="I78" s="649"/>
      <c r="J78" s="799"/>
      <c r="K78" s="798"/>
      <c r="L78" s="649"/>
      <c r="M78" s="800"/>
      <c r="N78" s="798"/>
      <c r="O78" s="647" t="e">
        <f t="shared" si="7"/>
        <v>#DIV/0!</v>
      </c>
      <c r="P78" s="797"/>
      <c r="Q78" s="798"/>
      <c r="R78" s="699"/>
    </row>
    <row r="79" spans="1:18" s="801" customFormat="1" ht="24">
      <c r="A79" s="795"/>
      <c r="B79" s="796" t="s">
        <v>762</v>
      </c>
      <c r="C79" s="797">
        <v>600000</v>
      </c>
      <c r="D79" s="798">
        <f t="shared" si="6"/>
        <v>600000</v>
      </c>
      <c r="E79" s="798">
        <f t="shared" si="8"/>
        <v>114011</v>
      </c>
      <c r="F79" s="644">
        <f t="shared" si="9"/>
        <v>19.001833333333334</v>
      </c>
      <c r="G79" s="798"/>
      <c r="H79" s="799"/>
      <c r="I79" s="649"/>
      <c r="J79" s="799"/>
      <c r="K79" s="798"/>
      <c r="L79" s="649"/>
      <c r="M79" s="800">
        <v>600000</v>
      </c>
      <c r="N79" s="798">
        <f>114010+1</f>
        <v>114011</v>
      </c>
      <c r="O79" s="647">
        <f t="shared" si="7"/>
        <v>19.001833333333334</v>
      </c>
      <c r="P79" s="797"/>
      <c r="Q79" s="798"/>
      <c r="R79" s="699"/>
    </row>
    <row r="80" spans="1:18" s="801" customFormat="1" ht="24">
      <c r="A80" s="795"/>
      <c r="B80" s="796" t="s">
        <v>763</v>
      </c>
      <c r="C80" s="797">
        <v>600000</v>
      </c>
      <c r="D80" s="798">
        <f t="shared" si="6"/>
        <v>800000</v>
      </c>
      <c r="E80" s="798">
        <f t="shared" si="8"/>
        <v>414403</v>
      </c>
      <c r="F80" s="644">
        <f t="shared" si="9"/>
        <v>51.800374999999995</v>
      </c>
      <c r="G80" s="798"/>
      <c r="H80" s="799"/>
      <c r="I80" s="649"/>
      <c r="J80" s="799"/>
      <c r="K80" s="798"/>
      <c r="L80" s="649"/>
      <c r="M80" s="800">
        <f>600000+200000</f>
        <v>800000</v>
      </c>
      <c r="N80" s="798">
        <v>414403</v>
      </c>
      <c r="O80" s="647">
        <f t="shared" si="7"/>
        <v>51.800374999999995</v>
      </c>
      <c r="P80" s="797"/>
      <c r="Q80" s="798"/>
      <c r="R80" s="699"/>
    </row>
    <row r="81" spans="1:18" s="801" customFormat="1" ht="60">
      <c r="A81" s="795"/>
      <c r="B81" s="796" t="s">
        <v>764</v>
      </c>
      <c r="C81" s="797">
        <v>500000</v>
      </c>
      <c r="D81" s="798">
        <f t="shared" si="6"/>
        <v>500000</v>
      </c>
      <c r="E81" s="798">
        <f t="shared" si="8"/>
        <v>0</v>
      </c>
      <c r="F81" s="644">
        <f t="shared" si="9"/>
        <v>0</v>
      </c>
      <c r="G81" s="798"/>
      <c r="H81" s="799"/>
      <c r="I81" s="649"/>
      <c r="J81" s="799"/>
      <c r="K81" s="798"/>
      <c r="L81" s="649"/>
      <c r="M81" s="800">
        <v>500000</v>
      </c>
      <c r="N81" s="798"/>
      <c r="O81" s="647">
        <f t="shared" si="7"/>
        <v>0</v>
      </c>
      <c r="P81" s="797"/>
      <c r="Q81" s="798"/>
      <c r="R81" s="699"/>
    </row>
    <row r="82" spans="1:18" s="801" customFormat="1" ht="36">
      <c r="A82" s="795"/>
      <c r="B82" s="796" t="s">
        <v>765</v>
      </c>
      <c r="C82" s="797">
        <v>50000</v>
      </c>
      <c r="D82" s="798">
        <f t="shared" si="6"/>
        <v>50000</v>
      </c>
      <c r="E82" s="798">
        <f t="shared" si="8"/>
        <v>0</v>
      </c>
      <c r="F82" s="644">
        <f t="shared" si="9"/>
        <v>0</v>
      </c>
      <c r="G82" s="798"/>
      <c r="H82" s="799"/>
      <c r="I82" s="649"/>
      <c r="J82" s="799"/>
      <c r="K82" s="798"/>
      <c r="L82" s="649"/>
      <c r="M82" s="800">
        <v>50000</v>
      </c>
      <c r="N82" s="798"/>
      <c r="O82" s="647">
        <f t="shared" si="7"/>
        <v>0</v>
      </c>
      <c r="P82" s="797"/>
      <c r="Q82" s="798"/>
      <c r="R82" s="699"/>
    </row>
    <row r="83" spans="1:18" s="801" customFormat="1" ht="36">
      <c r="A83" s="795"/>
      <c r="B83" s="796" t="s">
        <v>766</v>
      </c>
      <c r="C83" s="797">
        <v>20000</v>
      </c>
      <c r="D83" s="798">
        <f t="shared" si="6"/>
        <v>20000</v>
      </c>
      <c r="E83" s="798">
        <f t="shared" si="8"/>
        <v>0</v>
      </c>
      <c r="F83" s="644">
        <f t="shared" si="9"/>
        <v>0</v>
      </c>
      <c r="G83" s="798"/>
      <c r="H83" s="799"/>
      <c r="I83" s="649"/>
      <c r="J83" s="799"/>
      <c r="K83" s="798"/>
      <c r="L83" s="649"/>
      <c r="M83" s="800">
        <v>20000</v>
      </c>
      <c r="N83" s="798"/>
      <c r="O83" s="647">
        <f t="shared" si="7"/>
        <v>0</v>
      </c>
      <c r="P83" s="797"/>
      <c r="Q83" s="798"/>
      <c r="R83" s="699"/>
    </row>
    <row r="84" spans="1:18" s="801" customFormat="1" ht="24">
      <c r="A84" s="795"/>
      <c r="B84" s="796" t="s">
        <v>767</v>
      </c>
      <c r="C84" s="797">
        <v>200000</v>
      </c>
      <c r="D84" s="798">
        <f t="shared" si="6"/>
        <v>200000</v>
      </c>
      <c r="E84" s="798">
        <f t="shared" si="8"/>
        <v>0</v>
      </c>
      <c r="F84" s="644">
        <f t="shared" si="9"/>
        <v>0</v>
      </c>
      <c r="G84" s="798"/>
      <c r="H84" s="799"/>
      <c r="I84" s="649"/>
      <c r="J84" s="799"/>
      <c r="K84" s="798"/>
      <c r="L84" s="649"/>
      <c r="M84" s="800">
        <v>200000</v>
      </c>
      <c r="N84" s="798"/>
      <c r="O84" s="647">
        <f t="shared" si="7"/>
        <v>0</v>
      </c>
      <c r="P84" s="797"/>
      <c r="Q84" s="798"/>
      <c r="R84" s="699"/>
    </row>
    <row r="85" spans="1:18" s="801" customFormat="1" ht="48">
      <c r="A85" s="802"/>
      <c r="B85" s="803" t="s">
        <v>768</v>
      </c>
      <c r="C85" s="804">
        <v>800000</v>
      </c>
      <c r="D85" s="805">
        <f t="shared" si="6"/>
        <v>800000</v>
      </c>
      <c r="E85" s="805">
        <f t="shared" si="8"/>
        <v>120170</v>
      </c>
      <c r="F85" s="668">
        <f t="shared" si="9"/>
        <v>15.02125</v>
      </c>
      <c r="G85" s="805"/>
      <c r="H85" s="806"/>
      <c r="I85" s="690"/>
      <c r="J85" s="806"/>
      <c r="K85" s="805"/>
      <c r="L85" s="690"/>
      <c r="M85" s="807">
        <v>800000</v>
      </c>
      <c r="N85" s="805">
        <v>120170</v>
      </c>
      <c r="O85" s="652">
        <f t="shared" si="7"/>
        <v>15.02125</v>
      </c>
      <c r="P85" s="804"/>
      <c r="Q85" s="805"/>
      <c r="R85" s="694"/>
    </row>
    <row r="86" spans="1:18" s="801" customFormat="1" ht="36">
      <c r="A86" s="795"/>
      <c r="B86" s="796" t="s">
        <v>769</v>
      </c>
      <c r="C86" s="797"/>
      <c r="D86" s="798">
        <f>G86+J86+P86+M86</f>
        <v>120000</v>
      </c>
      <c r="E86" s="798">
        <f>SUM(H86+K86+N86+Q86)</f>
        <v>119288</v>
      </c>
      <c r="F86" s="644">
        <f>E86/D86*100</f>
        <v>99.40666666666667</v>
      </c>
      <c r="G86" s="798"/>
      <c r="H86" s="799"/>
      <c r="I86" s="649"/>
      <c r="J86" s="799"/>
      <c r="K86" s="798"/>
      <c r="L86" s="649"/>
      <c r="M86" s="800">
        <f>200000-80000</f>
        <v>120000</v>
      </c>
      <c r="N86" s="798">
        <v>119288</v>
      </c>
      <c r="O86" s="647">
        <f t="shared" si="7"/>
        <v>99.40666666666667</v>
      </c>
      <c r="P86" s="797"/>
      <c r="Q86" s="798"/>
      <c r="R86" s="699"/>
    </row>
    <row r="87" spans="1:18" s="801" customFormat="1" ht="36">
      <c r="A87" s="795"/>
      <c r="B87" s="808" t="s">
        <v>770</v>
      </c>
      <c r="C87" s="797"/>
      <c r="D87" s="798">
        <f>G87+J87+P87+M87</f>
        <v>100000</v>
      </c>
      <c r="E87" s="798">
        <f>SUM(H87+K87+N87+Q87)</f>
        <v>0</v>
      </c>
      <c r="F87" s="644">
        <f>E87/D87*100</f>
        <v>0</v>
      </c>
      <c r="G87" s="798"/>
      <c r="H87" s="799"/>
      <c r="I87" s="649"/>
      <c r="J87" s="799"/>
      <c r="K87" s="798"/>
      <c r="L87" s="649"/>
      <c r="M87" s="800">
        <v>100000</v>
      </c>
      <c r="N87" s="798"/>
      <c r="O87" s="647">
        <f t="shared" si="7"/>
        <v>0</v>
      </c>
      <c r="P87" s="797"/>
      <c r="Q87" s="798"/>
      <c r="R87" s="699"/>
    </row>
    <row r="88" spans="1:18" s="801" customFormat="1" ht="12" customHeight="1">
      <c r="A88" s="809"/>
      <c r="B88" s="810" t="s">
        <v>771</v>
      </c>
      <c r="C88" s="811">
        <v>50000</v>
      </c>
      <c r="D88" s="812">
        <f t="shared" si="6"/>
        <v>150000</v>
      </c>
      <c r="E88" s="812">
        <f t="shared" si="8"/>
        <v>50000</v>
      </c>
      <c r="F88" s="705">
        <f t="shared" si="9"/>
        <v>33.33333333333333</v>
      </c>
      <c r="G88" s="812"/>
      <c r="H88" s="813"/>
      <c r="I88" s="768"/>
      <c r="J88" s="813"/>
      <c r="K88" s="812"/>
      <c r="L88" s="768"/>
      <c r="M88" s="814">
        <f>50000+100000</f>
        <v>150000</v>
      </c>
      <c r="N88" s="812">
        <v>50000</v>
      </c>
      <c r="O88" s="766">
        <f t="shared" si="7"/>
        <v>33.33333333333333</v>
      </c>
      <c r="P88" s="811"/>
      <c r="Q88" s="812"/>
      <c r="R88" s="815"/>
    </row>
    <row r="89" spans="1:18" ht="48" hidden="1">
      <c r="A89" s="728">
        <v>6058</v>
      </c>
      <c r="B89" s="735" t="s">
        <v>772</v>
      </c>
      <c r="C89" s="666"/>
      <c r="D89" s="643">
        <f t="shared" si="6"/>
        <v>0</v>
      </c>
      <c r="E89" s="667">
        <f t="shared" si="8"/>
        <v>0</v>
      </c>
      <c r="F89" s="644" t="e">
        <f t="shared" si="9"/>
        <v>#DIV/0!</v>
      </c>
      <c r="G89" s="667"/>
      <c r="H89" s="730"/>
      <c r="I89" s="731"/>
      <c r="J89" s="730"/>
      <c r="K89" s="667"/>
      <c r="L89" s="649"/>
      <c r="M89" s="794"/>
      <c r="N89" s="667"/>
      <c r="O89" s="647" t="e">
        <f t="shared" si="7"/>
        <v>#DIV/0!</v>
      </c>
      <c r="P89" s="666"/>
      <c r="Q89" s="667"/>
      <c r="R89" s="734"/>
    </row>
    <row r="90" spans="1:18" ht="48" hidden="1">
      <c r="A90" s="728">
        <v>6059</v>
      </c>
      <c r="B90" s="735" t="s">
        <v>772</v>
      </c>
      <c r="C90" s="666"/>
      <c r="D90" s="643">
        <f t="shared" si="6"/>
        <v>0</v>
      </c>
      <c r="E90" s="667">
        <f t="shared" si="8"/>
        <v>0</v>
      </c>
      <c r="F90" s="644" t="e">
        <f t="shared" si="9"/>
        <v>#DIV/0!</v>
      </c>
      <c r="G90" s="667"/>
      <c r="H90" s="730"/>
      <c r="I90" s="731"/>
      <c r="J90" s="730"/>
      <c r="K90" s="667"/>
      <c r="L90" s="649"/>
      <c r="M90" s="794"/>
      <c r="N90" s="667"/>
      <c r="O90" s="647" t="e">
        <f t="shared" si="7"/>
        <v>#DIV/0!</v>
      </c>
      <c r="P90" s="666"/>
      <c r="Q90" s="667"/>
      <c r="R90" s="734"/>
    </row>
    <row r="91" spans="1:18" ht="36" hidden="1">
      <c r="A91" s="728">
        <v>6058</v>
      </c>
      <c r="B91" s="735" t="s">
        <v>773</v>
      </c>
      <c r="C91" s="666"/>
      <c r="D91" s="643">
        <f t="shared" si="6"/>
        <v>0</v>
      </c>
      <c r="E91" s="667">
        <f t="shared" si="8"/>
        <v>0</v>
      </c>
      <c r="F91" s="644" t="e">
        <f t="shared" si="9"/>
        <v>#DIV/0!</v>
      </c>
      <c r="G91" s="667"/>
      <c r="H91" s="730"/>
      <c r="I91" s="731"/>
      <c r="J91" s="730"/>
      <c r="K91" s="667"/>
      <c r="L91" s="649"/>
      <c r="M91" s="794"/>
      <c r="N91" s="667"/>
      <c r="O91" s="647" t="e">
        <f t="shared" si="7"/>
        <v>#DIV/0!</v>
      </c>
      <c r="P91" s="666"/>
      <c r="Q91" s="667"/>
      <c r="R91" s="734"/>
    </row>
    <row r="92" spans="1:18" ht="36" hidden="1">
      <c r="A92" s="728">
        <v>6059</v>
      </c>
      <c r="B92" s="735" t="s">
        <v>773</v>
      </c>
      <c r="C92" s="666"/>
      <c r="D92" s="643">
        <f t="shared" si="6"/>
        <v>0</v>
      </c>
      <c r="E92" s="667">
        <f t="shared" si="8"/>
        <v>0</v>
      </c>
      <c r="F92" s="644" t="e">
        <f t="shared" si="9"/>
        <v>#DIV/0!</v>
      </c>
      <c r="G92" s="667"/>
      <c r="H92" s="730"/>
      <c r="I92" s="731"/>
      <c r="J92" s="730"/>
      <c r="K92" s="667"/>
      <c r="L92" s="649"/>
      <c r="M92" s="794"/>
      <c r="N92" s="667"/>
      <c r="O92" s="647" t="e">
        <f t="shared" si="7"/>
        <v>#DIV/0!</v>
      </c>
      <c r="P92" s="666"/>
      <c r="Q92" s="667"/>
      <c r="R92" s="734"/>
    </row>
    <row r="93" spans="1:18" ht="48" hidden="1">
      <c r="A93" s="728">
        <v>6051</v>
      </c>
      <c r="B93" s="735" t="s">
        <v>774</v>
      </c>
      <c r="C93" s="666"/>
      <c r="D93" s="643">
        <f t="shared" si="6"/>
        <v>0</v>
      </c>
      <c r="E93" s="667">
        <f t="shared" si="8"/>
        <v>0</v>
      </c>
      <c r="F93" s="644" t="e">
        <f t="shared" si="9"/>
        <v>#DIV/0!</v>
      </c>
      <c r="G93" s="667"/>
      <c r="H93" s="730"/>
      <c r="I93" s="731"/>
      <c r="J93" s="730"/>
      <c r="K93" s="667"/>
      <c r="L93" s="649"/>
      <c r="M93" s="794"/>
      <c r="N93" s="667"/>
      <c r="O93" s="647" t="e">
        <f t="shared" si="7"/>
        <v>#DIV/0!</v>
      </c>
      <c r="P93" s="666"/>
      <c r="Q93" s="667"/>
      <c r="R93" s="734"/>
    </row>
    <row r="94" spans="1:18" ht="48" hidden="1">
      <c r="A94" s="728">
        <v>6053</v>
      </c>
      <c r="B94" s="735" t="s">
        <v>775</v>
      </c>
      <c r="C94" s="666"/>
      <c r="D94" s="643">
        <f t="shared" si="6"/>
        <v>0</v>
      </c>
      <c r="E94" s="667">
        <f t="shared" si="8"/>
        <v>0</v>
      </c>
      <c r="F94" s="644" t="e">
        <f t="shared" si="9"/>
        <v>#DIV/0!</v>
      </c>
      <c r="G94" s="667"/>
      <c r="H94" s="730"/>
      <c r="I94" s="731"/>
      <c r="J94" s="730"/>
      <c r="K94" s="667"/>
      <c r="L94" s="649"/>
      <c r="M94" s="794"/>
      <c r="N94" s="785"/>
      <c r="O94" s="647" t="e">
        <f t="shared" si="7"/>
        <v>#DIV/0!</v>
      </c>
      <c r="P94" s="666"/>
      <c r="Q94" s="667"/>
      <c r="R94" s="734"/>
    </row>
    <row r="95" spans="1:18" s="723" customFormat="1" ht="24">
      <c r="A95" s="724">
        <v>60016</v>
      </c>
      <c r="B95" s="725" t="s">
        <v>776</v>
      </c>
      <c r="C95" s="655">
        <f>SUM(C97:C103)</f>
        <v>17040000</v>
      </c>
      <c r="D95" s="674">
        <f t="shared" si="6"/>
        <v>18181947</v>
      </c>
      <c r="E95" s="657">
        <f>H95+K95+Q95+N95</f>
        <v>11184532</v>
      </c>
      <c r="F95" s="658">
        <f t="shared" si="9"/>
        <v>61.514490169837146</v>
      </c>
      <c r="G95" s="664">
        <f>SUM(G96:G103)</f>
        <v>18181947</v>
      </c>
      <c r="H95" s="664">
        <f>SUM(H96:H103)</f>
        <v>11184532</v>
      </c>
      <c r="I95" s="665">
        <f aca="true" t="shared" si="10" ref="I95:I158">H95/G95*100</f>
        <v>61.514490169837146</v>
      </c>
      <c r="J95" s="816"/>
      <c r="K95" s="664"/>
      <c r="L95" s="791"/>
      <c r="M95" s="664"/>
      <c r="N95" s="664"/>
      <c r="O95" s="817"/>
      <c r="P95" s="655"/>
      <c r="Q95" s="664"/>
      <c r="R95" s="708"/>
    </row>
    <row r="96" spans="1:18" ht="24" hidden="1">
      <c r="A96" s="728">
        <v>4170</v>
      </c>
      <c r="B96" s="729" t="s">
        <v>742</v>
      </c>
      <c r="C96" s="666"/>
      <c r="D96" s="643">
        <f t="shared" si="6"/>
        <v>0</v>
      </c>
      <c r="E96" s="667">
        <f>SUM(H96+K96+N96+Q96)</f>
        <v>0</v>
      </c>
      <c r="F96" s="644"/>
      <c r="G96" s="666"/>
      <c r="H96" s="733"/>
      <c r="I96" s="647" t="e">
        <f>H96/G96*100</f>
        <v>#DIV/0!</v>
      </c>
      <c r="J96" s="792"/>
      <c r="K96" s="733"/>
      <c r="L96" s="647"/>
      <c r="M96" s="733"/>
      <c r="N96" s="733"/>
      <c r="O96" s="793"/>
      <c r="P96" s="732"/>
      <c r="Q96" s="733"/>
      <c r="R96" s="734"/>
    </row>
    <row r="97" spans="1:18" ht="24" hidden="1">
      <c r="A97" s="728">
        <v>4210</v>
      </c>
      <c r="B97" s="729" t="s">
        <v>707</v>
      </c>
      <c r="C97" s="666"/>
      <c r="D97" s="643">
        <f t="shared" si="6"/>
        <v>0</v>
      </c>
      <c r="E97" s="667">
        <f t="shared" si="8"/>
        <v>0</v>
      </c>
      <c r="F97" s="644" t="e">
        <f aca="true" t="shared" si="11" ref="F97:F109">E97/D97*100</f>
        <v>#DIV/0!</v>
      </c>
      <c r="G97" s="666"/>
      <c r="H97" s="733"/>
      <c r="I97" s="647" t="e">
        <f t="shared" si="10"/>
        <v>#DIV/0!</v>
      </c>
      <c r="J97" s="792"/>
      <c r="K97" s="733"/>
      <c r="L97" s="647"/>
      <c r="M97" s="733"/>
      <c r="N97" s="733"/>
      <c r="O97" s="793"/>
      <c r="P97" s="732"/>
      <c r="Q97" s="733"/>
      <c r="R97" s="734"/>
    </row>
    <row r="98" spans="1:18" ht="16.5" customHeight="1">
      <c r="A98" s="728">
        <v>4270</v>
      </c>
      <c r="B98" s="735" t="s">
        <v>713</v>
      </c>
      <c r="C98" s="666">
        <v>700000</v>
      </c>
      <c r="D98" s="643">
        <f t="shared" si="6"/>
        <v>781960</v>
      </c>
      <c r="E98" s="667">
        <f t="shared" si="8"/>
        <v>284261</v>
      </c>
      <c r="F98" s="644">
        <f t="shared" si="11"/>
        <v>36.352370965266765</v>
      </c>
      <c r="G98" s="666">
        <f>700000-230000-128040-60000+500000</f>
        <v>781960</v>
      </c>
      <c r="H98" s="667">
        <f>284262-1</f>
        <v>284261</v>
      </c>
      <c r="I98" s="647">
        <f t="shared" si="10"/>
        <v>36.352370965266765</v>
      </c>
      <c r="J98" s="730"/>
      <c r="K98" s="733"/>
      <c r="L98" s="647"/>
      <c r="M98" s="667"/>
      <c r="N98" s="667"/>
      <c r="O98" s="731"/>
      <c r="P98" s="666"/>
      <c r="Q98" s="667"/>
      <c r="R98" s="737"/>
    </row>
    <row r="99" spans="1:18" ht="14.25" customHeight="1">
      <c r="A99" s="728">
        <v>4300</v>
      </c>
      <c r="B99" s="735" t="s">
        <v>715</v>
      </c>
      <c r="C99" s="666">
        <v>45000</v>
      </c>
      <c r="D99" s="643">
        <f t="shared" si="6"/>
        <v>45000</v>
      </c>
      <c r="E99" s="667">
        <f t="shared" si="8"/>
        <v>15193</v>
      </c>
      <c r="F99" s="644">
        <f t="shared" si="11"/>
        <v>33.76222222222222</v>
      </c>
      <c r="G99" s="666">
        <v>45000</v>
      </c>
      <c r="H99" s="667">
        <v>15193</v>
      </c>
      <c r="I99" s="647">
        <f t="shared" si="10"/>
        <v>33.76222222222222</v>
      </c>
      <c r="J99" s="730"/>
      <c r="K99" s="733"/>
      <c r="L99" s="647"/>
      <c r="M99" s="667"/>
      <c r="N99" s="667"/>
      <c r="O99" s="731"/>
      <c r="P99" s="666"/>
      <c r="Q99" s="667"/>
      <c r="R99" s="737"/>
    </row>
    <row r="100" spans="1:18" ht="36">
      <c r="A100" s="728">
        <v>4390</v>
      </c>
      <c r="B100" s="735" t="s">
        <v>743</v>
      </c>
      <c r="C100" s="666">
        <v>25000</v>
      </c>
      <c r="D100" s="643">
        <f t="shared" si="6"/>
        <v>25000</v>
      </c>
      <c r="E100" s="667">
        <f t="shared" si="8"/>
        <v>0</v>
      </c>
      <c r="F100" s="644">
        <f t="shared" si="11"/>
        <v>0</v>
      </c>
      <c r="G100" s="666">
        <v>25000</v>
      </c>
      <c r="H100" s="667"/>
      <c r="I100" s="647">
        <f t="shared" si="10"/>
        <v>0</v>
      </c>
      <c r="J100" s="730"/>
      <c r="K100" s="733"/>
      <c r="L100" s="647"/>
      <c r="M100" s="667"/>
      <c r="N100" s="667"/>
      <c r="O100" s="731"/>
      <c r="P100" s="666"/>
      <c r="Q100" s="667"/>
      <c r="R100" s="737"/>
    </row>
    <row r="101" spans="1:18" ht="12.75">
      <c r="A101" s="728">
        <v>4580</v>
      </c>
      <c r="B101" s="735" t="s">
        <v>412</v>
      </c>
      <c r="C101" s="666"/>
      <c r="D101" s="643">
        <f>G101+J101+P101+M101</f>
        <v>55000</v>
      </c>
      <c r="E101" s="667">
        <f>SUM(H101+K101+N101+Q101)</f>
        <v>55000</v>
      </c>
      <c r="F101" s="644">
        <f>E101/D101*100</f>
        <v>100</v>
      </c>
      <c r="G101" s="666">
        <v>55000</v>
      </c>
      <c r="H101" s="667">
        <v>55000</v>
      </c>
      <c r="I101" s="492">
        <f t="shared" si="10"/>
        <v>100</v>
      </c>
      <c r="J101" s="730"/>
      <c r="K101" s="733"/>
      <c r="L101" s="647"/>
      <c r="M101" s="667"/>
      <c r="N101" s="667"/>
      <c r="O101" s="731"/>
      <c r="P101" s="666"/>
      <c r="Q101" s="667"/>
      <c r="R101" s="737"/>
    </row>
    <row r="102" spans="1:18" ht="36">
      <c r="A102" s="728">
        <v>4610</v>
      </c>
      <c r="B102" s="818" t="s">
        <v>744</v>
      </c>
      <c r="C102" s="666"/>
      <c r="D102" s="643">
        <f t="shared" si="6"/>
        <v>13040</v>
      </c>
      <c r="E102" s="667">
        <f t="shared" si="8"/>
        <v>13040</v>
      </c>
      <c r="F102" s="644">
        <f t="shared" si="11"/>
        <v>100</v>
      </c>
      <c r="G102" s="666">
        <v>13040</v>
      </c>
      <c r="H102" s="667">
        <v>13040</v>
      </c>
      <c r="I102" s="492">
        <f t="shared" si="10"/>
        <v>100</v>
      </c>
      <c r="J102" s="730"/>
      <c r="K102" s="733"/>
      <c r="L102" s="647"/>
      <c r="M102" s="667"/>
      <c r="N102" s="667"/>
      <c r="O102" s="731"/>
      <c r="P102" s="666"/>
      <c r="Q102" s="667"/>
      <c r="R102" s="731"/>
    </row>
    <row r="103" spans="1:18" ht="24">
      <c r="A103" s="728">
        <v>6050</v>
      </c>
      <c r="B103" s="818" t="s">
        <v>739</v>
      </c>
      <c r="C103" s="666">
        <f>SUM(C104:C124)</f>
        <v>16270000</v>
      </c>
      <c r="D103" s="643">
        <f t="shared" si="6"/>
        <v>17261947</v>
      </c>
      <c r="E103" s="667">
        <f>SUM(H103+K103+N103+Q103)</f>
        <v>10817038</v>
      </c>
      <c r="F103" s="644">
        <f>E103/D103*100</f>
        <v>62.664066805442054</v>
      </c>
      <c r="G103" s="794">
        <f>SUM(G104:G124)</f>
        <v>17261947</v>
      </c>
      <c r="H103" s="667">
        <f>SUM(H104:H124)</f>
        <v>10817038</v>
      </c>
      <c r="I103" s="647">
        <f t="shared" si="10"/>
        <v>62.664066805442054</v>
      </c>
      <c r="J103" s="730"/>
      <c r="K103" s="733"/>
      <c r="L103" s="647"/>
      <c r="M103" s="667"/>
      <c r="N103" s="667"/>
      <c r="O103" s="731"/>
      <c r="P103" s="666"/>
      <c r="Q103" s="667"/>
      <c r="R103" s="737"/>
    </row>
    <row r="104" spans="1:18" s="801" customFormat="1" ht="12.75">
      <c r="A104" s="795"/>
      <c r="B104" s="819" t="s">
        <v>777</v>
      </c>
      <c r="C104" s="797">
        <v>50000</v>
      </c>
      <c r="D104" s="798">
        <f t="shared" si="6"/>
        <v>46000</v>
      </c>
      <c r="E104" s="798">
        <f t="shared" si="8"/>
        <v>18531</v>
      </c>
      <c r="F104" s="644">
        <f t="shared" si="11"/>
        <v>40.28478260869565</v>
      </c>
      <c r="G104" s="797">
        <f>50000-4000</f>
        <v>46000</v>
      </c>
      <c r="H104" s="798">
        <f>13898+4633</f>
        <v>18531</v>
      </c>
      <c r="I104" s="647">
        <f t="shared" si="10"/>
        <v>40.28478260869565</v>
      </c>
      <c r="J104" s="799"/>
      <c r="K104" s="820"/>
      <c r="L104" s="647"/>
      <c r="M104" s="798"/>
      <c r="N104" s="798"/>
      <c r="O104" s="649"/>
      <c r="P104" s="797"/>
      <c r="Q104" s="798"/>
      <c r="R104" s="821"/>
    </row>
    <row r="105" spans="1:18" s="801" customFormat="1" ht="24">
      <c r="A105" s="795"/>
      <c r="B105" s="819" t="s">
        <v>778</v>
      </c>
      <c r="C105" s="797">
        <v>1000000</v>
      </c>
      <c r="D105" s="798">
        <f t="shared" si="6"/>
        <v>1435500</v>
      </c>
      <c r="E105" s="798">
        <f t="shared" si="8"/>
        <v>1183985</v>
      </c>
      <c r="F105" s="644">
        <f t="shared" si="11"/>
        <v>82.47892720306513</v>
      </c>
      <c r="G105" s="797">
        <f>1000000+60500+20000+75000+51000+29000+200000</f>
        <v>1435500</v>
      </c>
      <c r="H105" s="798">
        <f>187+245011+1+148171+2348+418315+1+60337+309614</f>
        <v>1183985</v>
      </c>
      <c r="I105" s="647">
        <f t="shared" si="10"/>
        <v>82.47892720306513</v>
      </c>
      <c r="J105" s="799"/>
      <c r="K105" s="820"/>
      <c r="L105" s="647"/>
      <c r="M105" s="798"/>
      <c r="N105" s="798"/>
      <c r="O105" s="649"/>
      <c r="P105" s="797"/>
      <c r="Q105" s="798"/>
      <c r="R105" s="821"/>
    </row>
    <row r="106" spans="1:18" s="801" customFormat="1" ht="36">
      <c r="A106" s="795"/>
      <c r="B106" s="819" t="s">
        <v>779</v>
      </c>
      <c r="C106" s="797">
        <v>50000</v>
      </c>
      <c r="D106" s="798">
        <f t="shared" si="6"/>
        <v>39000</v>
      </c>
      <c r="E106" s="798">
        <f t="shared" si="8"/>
        <v>0</v>
      </c>
      <c r="F106" s="644">
        <f t="shared" si="11"/>
        <v>0</v>
      </c>
      <c r="G106" s="797">
        <f>50000-11000</f>
        <v>39000</v>
      </c>
      <c r="H106" s="798"/>
      <c r="I106" s="647">
        <f t="shared" si="10"/>
        <v>0</v>
      </c>
      <c r="J106" s="799"/>
      <c r="K106" s="820"/>
      <c r="L106" s="647"/>
      <c r="M106" s="798"/>
      <c r="N106" s="798"/>
      <c r="O106" s="649"/>
      <c r="P106" s="797"/>
      <c r="Q106" s="798"/>
      <c r="R106" s="821"/>
    </row>
    <row r="107" spans="1:18" s="801" customFormat="1" ht="11.25" customHeight="1">
      <c r="A107" s="795"/>
      <c r="B107" s="819" t="s">
        <v>780</v>
      </c>
      <c r="C107" s="797">
        <v>1100000</v>
      </c>
      <c r="D107" s="798">
        <f t="shared" si="6"/>
        <v>1500000</v>
      </c>
      <c r="E107" s="798">
        <f t="shared" si="8"/>
        <v>747241</v>
      </c>
      <c r="F107" s="644">
        <f t="shared" si="11"/>
        <v>49.816066666666664</v>
      </c>
      <c r="G107" s="797">
        <f>1100000+400000</f>
        <v>1500000</v>
      </c>
      <c r="H107" s="798">
        <f>1342+213153+532746</f>
        <v>747241</v>
      </c>
      <c r="I107" s="647">
        <f t="shared" si="10"/>
        <v>49.816066666666664</v>
      </c>
      <c r="J107" s="799"/>
      <c r="K107" s="820"/>
      <c r="L107" s="647"/>
      <c r="M107" s="798"/>
      <c r="N107" s="798"/>
      <c r="O107" s="649"/>
      <c r="P107" s="797"/>
      <c r="Q107" s="798"/>
      <c r="R107" s="821"/>
    </row>
    <row r="108" spans="1:18" s="801" customFormat="1" ht="36">
      <c r="A108" s="795"/>
      <c r="B108" s="819" t="s">
        <v>781</v>
      </c>
      <c r="C108" s="797">
        <v>50000</v>
      </c>
      <c r="D108" s="798">
        <f t="shared" si="6"/>
        <v>10000</v>
      </c>
      <c r="E108" s="798">
        <f>SUM(H108+K108+N108+Q108)</f>
        <v>0</v>
      </c>
      <c r="F108" s="644">
        <f>E108/D108*100</f>
        <v>0</v>
      </c>
      <c r="G108" s="797">
        <f>50000-40000</f>
        <v>10000</v>
      </c>
      <c r="H108" s="798"/>
      <c r="I108" s="649">
        <f t="shared" si="10"/>
        <v>0</v>
      </c>
      <c r="J108" s="799"/>
      <c r="K108" s="820"/>
      <c r="L108" s="647"/>
      <c r="M108" s="798"/>
      <c r="N108" s="798"/>
      <c r="O108" s="649"/>
      <c r="P108" s="797"/>
      <c r="Q108" s="798"/>
      <c r="R108" s="821"/>
    </row>
    <row r="109" spans="1:18" s="801" customFormat="1" ht="12.75">
      <c r="A109" s="795"/>
      <c r="B109" s="819" t="s">
        <v>782</v>
      </c>
      <c r="C109" s="797">
        <v>50000</v>
      </c>
      <c r="D109" s="798">
        <f t="shared" si="6"/>
        <v>25000</v>
      </c>
      <c r="E109" s="798">
        <f t="shared" si="8"/>
        <v>0</v>
      </c>
      <c r="F109" s="644">
        <f t="shared" si="11"/>
        <v>0</v>
      </c>
      <c r="G109" s="797">
        <f>50000-25000</f>
        <v>25000</v>
      </c>
      <c r="H109" s="798"/>
      <c r="I109" s="649">
        <f t="shared" si="10"/>
        <v>0</v>
      </c>
      <c r="J109" s="799"/>
      <c r="K109" s="820"/>
      <c r="L109" s="647"/>
      <c r="M109" s="798"/>
      <c r="N109" s="798"/>
      <c r="O109" s="649"/>
      <c r="P109" s="797"/>
      <c r="Q109" s="798"/>
      <c r="R109" s="821"/>
    </row>
    <row r="110" spans="1:18" s="801" customFormat="1" ht="15" customHeight="1">
      <c r="A110" s="795"/>
      <c r="B110" s="819" t="s">
        <v>783</v>
      </c>
      <c r="C110" s="797">
        <v>1200000</v>
      </c>
      <c r="D110" s="798">
        <f t="shared" si="6"/>
        <v>999500</v>
      </c>
      <c r="E110" s="798">
        <f t="shared" si="8"/>
        <v>384456</v>
      </c>
      <c r="F110" s="644">
        <f>E110/D110*100</f>
        <v>38.464832416208104</v>
      </c>
      <c r="G110" s="797">
        <f>1200000-200500</f>
        <v>999500</v>
      </c>
      <c r="H110" s="798">
        <f>890+190145+1+1112+522+1987+2117+1+2117+1112+182557+783+1112</f>
        <v>384456</v>
      </c>
      <c r="I110" s="649">
        <f t="shared" si="10"/>
        <v>38.464832416208104</v>
      </c>
      <c r="J110" s="799"/>
      <c r="K110" s="820"/>
      <c r="L110" s="647"/>
      <c r="M110" s="798"/>
      <c r="N110" s="798"/>
      <c r="O110" s="649"/>
      <c r="P110" s="797"/>
      <c r="Q110" s="798"/>
      <c r="R110" s="821"/>
    </row>
    <row r="111" spans="1:18" s="801" customFormat="1" ht="48">
      <c r="A111" s="795"/>
      <c r="B111" s="819" t="s">
        <v>784</v>
      </c>
      <c r="C111" s="797">
        <v>2000000</v>
      </c>
      <c r="D111" s="798">
        <f t="shared" si="6"/>
        <v>2000000</v>
      </c>
      <c r="E111" s="798">
        <f>SUM(H111+K111+N111+Q111)</f>
        <v>853101</v>
      </c>
      <c r="F111" s="644">
        <f>E111/D111*100</f>
        <v>42.65505</v>
      </c>
      <c r="G111" s="797">
        <v>2000000</v>
      </c>
      <c r="H111" s="798">
        <v>853101</v>
      </c>
      <c r="I111" s="649">
        <f t="shared" si="10"/>
        <v>42.65505</v>
      </c>
      <c r="J111" s="799"/>
      <c r="K111" s="820"/>
      <c r="L111" s="647"/>
      <c r="M111" s="798"/>
      <c r="N111" s="798"/>
      <c r="O111" s="649"/>
      <c r="P111" s="797"/>
      <c r="Q111" s="798"/>
      <c r="R111" s="821"/>
    </row>
    <row r="112" spans="1:18" s="801" customFormat="1" ht="12.75">
      <c r="A112" s="795"/>
      <c r="B112" s="819" t="s">
        <v>785</v>
      </c>
      <c r="C112" s="797">
        <v>1500000</v>
      </c>
      <c r="D112" s="798">
        <f t="shared" si="6"/>
        <v>1500000</v>
      </c>
      <c r="E112" s="798">
        <f t="shared" si="8"/>
        <v>435570</v>
      </c>
      <c r="F112" s="644">
        <f aca="true" t="shared" si="12" ref="F112:F170">E112/D112*100</f>
        <v>29.038000000000004</v>
      </c>
      <c r="G112" s="797">
        <v>1500000</v>
      </c>
      <c r="H112" s="798">
        <v>435570</v>
      </c>
      <c r="I112" s="649">
        <f t="shared" si="10"/>
        <v>29.038000000000004</v>
      </c>
      <c r="J112" s="799"/>
      <c r="K112" s="820"/>
      <c r="L112" s="647"/>
      <c r="M112" s="798"/>
      <c r="N112" s="798"/>
      <c r="O112" s="649"/>
      <c r="P112" s="797"/>
      <c r="Q112" s="798"/>
      <c r="R112" s="821"/>
    </row>
    <row r="113" spans="1:18" s="801" customFormat="1" ht="24">
      <c r="A113" s="802"/>
      <c r="B113" s="822" t="s">
        <v>786</v>
      </c>
      <c r="C113" s="804">
        <v>50000</v>
      </c>
      <c r="D113" s="805">
        <f t="shared" si="6"/>
        <v>50000</v>
      </c>
      <c r="E113" s="805">
        <f t="shared" si="8"/>
        <v>131</v>
      </c>
      <c r="F113" s="668">
        <f t="shared" si="12"/>
        <v>0.262</v>
      </c>
      <c r="G113" s="804">
        <v>50000</v>
      </c>
      <c r="H113" s="805">
        <f>130+1</f>
        <v>131</v>
      </c>
      <c r="I113" s="690">
        <f t="shared" si="10"/>
        <v>0.262</v>
      </c>
      <c r="J113" s="806"/>
      <c r="K113" s="823"/>
      <c r="L113" s="652"/>
      <c r="M113" s="805"/>
      <c r="N113" s="805"/>
      <c r="O113" s="690"/>
      <c r="P113" s="804"/>
      <c r="Q113" s="805"/>
      <c r="R113" s="824"/>
    </row>
    <row r="114" spans="1:18" s="801" customFormat="1" ht="48">
      <c r="A114" s="795"/>
      <c r="B114" s="825" t="s">
        <v>787</v>
      </c>
      <c r="C114" s="797">
        <v>10000</v>
      </c>
      <c r="D114" s="798">
        <f t="shared" si="6"/>
        <v>10000</v>
      </c>
      <c r="E114" s="798">
        <f t="shared" si="8"/>
        <v>4270</v>
      </c>
      <c r="F114" s="644">
        <f t="shared" si="12"/>
        <v>42.699999999999996</v>
      </c>
      <c r="G114" s="797">
        <v>10000</v>
      </c>
      <c r="H114" s="798">
        <v>4270</v>
      </c>
      <c r="I114" s="649">
        <f t="shared" si="10"/>
        <v>42.699999999999996</v>
      </c>
      <c r="J114" s="799"/>
      <c r="K114" s="820"/>
      <c r="L114" s="647"/>
      <c r="M114" s="798"/>
      <c r="N114" s="798"/>
      <c r="O114" s="649"/>
      <c r="P114" s="797"/>
      <c r="Q114" s="798"/>
      <c r="R114" s="821"/>
    </row>
    <row r="115" spans="1:18" s="801" customFormat="1" ht="24">
      <c r="A115" s="795"/>
      <c r="B115" s="825" t="s">
        <v>788</v>
      </c>
      <c r="C115" s="797">
        <v>100000</v>
      </c>
      <c r="D115" s="798">
        <f t="shared" si="6"/>
        <v>100000</v>
      </c>
      <c r="E115" s="798">
        <f t="shared" si="8"/>
        <v>42818</v>
      </c>
      <c r="F115" s="644">
        <f t="shared" si="12"/>
        <v>42.818</v>
      </c>
      <c r="G115" s="797">
        <v>100000</v>
      </c>
      <c r="H115" s="798">
        <v>42818</v>
      </c>
      <c r="I115" s="649">
        <f t="shared" si="10"/>
        <v>42.818</v>
      </c>
      <c r="J115" s="799"/>
      <c r="K115" s="820"/>
      <c r="L115" s="647"/>
      <c r="M115" s="798"/>
      <c r="N115" s="798"/>
      <c r="O115" s="649"/>
      <c r="P115" s="797"/>
      <c r="Q115" s="798"/>
      <c r="R115" s="821"/>
    </row>
    <row r="116" spans="1:18" s="801" customFormat="1" ht="48">
      <c r="A116" s="795"/>
      <c r="B116" s="825" t="s">
        <v>789</v>
      </c>
      <c r="C116" s="797">
        <v>7500000</v>
      </c>
      <c r="D116" s="798">
        <f aca="true" t="shared" si="13" ref="D116:D184">G116+J116+P116+M116</f>
        <v>7715000</v>
      </c>
      <c r="E116" s="798">
        <f t="shared" si="8"/>
        <v>6062539</v>
      </c>
      <c r="F116" s="644">
        <f t="shared" si="12"/>
        <v>78.58119248217757</v>
      </c>
      <c r="G116" s="797">
        <f>7500000+200000+650000-600000-35000</f>
        <v>7715000</v>
      </c>
      <c r="H116" s="798">
        <f>200080+346814+1+548898+5281+556562+489090+379671+1+746098+488155+2800+892+1602712+695483+1</f>
        <v>6062539</v>
      </c>
      <c r="I116" s="649">
        <f t="shared" si="10"/>
        <v>78.58119248217757</v>
      </c>
      <c r="J116" s="799"/>
      <c r="K116" s="820"/>
      <c r="L116" s="647"/>
      <c r="M116" s="798"/>
      <c r="N116" s="798"/>
      <c r="O116" s="649"/>
      <c r="P116" s="797"/>
      <c r="Q116" s="798"/>
      <c r="R116" s="821"/>
    </row>
    <row r="117" spans="1:18" s="801" customFormat="1" ht="12.75">
      <c r="A117" s="795"/>
      <c r="B117" s="825" t="s">
        <v>790</v>
      </c>
      <c r="C117" s="797">
        <v>600000</v>
      </c>
      <c r="D117" s="798">
        <f t="shared" si="13"/>
        <v>505000</v>
      </c>
      <c r="E117" s="798">
        <f t="shared" si="8"/>
        <v>357948</v>
      </c>
      <c r="F117" s="644">
        <f t="shared" si="12"/>
        <v>70.88079207920792</v>
      </c>
      <c r="G117" s="797">
        <f>600000-20000-75000</f>
        <v>505000</v>
      </c>
      <c r="H117" s="798">
        <f>133880+177219+1+46848</f>
        <v>357948</v>
      </c>
      <c r="I117" s="649">
        <f t="shared" si="10"/>
        <v>70.88079207920792</v>
      </c>
      <c r="J117" s="799"/>
      <c r="K117" s="820"/>
      <c r="L117" s="647"/>
      <c r="M117" s="798"/>
      <c r="N117" s="798"/>
      <c r="O117" s="649"/>
      <c r="P117" s="797"/>
      <c r="Q117" s="798"/>
      <c r="R117" s="821"/>
    </row>
    <row r="118" spans="1:18" s="801" customFormat="1" ht="24">
      <c r="A118" s="795"/>
      <c r="B118" s="825" t="s">
        <v>791</v>
      </c>
      <c r="C118" s="797">
        <v>10000</v>
      </c>
      <c r="D118" s="798">
        <f t="shared" si="13"/>
        <v>10000</v>
      </c>
      <c r="E118" s="798">
        <f t="shared" si="8"/>
        <v>0</v>
      </c>
      <c r="F118" s="644">
        <f t="shared" si="12"/>
        <v>0</v>
      </c>
      <c r="G118" s="797">
        <v>10000</v>
      </c>
      <c r="H118" s="798"/>
      <c r="I118" s="649">
        <f t="shared" si="10"/>
        <v>0</v>
      </c>
      <c r="J118" s="799"/>
      <c r="K118" s="820"/>
      <c r="L118" s="647"/>
      <c r="M118" s="798"/>
      <c r="N118" s="798"/>
      <c r="O118" s="649"/>
      <c r="P118" s="797"/>
      <c r="Q118" s="798"/>
      <c r="R118" s="821"/>
    </row>
    <row r="119" spans="1:18" s="801" customFormat="1" ht="24">
      <c r="A119" s="795"/>
      <c r="B119" s="825" t="s">
        <v>792</v>
      </c>
      <c r="C119" s="797">
        <v>750000</v>
      </c>
      <c r="D119" s="798">
        <f t="shared" si="13"/>
        <v>785000</v>
      </c>
      <c r="E119" s="798">
        <f t="shared" si="8"/>
        <v>698596</v>
      </c>
      <c r="F119" s="644">
        <f t="shared" si="12"/>
        <v>88.99312101910827</v>
      </c>
      <c r="G119" s="797">
        <f>750000+35000</f>
        <v>785000</v>
      </c>
      <c r="H119" s="798">
        <f>158600+241685+82+231096+27569+39564</f>
        <v>698596</v>
      </c>
      <c r="I119" s="649">
        <f t="shared" si="10"/>
        <v>88.99312101910827</v>
      </c>
      <c r="J119" s="799"/>
      <c r="K119" s="820"/>
      <c r="L119" s="647"/>
      <c r="M119" s="798"/>
      <c r="N119" s="798"/>
      <c r="O119" s="649"/>
      <c r="P119" s="797"/>
      <c r="Q119" s="798"/>
      <c r="R119" s="821"/>
    </row>
    <row r="120" spans="1:18" s="801" customFormat="1" ht="12.75">
      <c r="A120" s="795"/>
      <c r="B120" s="796" t="s">
        <v>793</v>
      </c>
      <c r="C120" s="797"/>
      <c r="D120" s="798">
        <f>G120+J120+P120+M120</f>
        <v>1947</v>
      </c>
      <c r="E120" s="798">
        <f>SUM(H120+K120+N120+Q120)</f>
        <v>1946</v>
      </c>
      <c r="F120" s="644">
        <f>E120/D120*100</f>
        <v>99.94863893168979</v>
      </c>
      <c r="G120" s="797">
        <v>1947</v>
      </c>
      <c r="H120" s="798">
        <v>1946</v>
      </c>
      <c r="I120" s="649">
        <f t="shared" si="10"/>
        <v>99.94863893168979</v>
      </c>
      <c r="J120" s="799"/>
      <c r="K120" s="820"/>
      <c r="L120" s="647"/>
      <c r="M120" s="798"/>
      <c r="N120" s="798"/>
      <c r="O120" s="649"/>
      <c r="P120" s="797"/>
      <c r="Q120" s="798"/>
      <c r="R120" s="821"/>
    </row>
    <row r="121" spans="1:18" s="801" customFormat="1" ht="24">
      <c r="A121" s="795"/>
      <c r="B121" s="796" t="s">
        <v>794</v>
      </c>
      <c r="C121" s="797">
        <v>50000</v>
      </c>
      <c r="D121" s="798">
        <f>G121+J121+P121+M121</f>
        <v>50000</v>
      </c>
      <c r="E121" s="798">
        <f>SUM(H121+K121+N121+Q121)</f>
        <v>55</v>
      </c>
      <c r="F121" s="644">
        <f>E121/D121*100</f>
        <v>0.11</v>
      </c>
      <c r="G121" s="797">
        <v>50000</v>
      </c>
      <c r="H121" s="798">
        <v>55</v>
      </c>
      <c r="I121" s="649">
        <f t="shared" si="10"/>
        <v>0.11</v>
      </c>
      <c r="J121" s="799"/>
      <c r="K121" s="820"/>
      <c r="L121" s="647"/>
      <c r="M121" s="798"/>
      <c r="N121" s="798"/>
      <c r="O121" s="649"/>
      <c r="P121" s="797"/>
      <c r="Q121" s="798"/>
      <c r="R121" s="821"/>
    </row>
    <row r="122" spans="1:18" s="801" customFormat="1" ht="12.75">
      <c r="A122" s="795"/>
      <c r="B122" s="808" t="s">
        <v>795</v>
      </c>
      <c r="C122" s="797"/>
      <c r="D122" s="798">
        <f>G122+J122+P122+M122</f>
        <v>150000</v>
      </c>
      <c r="E122" s="798">
        <f>SUM(H122+K122+N122+Q122)</f>
        <v>0</v>
      </c>
      <c r="F122" s="644">
        <f>E122/D122*100</f>
        <v>0</v>
      </c>
      <c r="G122" s="797">
        <v>150000</v>
      </c>
      <c r="H122" s="798"/>
      <c r="I122" s="649">
        <f t="shared" si="10"/>
        <v>0</v>
      </c>
      <c r="J122" s="799"/>
      <c r="K122" s="820"/>
      <c r="L122" s="647"/>
      <c r="M122" s="798"/>
      <c r="N122" s="798"/>
      <c r="O122" s="649"/>
      <c r="P122" s="797"/>
      <c r="Q122" s="798"/>
      <c r="R122" s="821"/>
    </row>
    <row r="123" spans="1:18" s="801" customFormat="1" ht="36">
      <c r="A123" s="795"/>
      <c r="B123" s="808" t="s">
        <v>770</v>
      </c>
      <c r="C123" s="797"/>
      <c r="D123" s="798">
        <f>G123+J123+P123+M123</f>
        <v>230000</v>
      </c>
      <c r="E123" s="798">
        <f>SUM(H123+K123+N123+Q123)</f>
        <v>0</v>
      </c>
      <c r="F123" s="644">
        <f>E123/D123*100</f>
        <v>0</v>
      </c>
      <c r="G123" s="797">
        <v>230000</v>
      </c>
      <c r="H123" s="798"/>
      <c r="I123" s="649">
        <f t="shared" si="10"/>
        <v>0</v>
      </c>
      <c r="J123" s="799"/>
      <c r="K123" s="820"/>
      <c r="L123" s="647"/>
      <c r="M123" s="798"/>
      <c r="N123" s="798"/>
      <c r="O123" s="649"/>
      <c r="P123" s="797"/>
      <c r="Q123" s="798"/>
      <c r="R123" s="821"/>
    </row>
    <row r="124" spans="1:18" s="801" customFormat="1" ht="12.75">
      <c r="A124" s="795"/>
      <c r="B124" s="825" t="s">
        <v>796</v>
      </c>
      <c r="C124" s="797">
        <v>200000</v>
      </c>
      <c r="D124" s="798">
        <f t="shared" si="13"/>
        <v>100000</v>
      </c>
      <c r="E124" s="798">
        <f>SUM(H124+K124+N124+Q124)</f>
        <v>25851</v>
      </c>
      <c r="F124" s="644">
        <f>E124/D124*100</f>
        <v>25.851000000000003</v>
      </c>
      <c r="G124" s="797">
        <f>200000-100000</f>
        <v>100000</v>
      </c>
      <c r="H124" s="798">
        <v>25851</v>
      </c>
      <c r="I124" s="649">
        <f t="shared" si="10"/>
        <v>25.851000000000003</v>
      </c>
      <c r="J124" s="799"/>
      <c r="K124" s="820"/>
      <c r="L124" s="647"/>
      <c r="M124" s="798"/>
      <c r="N124" s="798"/>
      <c r="O124" s="649"/>
      <c r="P124" s="797"/>
      <c r="Q124" s="798"/>
      <c r="R124" s="821"/>
    </row>
    <row r="125" spans="1:18" s="775" customFormat="1" ht="14.25" customHeight="1">
      <c r="A125" s="787">
        <v>60017</v>
      </c>
      <c r="B125" s="826" t="s">
        <v>332</v>
      </c>
      <c r="C125" s="673">
        <f>SUM(C126:C130)</f>
        <v>1850200</v>
      </c>
      <c r="D125" s="674">
        <f t="shared" si="13"/>
        <v>2209800</v>
      </c>
      <c r="E125" s="657">
        <f>H125+K125+Q125+N125</f>
        <v>1650537</v>
      </c>
      <c r="F125" s="658">
        <f t="shared" si="12"/>
        <v>74.69169155579691</v>
      </c>
      <c r="G125" s="673">
        <f>SUM(G126:G130)</f>
        <v>2209800</v>
      </c>
      <c r="H125" s="674">
        <f>SUM(H126:H130)</f>
        <v>1650537</v>
      </c>
      <c r="I125" s="665">
        <f t="shared" si="10"/>
        <v>74.69169155579691</v>
      </c>
      <c r="J125" s="677"/>
      <c r="K125" s="656"/>
      <c r="L125" s="791"/>
      <c r="M125" s="674"/>
      <c r="N125" s="674"/>
      <c r="O125" s="827"/>
      <c r="P125" s="673"/>
      <c r="Q125" s="674"/>
      <c r="R125" s="828"/>
    </row>
    <row r="126" spans="1:18" s="761" customFormat="1" ht="14.25" customHeight="1">
      <c r="A126" s="829">
        <v>4270</v>
      </c>
      <c r="B126" s="830" t="s">
        <v>713</v>
      </c>
      <c r="C126" s="697">
        <f>490000+328200</f>
        <v>818200</v>
      </c>
      <c r="D126" s="643">
        <f t="shared" si="13"/>
        <v>1121100</v>
      </c>
      <c r="E126" s="667">
        <f aca="true" t="shared" si="14" ref="E126:E132">SUM(H126+K126+N126+Q126)</f>
        <v>700844</v>
      </c>
      <c r="F126" s="644">
        <f t="shared" si="12"/>
        <v>62.51395950405851</v>
      </c>
      <c r="G126" s="697">
        <f>490000+328200+32300+54600+80000+116000-50000+70000</f>
        <v>1121100</v>
      </c>
      <c r="H126" s="643">
        <v>700844</v>
      </c>
      <c r="I126" s="647">
        <f t="shared" si="10"/>
        <v>62.51395950405851</v>
      </c>
      <c r="J126" s="648"/>
      <c r="K126" s="645"/>
      <c r="L126" s="647"/>
      <c r="M126" s="643"/>
      <c r="N126" s="643"/>
      <c r="O126" s="731"/>
      <c r="P126" s="697"/>
      <c r="Q126" s="643"/>
      <c r="R126" s="737"/>
    </row>
    <row r="127" spans="1:18" s="761" customFormat="1" ht="15.75" customHeight="1">
      <c r="A127" s="829">
        <v>4300</v>
      </c>
      <c r="B127" s="830" t="s">
        <v>715</v>
      </c>
      <c r="C127" s="697">
        <v>5000</v>
      </c>
      <c r="D127" s="643">
        <f t="shared" si="13"/>
        <v>5000</v>
      </c>
      <c r="E127" s="667">
        <f t="shared" si="14"/>
        <v>2700</v>
      </c>
      <c r="F127" s="644">
        <f t="shared" si="12"/>
        <v>54</v>
      </c>
      <c r="G127" s="697">
        <v>5000</v>
      </c>
      <c r="H127" s="643">
        <f>2701-1</f>
        <v>2700</v>
      </c>
      <c r="I127" s="647">
        <f t="shared" si="10"/>
        <v>54</v>
      </c>
      <c r="J127" s="648"/>
      <c r="K127" s="645"/>
      <c r="L127" s="647"/>
      <c r="M127" s="643"/>
      <c r="N127" s="643"/>
      <c r="O127" s="731"/>
      <c r="P127" s="697"/>
      <c r="Q127" s="643"/>
      <c r="R127" s="737"/>
    </row>
    <row r="128" spans="1:18" s="761" customFormat="1" ht="36">
      <c r="A128" s="728">
        <v>4390</v>
      </c>
      <c r="B128" s="735" t="s">
        <v>743</v>
      </c>
      <c r="C128" s="697">
        <v>5000</v>
      </c>
      <c r="D128" s="643">
        <f>G128+J128+P128+M128</f>
        <v>5000</v>
      </c>
      <c r="E128" s="667">
        <f>SUM(H128+K128+N128+Q128)</f>
        <v>0</v>
      </c>
      <c r="F128" s="644">
        <f>E128/D128*100</f>
        <v>0</v>
      </c>
      <c r="G128" s="697">
        <v>5000</v>
      </c>
      <c r="H128" s="643"/>
      <c r="I128" s="647">
        <f t="shared" si="10"/>
        <v>0</v>
      </c>
      <c r="J128" s="648"/>
      <c r="K128" s="645"/>
      <c r="L128" s="647"/>
      <c r="M128" s="643"/>
      <c r="N128" s="643"/>
      <c r="O128" s="731"/>
      <c r="P128" s="697"/>
      <c r="Q128" s="643"/>
      <c r="R128" s="737"/>
    </row>
    <row r="129" spans="1:18" s="761" customFormat="1" ht="14.25" customHeight="1">
      <c r="A129" s="829">
        <v>4430</v>
      </c>
      <c r="B129" s="830" t="s">
        <v>717</v>
      </c>
      <c r="C129" s="697">
        <v>2000</v>
      </c>
      <c r="D129" s="643">
        <f t="shared" si="13"/>
        <v>2000</v>
      </c>
      <c r="E129" s="667">
        <f t="shared" si="14"/>
        <v>0</v>
      </c>
      <c r="F129" s="644">
        <f t="shared" si="12"/>
        <v>0</v>
      </c>
      <c r="G129" s="697">
        <v>2000</v>
      </c>
      <c r="H129" s="643"/>
      <c r="I129" s="647">
        <f t="shared" si="10"/>
        <v>0</v>
      </c>
      <c r="J129" s="648"/>
      <c r="K129" s="645"/>
      <c r="L129" s="647"/>
      <c r="M129" s="643"/>
      <c r="N129" s="643"/>
      <c r="O129" s="731"/>
      <c r="P129" s="697"/>
      <c r="Q129" s="643"/>
      <c r="R129" s="737"/>
    </row>
    <row r="130" spans="1:18" s="761" customFormat="1" ht="24">
      <c r="A130" s="762">
        <v>6050</v>
      </c>
      <c r="B130" s="780" t="s">
        <v>735</v>
      </c>
      <c r="C130" s="764">
        <f>770000+250000</f>
        <v>1020000</v>
      </c>
      <c r="D130" s="765">
        <f t="shared" si="13"/>
        <v>1076700</v>
      </c>
      <c r="E130" s="785">
        <f t="shared" si="14"/>
        <v>946993</v>
      </c>
      <c r="F130" s="705">
        <f t="shared" si="12"/>
        <v>87.95328318008731</v>
      </c>
      <c r="G130" s="764">
        <f>770000+250000+140000-100000+100000-70000+6700+50000-70000</f>
        <v>1076700</v>
      </c>
      <c r="H130" s="765">
        <v>946993</v>
      </c>
      <c r="I130" s="707">
        <f t="shared" si="10"/>
        <v>87.95328318008731</v>
      </c>
      <c r="J130" s="767"/>
      <c r="K130" s="831"/>
      <c r="L130" s="707"/>
      <c r="M130" s="765"/>
      <c r="N130" s="765"/>
      <c r="O130" s="786"/>
      <c r="P130" s="764"/>
      <c r="Q130" s="765"/>
      <c r="R130" s="770"/>
    </row>
    <row r="131" spans="1:18" s="775" customFormat="1" ht="24">
      <c r="A131" s="832">
        <v>60053</v>
      </c>
      <c r="B131" s="833" t="s">
        <v>797</v>
      </c>
      <c r="C131" s="834">
        <f>C132</f>
        <v>400000</v>
      </c>
      <c r="D131" s="727">
        <f t="shared" si="13"/>
        <v>400000</v>
      </c>
      <c r="E131" s="727">
        <f t="shared" si="14"/>
        <v>6100</v>
      </c>
      <c r="F131" s="772">
        <f t="shared" si="12"/>
        <v>1.525</v>
      </c>
      <c r="G131" s="834">
        <f>G132</f>
        <v>400000</v>
      </c>
      <c r="H131" s="727">
        <f>H132</f>
        <v>6100</v>
      </c>
      <c r="I131" s="707">
        <f t="shared" si="10"/>
        <v>1.525</v>
      </c>
      <c r="J131" s="835"/>
      <c r="K131" s="836"/>
      <c r="L131" s="837"/>
      <c r="M131" s="727"/>
      <c r="N131" s="727"/>
      <c r="O131" s="838"/>
      <c r="P131" s="834"/>
      <c r="Q131" s="727"/>
      <c r="R131" s="839"/>
    </row>
    <row r="132" spans="1:18" s="761" customFormat="1" ht="24">
      <c r="A132" s="762">
        <v>6050</v>
      </c>
      <c r="B132" s="780" t="s">
        <v>735</v>
      </c>
      <c r="C132" s="764">
        <v>400000</v>
      </c>
      <c r="D132" s="765">
        <f t="shared" si="13"/>
        <v>400000</v>
      </c>
      <c r="E132" s="785">
        <f t="shared" si="14"/>
        <v>6100</v>
      </c>
      <c r="F132" s="705">
        <f t="shared" si="12"/>
        <v>1.525</v>
      </c>
      <c r="G132" s="764">
        <v>400000</v>
      </c>
      <c r="H132" s="765">
        <v>6100</v>
      </c>
      <c r="I132" s="707">
        <f t="shared" si="10"/>
        <v>1.525</v>
      </c>
      <c r="J132" s="767"/>
      <c r="K132" s="831"/>
      <c r="L132" s="707"/>
      <c r="M132" s="765"/>
      <c r="N132" s="765"/>
      <c r="O132" s="786"/>
      <c r="P132" s="764"/>
      <c r="Q132" s="765"/>
      <c r="R132" s="770"/>
    </row>
    <row r="133" spans="1:18" ht="12.75">
      <c r="A133" s="724">
        <v>60095</v>
      </c>
      <c r="B133" s="840" t="s">
        <v>311</v>
      </c>
      <c r="C133" s="726">
        <f>C135+C134</f>
        <v>2529280</v>
      </c>
      <c r="D133" s="674">
        <f t="shared" si="13"/>
        <v>2527280</v>
      </c>
      <c r="E133" s="657">
        <f>H133+K133+Q133+N133</f>
        <v>1836654</v>
      </c>
      <c r="F133" s="658">
        <f t="shared" si="12"/>
        <v>72.67315058086163</v>
      </c>
      <c r="G133" s="841">
        <f>SUM(G134:G135)</f>
        <v>2527280</v>
      </c>
      <c r="H133" s="657">
        <f>SUM(H134:H135)</f>
        <v>1836654</v>
      </c>
      <c r="I133" s="665">
        <f t="shared" si="10"/>
        <v>72.67315058086163</v>
      </c>
      <c r="J133" s="662"/>
      <c r="K133" s="657"/>
      <c r="L133" s="663"/>
      <c r="M133" s="657"/>
      <c r="N133" s="657"/>
      <c r="O133" s="317"/>
      <c r="P133" s="726"/>
      <c r="Q133" s="657"/>
      <c r="R133" s="842"/>
    </row>
    <row r="134" spans="1:18" s="761" customFormat="1" ht="72">
      <c r="A134" s="756">
        <v>4300</v>
      </c>
      <c r="B134" s="843" t="s">
        <v>798</v>
      </c>
      <c r="C134" s="684">
        <v>100000</v>
      </c>
      <c r="D134" s="685">
        <f t="shared" si="13"/>
        <v>0</v>
      </c>
      <c r="E134" s="685">
        <f>H134+K134+Q134+N134</f>
        <v>0</v>
      </c>
      <c r="F134" s="668" t="e">
        <f t="shared" si="12"/>
        <v>#DIV/0!</v>
      </c>
      <c r="G134" s="684">
        <f>100000-100000</f>
        <v>0</v>
      </c>
      <c r="H134" s="685"/>
      <c r="I134" s="652" t="e">
        <f t="shared" si="10"/>
        <v>#DIV/0!</v>
      </c>
      <c r="J134" s="689"/>
      <c r="K134" s="685"/>
      <c r="L134" s="690"/>
      <c r="M134" s="685"/>
      <c r="N134" s="685"/>
      <c r="O134" s="779"/>
      <c r="P134" s="684"/>
      <c r="Q134" s="685"/>
      <c r="R134" s="760"/>
    </row>
    <row r="135" spans="1:18" s="723" customFormat="1" ht="12.75">
      <c r="A135" s="844"/>
      <c r="B135" s="845" t="s">
        <v>799</v>
      </c>
      <c r="C135" s="846">
        <f>SUM(C136:C164)</f>
        <v>2429280</v>
      </c>
      <c r="D135" s="749">
        <f t="shared" si="13"/>
        <v>2527280</v>
      </c>
      <c r="E135" s="847">
        <f>H135+K135+Q135+N135</f>
        <v>1836654</v>
      </c>
      <c r="F135" s="644">
        <f t="shared" si="12"/>
        <v>72.67315058086163</v>
      </c>
      <c r="G135" s="846">
        <f>SUM(G136:G164)</f>
        <v>2527280</v>
      </c>
      <c r="H135" s="847">
        <f>SUM(H136:H164)</f>
        <v>1836654</v>
      </c>
      <c r="I135" s="647">
        <f t="shared" si="10"/>
        <v>72.67315058086163</v>
      </c>
      <c r="J135" s="848"/>
      <c r="K135" s="847"/>
      <c r="L135" s="751"/>
      <c r="M135" s="847"/>
      <c r="N135" s="847"/>
      <c r="O135" s="731"/>
      <c r="P135" s="846"/>
      <c r="Q135" s="847"/>
      <c r="R135" s="737"/>
    </row>
    <row r="136" spans="1:18" ht="36">
      <c r="A136" s="728">
        <v>3020</v>
      </c>
      <c r="B136" s="735" t="s">
        <v>800</v>
      </c>
      <c r="C136" s="666">
        <v>4000</v>
      </c>
      <c r="D136" s="643">
        <f t="shared" si="13"/>
        <v>4000</v>
      </c>
      <c r="E136" s="667">
        <f>SUM(H136+K136+N136+Q136)</f>
        <v>1833</v>
      </c>
      <c r="F136" s="644">
        <f t="shared" si="12"/>
        <v>45.824999999999996</v>
      </c>
      <c r="G136" s="666">
        <v>4000</v>
      </c>
      <c r="H136" s="667">
        <f>1834-1</f>
        <v>1833</v>
      </c>
      <c r="I136" s="647">
        <f t="shared" si="10"/>
        <v>45.824999999999996</v>
      </c>
      <c r="J136" s="730"/>
      <c r="K136" s="667"/>
      <c r="L136" s="649"/>
      <c r="M136" s="667"/>
      <c r="N136" s="667"/>
      <c r="O136" s="731"/>
      <c r="P136" s="666"/>
      <c r="Q136" s="667"/>
      <c r="R136" s="737"/>
    </row>
    <row r="137" spans="1:18" ht="24">
      <c r="A137" s="728">
        <v>4010</v>
      </c>
      <c r="B137" s="735" t="s">
        <v>697</v>
      </c>
      <c r="C137" s="666">
        <v>1275700</v>
      </c>
      <c r="D137" s="643">
        <f t="shared" si="13"/>
        <v>1275700</v>
      </c>
      <c r="E137" s="667">
        <f>SUM(H137+K137+N137+Q137)</f>
        <v>917706</v>
      </c>
      <c r="F137" s="644">
        <f t="shared" si="12"/>
        <v>71.93744610801913</v>
      </c>
      <c r="G137" s="666">
        <v>1275700</v>
      </c>
      <c r="H137" s="667">
        <v>917706</v>
      </c>
      <c r="I137" s="647">
        <f t="shared" si="10"/>
        <v>71.93744610801913</v>
      </c>
      <c r="J137" s="730"/>
      <c r="K137" s="667"/>
      <c r="L137" s="649"/>
      <c r="M137" s="667"/>
      <c r="N137" s="667"/>
      <c r="O137" s="731"/>
      <c r="P137" s="666"/>
      <c r="Q137" s="667"/>
      <c r="R137" s="737"/>
    </row>
    <row r="138" spans="1:18" ht="24">
      <c r="A138" s="849">
        <v>4040</v>
      </c>
      <c r="B138" s="735" t="s">
        <v>801</v>
      </c>
      <c r="C138" s="666">
        <v>99000</v>
      </c>
      <c r="D138" s="643">
        <f t="shared" si="13"/>
        <v>86200</v>
      </c>
      <c r="E138" s="667">
        <f>SUM(H138+K138+N138+Q138)</f>
        <v>86192</v>
      </c>
      <c r="F138" s="644">
        <f t="shared" si="12"/>
        <v>99.9907192575406</v>
      </c>
      <c r="G138" s="666">
        <f>99000-12800</f>
        <v>86200</v>
      </c>
      <c r="H138" s="667">
        <f>86192-1+1</f>
        <v>86192</v>
      </c>
      <c r="I138" s="492">
        <f t="shared" si="10"/>
        <v>99.9907192575406</v>
      </c>
      <c r="J138" s="730"/>
      <c r="K138" s="667"/>
      <c r="L138" s="649"/>
      <c r="M138" s="667"/>
      <c r="N138" s="667"/>
      <c r="O138" s="731"/>
      <c r="P138" s="666"/>
      <c r="Q138" s="667"/>
      <c r="R138" s="737"/>
    </row>
    <row r="139" spans="1:18" ht="24">
      <c r="A139" s="728">
        <v>4110</v>
      </c>
      <c r="B139" s="735" t="s">
        <v>802</v>
      </c>
      <c r="C139" s="666">
        <v>208600</v>
      </c>
      <c r="D139" s="643">
        <f t="shared" si="13"/>
        <v>208600</v>
      </c>
      <c r="E139" s="667">
        <f aca="true" t="shared" si="15" ref="E139:E164">SUM(H139+K139+N139+Q139)</f>
        <v>146481</v>
      </c>
      <c r="F139" s="644">
        <f t="shared" si="12"/>
        <v>70.22099712368168</v>
      </c>
      <c r="G139" s="666">
        <v>208600</v>
      </c>
      <c r="H139" s="667">
        <v>146481</v>
      </c>
      <c r="I139" s="647">
        <f t="shared" si="10"/>
        <v>70.22099712368168</v>
      </c>
      <c r="J139" s="730"/>
      <c r="K139" s="667"/>
      <c r="L139" s="649"/>
      <c r="M139" s="667"/>
      <c r="N139" s="667"/>
      <c r="O139" s="731"/>
      <c r="P139" s="666"/>
      <c r="Q139" s="667"/>
      <c r="R139" s="737"/>
    </row>
    <row r="140" spans="1:18" ht="12.75">
      <c r="A140" s="728">
        <v>4120</v>
      </c>
      <c r="B140" s="735" t="s">
        <v>803</v>
      </c>
      <c r="C140" s="666">
        <v>33000</v>
      </c>
      <c r="D140" s="643">
        <f t="shared" si="13"/>
        <v>33000</v>
      </c>
      <c r="E140" s="667">
        <f t="shared" si="15"/>
        <v>23767</v>
      </c>
      <c r="F140" s="644">
        <f t="shared" si="12"/>
        <v>72.02121212121212</v>
      </c>
      <c r="G140" s="666">
        <v>33000</v>
      </c>
      <c r="H140" s="667">
        <v>23767</v>
      </c>
      <c r="I140" s="647">
        <f t="shared" si="10"/>
        <v>72.02121212121212</v>
      </c>
      <c r="J140" s="730"/>
      <c r="K140" s="667"/>
      <c r="L140" s="649"/>
      <c r="M140" s="667"/>
      <c r="N140" s="667"/>
      <c r="O140" s="731"/>
      <c r="P140" s="666"/>
      <c r="Q140" s="667"/>
      <c r="R140" s="737"/>
    </row>
    <row r="141" spans="1:18" ht="12.75">
      <c r="A141" s="728">
        <v>4140</v>
      </c>
      <c r="B141" s="735" t="s">
        <v>804</v>
      </c>
      <c r="C141" s="666">
        <v>25300</v>
      </c>
      <c r="D141" s="643">
        <f t="shared" si="13"/>
        <v>25300</v>
      </c>
      <c r="E141" s="667">
        <f t="shared" si="15"/>
        <v>10744</v>
      </c>
      <c r="F141" s="644">
        <f t="shared" si="12"/>
        <v>42.466403162055336</v>
      </c>
      <c r="G141" s="666">
        <v>25300</v>
      </c>
      <c r="H141" s="667">
        <v>10744</v>
      </c>
      <c r="I141" s="647">
        <f t="shared" si="10"/>
        <v>42.466403162055336</v>
      </c>
      <c r="J141" s="730"/>
      <c r="K141" s="667"/>
      <c r="L141" s="649"/>
      <c r="M141" s="667"/>
      <c r="N141" s="667"/>
      <c r="O141" s="731"/>
      <c r="P141" s="666"/>
      <c r="Q141" s="667"/>
      <c r="R141" s="737"/>
    </row>
    <row r="142" spans="1:18" ht="24">
      <c r="A142" s="728">
        <v>4170</v>
      </c>
      <c r="B142" s="735" t="s">
        <v>742</v>
      </c>
      <c r="C142" s="666">
        <v>7000</v>
      </c>
      <c r="D142" s="643">
        <f t="shared" si="13"/>
        <v>11000</v>
      </c>
      <c r="E142" s="667">
        <f t="shared" si="15"/>
        <v>7226</v>
      </c>
      <c r="F142" s="644">
        <f t="shared" si="12"/>
        <v>65.69090909090909</v>
      </c>
      <c r="G142" s="666">
        <f>7000+4000</f>
        <v>11000</v>
      </c>
      <c r="H142" s="667">
        <v>7226</v>
      </c>
      <c r="I142" s="647">
        <f t="shared" si="10"/>
        <v>65.69090909090909</v>
      </c>
      <c r="J142" s="730"/>
      <c r="K142" s="667"/>
      <c r="L142" s="649"/>
      <c r="M142" s="667"/>
      <c r="N142" s="667"/>
      <c r="O142" s="731"/>
      <c r="P142" s="666"/>
      <c r="Q142" s="667"/>
      <c r="R142" s="737"/>
    </row>
    <row r="143" spans="1:18" ht="24">
      <c r="A143" s="728">
        <v>4210</v>
      </c>
      <c r="B143" s="729" t="s">
        <v>707</v>
      </c>
      <c r="C143" s="666">
        <v>85680</v>
      </c>
      <c r="D143" s="643">
        <f t="shared" si="13"/>
        <v>100780</v>
      </c>
      <c r="E143" s="667">
        <f t="shared" si="15"/>
        <v>55923</v>
      </c>
      <c r="F143" s="644">
        <f t="shared" si="12"/>
        <v>55.4901766223457</v>
      </c>
      <c r="G143" s="666">
        <f>85680-2700+17800</f>
        <v>100780</v>
      </c>
      <c r="H143" s="667">
        <f>55924-1</f>
        <v>55923</v>
      </c>
      <c r="I143" s="647">
        <f t="shared" si="10"/>
        <v>55.4901766223457</v>
      </c>
      <c r="J143" s="730"/>
      <c r="K143" s="667"/>
      <c r="L143" s="649"/>
      <c r="M143" s="667"/>
      <c r="N143" s="667"/>
      <c r="O143" s="731"/>
      <c r="P143" s="666"/>
      <c r="Q143" s="667"/>
      <c r="R143" s="737"/>
    </row>
    <row r="144" spans="1:18" ht="12.75">
      <c r="A144" s="728">
        <v>4260</v>
      </c>
      <c r="B144" s="729" t="s">
        <v>711</v>
      </c>
      <c r="C144" s="666">
        <v>40000</v>
      </c>
      <c r="D144" s="643">
        <f t="shared" si="13"/>
        <v>45000</v>
      </c>
      <c r="E144" s="667">
        <f t="shared" si="15"/>
        <v>32071</v>
      </c>
      <c r="F144" s="644">
        <f t="shared" si="12"/>
        <v>71.2688888888889</v>
      </c>
      <c r="G144" s="666">
        <f>40000+5000</f>
        <v>45000</v>
      </c>
      <c r="H144" s="667">
        <v>32071</v>
      </c>
      <c r="I144" s="647">
        <f t="shared" si="10"/>
        <v>71.2688888888889</v>
      </c>
      <c r="J144" s="730"/>
      <c r="K144" s="667"/>
      <c r="L144" s="649"/>
      <c r="M144" s="667"/>
      <c r="N144" s="667"/>
      <c r="O144" s="731"/>
      <c r="P144" s="666"/>
      <c r="Q144" s="667"/>
      <c r="R144" s="737"/>
    </row>
    <row r="145" spans="1:18" ht="24">
      <c r="A145" s="728">
        <v>4270</v>
      </c>
      <c r="B145" s="735" t="s">
        <v>713</v>
      </c>
      <c r="C145" s="666">
        <v>38000</v>
      </c>
      <c r="D145" s="643">
        <f t="shared" si="13"/>
        <v>23000</v>
      </c>
      <c r="E145" s="667">
        <f t="shared" si="15"/>
        <v>11112</v>
      </c>
      <c r="F145" s="644">
        <f t="shared" si="12"/>
        <v>48.31304347826087</v>
      </c>
      <c r="G145" s="666">
        <f>38000-15000</f>
        <v>23000</v>
      </c>
      <c r="H145" s="667">
        <v>11112</v>
      </c>
      <c r="I145" s="647">
        <f t="shared" si="10"/>
        <v>48.31304347826087</v>
      </c>
      <c r="J145" s="730"/>
      <c r="K145" s="667"/>
      <c r="L145" s="649"/>
      <c r="M145" s="667"/>
      <c r="N145" s="667"/>
      <c r="O145" s="731"/>
      <c r="P145" s="666"/>
      <c r="Q145" s="667"/>
      <c r="R145" s="737"/>
    </row>
    <row r="146" spans="1:18" ht="24">
      <c r="A146" s="728">
        <v>4280</v>
      </c>
      <c r="B146" s="735" t="s">
        <v>805</v>
      </c>
      <c r="C146" s="666">
        <v>1500</v>
      </c>
      <c r="D146" s="643">
        <f t="shared" si="13"/>
        <v>1500</v>
      </c>
      <c r="E146" s="667">
        <f t="shared" si="15"/>
        <v>594</v>
      </c>
      <c r="F146" s="644">
        <f t="shared" si="12"/>
        <v>39.6</v>
      </c>
      <c r="G146" s="666">
        <v>1500</v>
      </c>
      <c r="H146" s="667">
        <v>594</v>
      </c>
      <c r="I146" s="647">
        <f t="shared" si="10"/>
        <v>39.6</v>
      </c>
      <c r="J146" s="730"/>
      <c r="K146" s="667"/>
      <c r="L146" s="649"/>
      <c r="M146" s="667"/>
      <c r="N146" s="667"/>
      <c r="O146" s="731"/>
      <c r="P146" s="666"/>
      <c r="Q146" s="667"/>
      <c r="R146" s="737"/>
    </row>
    <row r="147" spans="1:18" ht="24">
      <c r="A147" s="728">
        <v>4300</v>
      </c>
      <c r="B147" s="735" t="s">
        <v>806</v>
      </c>
      <c r="C147" s="666">
        <v>340000</v>
      </c>
      <c r="D147" s="643">
        <f t="shared" si="13"/>
        <v>438000</v>
      </c>
      <c r="E147" s="667">
        <f t="shared" si="15"/>
        <v>317056</v>
      </c>
      <c r="F147" s="644">
        <f t="shared" si="12"/>
        <v>72.38721461187214</v>
      </c>
      <c r="G147" s="666">
        <f>340000+38000+60000</f>
        <v>438000</v>
      </c>
      <c r="H147" s="667">
        <v>317056</v>
      </c>
      <c r="I147" s="647">
        <f t="shared" si="10"/>
        <v>72.38721461187214</v>
      </c>
      <c r="J147" s="730"/>
      <c r="K147" s="667"/>
      <c r="L147" s="649"/>
      <c r="M147" s="667"/>
      <c r="N147" s="667"/>
      <c r="O147" s="731"/>
      <c r="P147" s="666"/>
      <c r="Q147" s="667"/>
      <c r="R147" s="737"/>
    </row>
    <row r="148" spans="1:18" ht="24">
      <c r="A148" s="728">
        <v>4350</v>
      </c>
      <c r="B148" s="735" t="s">
        <v>807</v>
      </c>
      <c r="C148" s="666">
        <v>5500</v>
      </c>
      <c r="D148" s="643">
        <f t="shared" si="13"/>
        <v>5500</v>
      </c>
      <c r="E148" s="667">
        <f t="shared" si="15"/>
        <v>4125</v>
      </c>
      <c r="F148" s="644">
        <f t="shared" si="12"/>
        <v>75</v>
      </c>
      <c r="G148" s="666">
        <v>5500</v>
      </c>
      <c r="H148" s="667">
        <v>4125</v>
      </c>
      <c r="I148" s="647">
        <f t="shared" si="10"/>
        <v>75</v>
      </c>
      <c r="J148" s="730"/>
      <c r="K148" s="667"/>
      <c r="L148" s="649"/>
      <c r="M148" s="667"/>
      <c r="N148" s="667"/>
      <c r="O148" s="731"/>
      <c r="P148" s="666"/>
      <c r="Q148" s="667"/>
      <c r="R148" s="737"/>
    </row>
    <row r="149" spans="1:18" ht="48">
      <c r="A149" s="829">
        <v>4360</v>
      </c>
      <c r="B149" s="850" t="s">
        <v>808</v>
      </c>
      <c r="C149" s="666">
        <v>18000</v>
      </c>
      <c r="D149" s="643">
        <f t="shared" si="13"/>
        <v>18000</v>
      </c>
      <c r="E149" s="667">
        <f>SUM(H149+K149+N149+Q149)</f>
        <v>14360</v>
      </c>
      <c r="F149" s="644">
        <f>E149/D149*100</f>
        <v>79.77777777777779</v>
      </c>
      <c r="G149" s="666">
        <v>18000</v>
      </c>
      <c r="H149" s="667">
        <v>14360</v>
      </c>
      <c r="I149" s="647">
        <f t="shared" si="10"/>
        <v>79.77777777777779</v>
      </c>
      <c r="J149" s="730"/>
      <c r="K149" s="667"/>
      <c r="L149" s="649"/>
      <c r="M149" s="667"/>
      <c r="N149" s="667"/>
      <c r="O149" s="731"/>
      <c r="P149" s="666"/>
      <c r="Q149" s="667"/>
      <c r="R149" s="737"/>
    </row>
    <row r="150" spans="1:18" ht="48">
      <c r="A150" s="829">
        <v>4370</v>
      </c>
      <c r="B150" s="850" t="s">
        <v>809</v>
      </c>
      <c r="C150" s="666">
        <v>16000</v>
      </c>
      <c r="D150" s="643">
        <f t="shared" si="13"/>
        <v>16000</v>
      </c>
      <c r="E150" s="667">
        <f>SUM(H150+K150+N150+Q150)</f>
        <v>10644</v>
      </c>
      <c r="F150" s="644">
        <f>E150/D150*100</f>
        <v>66.525</v>
      </c>
      <c r="G150" s="666">
        <v>16000</v>
      </c>
      <c r="H150" s="667">
        <v>10644</v>
      </c>
      <c r="I150" s="647">
        <f t="shared" si="10"/>
        <v>66.525</v>
      </c>
      <c r="J150" s="730"/>
      <c r="K150" s="667"/>
      <c r="L150" s="649"/>
      <c r="M150" s="667"/>
      <c r="N150" s="667"/>
      <c r="O150" s="731"/>
      <c r="P150" s="666"/>
      <c r="Q150" s="667"/>
      <c r="R150" s="737"/>
    </row>
    <row r="151" spans="1:18" ht="36">
      <c r="A151" s="728">
        <v>4390</v>
      </c>
      <c r="B151" s="735" t="s">
        <v>743</v>
      </c>
      <c r="C151" s="666">
        <v>1000</v>
      </c>
      <c r="D151" s="643">
        <f t="shared" si="13"/>
        <v>1000</v>
      </c>
      <c r="E151" s="667">
        <f>SUM(H151+K151+N151+Q151)</f>
        <v>37</v>
      </c>
      <c r="F151" s="644">
        <f>E151/D151*100</f>
        <v>3.6999999999999997</v>
      </c>
      <c r="G151" s="666">
        <v>1000</v>
      </c>
      <c r="H151" s="667">
        <v>37</v>
      </c>
      <c r="I151" s="647">
        <f t="shared" si="10"/>
        <v>3.6999999999999997</v>
      </c>
      <c r="J151" s="730"/>
      <c r="K151" s="667"/>
      <c r="L151" s="649"/>
      <c r="M151" s="667"/>
      <c r="N151" s="667"/>
      <c r="O151" s="731"/>
      <c r="P151" s="666"/>
      <c r="Q151" s="667"/>
      <c r="R151" s="737"/>
    </row>
    <row r="152" spans="1:18" ht="24">
      <c r="A152" s="756">
        <v>4400</v>
      </c>
      <c r="B152" s="851" t="s">
        <v>810</v>
      </c>
      <c r="C152" s="670">
        <v>52000</v>
      </c>
      <c r="D152" s="685">
        <f t="shared" si="13"/>
        <v>52000</v>
      </c>
      <c r="E152" s="686">
        <f>SUM(H152+K152+N152+Q152)</f>
        <v>37416</v>
      </c>
      <c r="F152" s="668">
        <f>E152/D152*100</f>
        <v>71.95384615384616</v>
      </c>
      <c r="G152" s="670">
        <v>52000</v>
      </c>
      <c r="H152" s="686">
        <v>37416</v>
      </c>
      <c r="I152" s="652">
        <f t="shared" si="10"/>
        <v>71.95384615384616</v>
      </c>
      <c r="J152" s="777"/>
      <c r="K152" s="686"/>
      <c r="L152" s="690"/>
      <c r="M152" s="686"/>
      <c r="N152" s="686"/>
      <c r="O152" s="779"/>
      <c r="P152" s="670"/>
      <c r="Q152" s="686"/>
      <c r="R152" s="760"/>
    </row>
    <row r="153" spans="1:18" ht="24">
      <c r="A153" s="728">
        <v>4410</v>
      </c>
      <c r="B153" s="735" t="s">
        <v>689</v>
      </c>
      <c r="C153" s="666">
        <v>16000</v>
      </c>
      <c r="D153" s="643">
        <f t="shared" si="13"/>
        <v>13000</v>
      </c>
      <c r="E153" s="667">
        <f t="shared" si="15"/>
        <v>9470</v>
      </c>
      <c r="F153" s="644">
        <f t="shared" si="12"/>
        <v>72.84615384615385</v>
      </c>
      <c r="G153" s="666">
        <f>16000-3000</f>
        <v>13000</v>
      </c>
      <c r="H153" s="667">
        <v>9470</v>
      </c>
      <c r="I153" s="647">
        <f t="shared" si="10"/>
        <v>72.84615384615385</v>
      </c>
      <c r="J153" s="730"/>
      <c r="K153" s="667"/>
      <c r="L153" s="649"/>
      <c r="M153" s="667"/>
      <c r="N153" s="667"/>
      <c r="O153" s="731"/>
      <c r="P153" s="666"/>
      <c r="Q153" s="667"/>
      <c r="R153" s="737"/>
    </row>
    <row r="154" spans="1:18" ht="24">
      <c r="A154" s="728">
        <v>4420</v>
      </c>
      <c r="B154" s="735" t="s">
        <v>811</v>
      </c>
      <c r="C154" s="666">
        <v>1000</v>
      </c>
      <c r="D154" s="643">
        <f t="shared" si="13"/>
        <v>1000</v>
      </c>
      <c r="E154" s="667">
        <f>SUM(H154+K154+N154+Q154)</f>
        <v>0</v>
      </c>
      <c r="F154" s="644">
        <f>E154/D154*100</f>
        <v>0</v>
      </c>
      <c r="G154" s="666">
        <v>1000</v>
      </c>
      <c r="H154" s="667"/>
      <c r="I154" s="647">
        <f t="shared" si="10"/>
        <v>0</v>
      </c>
      <c r="J154" s="730"/>
      <c r="K154" s="667"/>
      <c r="L154" s="649"/>
      <c r="M154" s="667"/>
      <c r="N154" s="667"/>
      <c r="O154" s="731"/>
      <c r="P154" s="666"/>
      <c r="Q154" s="667"/>
      <c r="R154" s="737"/>
    </row>
    <row r="155" spans="1:18" ht="12.75">
      <c r="A155" s="728">
        <v>4430</v>
      </c>
      <c r="B155" s="735" t="s">
        <v>717</v>
      </c>
      <c r="C155" s="666">
        <v>18000</v>
      </c>
      <c r="D155" s="643">
        <f t="shared" si="13"/>
        <v>20400</v>
      </c>
      <c r="E155" s="667">
        <f t="shared" si="15"/>
        <v>15952</v>
      </c>
      <c r="F155" s="644">
        <f t="shared" si="12"/>
        <v>78.19607843137256</v>
      </c>
      <c r="G155" s="666">
        <f>18000+2400</f>
        <v>20400</v>
      </c>
      <c r="H155" s="667">
        <v>15952</v>
      </c>
      <c r="I155" s="647">
        <f t="shared" si="10"/>
        <v>78.19607843137256</v>
      </c>
      <c r="J155" s="730"/>
      <c r="K155" s="667"/>
      <c r="L155" s="649"/>
      <c r="M155" s="667"/>
      <c r="N155" s="667"/>
      <c r="O155" s="731"/>
      <c r="P155" s="666"/>
      <c r="Q155" s="667"/>
      <c r="R155" s="737"/>
    </row>
    <row r="156" spans="1:18" ht="12.75">
      <c r="A156" s="728">
        <v>4440</v>
      </c>
      <c r="B156" s="735" t="s">
        <v>719</v>
      </c>
      <c r="C156" s="666">
        <v>29000</v>
      </c>
      <c r="D156" s="643">
        <f t="shared" si="13"/>
        <v>29000</v>
      </c>
      <c r="E156" s="667">
        <f t="shared" si="15"/>
        <v>29000</v>
      </c>
      <c r="F156" s="644">
        <f t="shared" si="12"/>
        <v>100</v>
      </c>
      <c r="G156" s="666">
        <v>29000</v>
      </c>
      <c r="H156" s="667">
        <v>29000</v>
      </c>
      <c r="I156" s="492">
        <f t="shared" si="10"/>
        <v>100</v>
      </c>
      <c r="J156" s="730"/>
      <c r="K156" s="667"/>
      <c r="L156" s="649"/>
      <c r="M156" s="667"/>
      <c r="N156" s="667"/>
      <c r="O156" s="731"/>
      <c r="P156" s="666"/>
      <c r="Q156" s="667"/>
      <c r="R156" s="737"/>
    </row>
    <row r="157" spans="1:18" ht="24">
      <c r="A157" s="728">
        <v>4480</v>
      </c>
      <c r="B157" s="735" t="s">
        <v>812</v>
      </c>
      <c r="C157" s="666">
        <v>5000</v>
      </c>
      <c r="D157" s="643">
        <f t="shared" si="13"/>
        <v>4400</v>
      </c>
      <c r="E157" s="667">
        <f t="shared" si="15"/>
        <v>4335</v>
      </c>
      <c r="F157" s="644">
        <f t="shared" si="12"/>
        <v>98.52272727272727</v>
      </c>
      <c r="G157" s="666">
        <f>5000-600</f>
        <v>4400</v>
      </c>
      <c r="H157" s="667">
        <v>4335</v>
      </c>
      <c r="I157" s="647">
        <f t="shared" si="10"/>
        <v>98.52272727272727</v>
      </c>
      <c r="J157" s="730"/>
      <c r="K157" s="667"/>
      <c r="L157" s="649"/>
      <c r="M157" s="667"/>
      <c r="N157" s="667"/>
      <c r="O157" s="731"/>
      <c r="P157" s="666"/>
      <c r="Q157" s="667"/>
      <c r="R157" s="737"/>
    </row>
    <row r="158" spans="1:18" ht="36">
      <c r="A158" s="829">
        <v>4700</v>
      </c>
      <c r="B158" s="850" t="s">
        <v>813</v>
      </c>
      <c r="C158" s="666">
        <v>22000</v>
      </c>
      <c r="D158" s="643">
        <f t="shared" si="13"/>
        <v>17000</v>
      </c>
      <c r="E158" s="667">
        <f t="shared" si="15"/>
        <v>10495</v>
      </c>
      <c r="F158" s="644">
        <f t="shared" si="12"/>
        <v>61.73529411764706</v>
      </c>
      <c r="G158" s="666">
        <f>22000-5000</f>
        <v>17000</v>
      </c>
      <c r="H158" s="667">
        <v>10495</v>
      </c>
      <c r="I158" s="647">
        <f t="shared" si="10"/>
        <v>61.73529411764706</v>
      </c>
      <c r="J158" s="730"/>
      <c r="K158" s="667"/>
      <c r="L158" s="649"/>
      <c r="M158" s="667"/>
      <c r="N158" s="667"/>
      <c r="O158" s="731"/>
      <c r="P158" s="666"/>
      <c r="Q158" s="667"/>
      <c r="R158" s="737"/>
    </row>
    <row r="159" spans="1:18" ht="60">
      <c r="A159" s="829">
        <v>4740</v>
      </c>
      <c r="B159" s="850" t="s">
        <v>728</v>
      </c>
      <c r="C159" s="666">
        <v>6000</v>
      </c>
      <c r="D159" s="643">
        <f t="shared" si="13"/>
        <v>5000</v>
      </c>
      <c r="E159" s="667">
        <f t="shared" si="15"/>
        <v>2867</v>
      </c>
      <c r="F159" s="644">
        <f t="shared" si="12"/>
        <v>57.34</v>
      </c>
      <c r="G159" s="666">
        <f>6000-1000</f>
        <v>5000</v>
      </c>
      <c r="H159" s="667">
        <v>2867</v>
      </c>
      <c r="I159" s="647">
        <f aca="true" t="shared" si="16" ref="I159:I222">H159/G159*100</f>
        <v>57.34</v>
      </c>
      <c r="J159" s="730"/>
      <c r="K159" s="667"/>
      <c r="L159" s="649"/>
      <c r="M159" s="667"/>
      <c r="N159" s="667"/>
      <c r="O159" s="731"/>
      <c r="P159" s="666"/>
      <c r="Q159" s="667"/>
      <c r="R159" s="737"/>
    </row>
    <row r="160" spans="1:18" ht="36">
      <c r="A160" s="829">
        <v>4750</v>
      </c>
      <c r="B160" s="850" t="s">
        <v>814</v>
      </c>
      <c r="C160" s="666">
        <v>13000</v>
      </c>
      <c r="D160" s="643">
        <f t="shared" si="13"/>
        <v>27500</v>
      </c>
      <c r="E160" s="667">
        <f t="shared" si="15"/>
        <v>21931</v>
      </c>
      <c r="F160" s="644">
        <f t="shared" si="12"/>
        <v>79.74909090909091</v>
      </c>
      <c r="G160" s="666">
        <f>13000+9000+5500</f>
        <v>27500</v>
      </c>
      <c r="H160" s="667">
        <v>21931</v>
      </c>
      <c r="I160" s="647">
        <f t="shared" si="16"/>
        <v>79.74909090909091</v>
      </c>
      <c r="J160" s="730"/>
      <c r="K160" s="667"/>
      <c r="L160" s="649"/>
      <c r="M160" s="667"/>
      <c r="N160" s="667"/>
      <c r="O160" s="731"/>
      <c r="P160" s="666"/>
      <c r="Q160" s="667"/>
      <c r="R160" s="737"/>
    </row>
    <row r="161" spans="1:18" ht="35.25" customHeight="1" hidden="1">
      <c r="A161" s="728"/>
      <c r="B161" s="818"/>
      <c r="C161" s="666"/>
      <c r="D161" s="643">
        <f t="shared" si="13"/>
        <v>0</v>
      </c>
      <c r="E161" s="667">
        <f t="shared" si="15"/>
        <v>0</v>
      </c>
      <c r="F161" s="644" t="e">
        <f t="shared" si="12"/>
        <v>#DIV/0!</v>
      </c>
      <c r="G161" s="666"/>
      <c r="H161" s="667"/>
      <c r="I161" s="647" t="e">
        <f t="shared" si="16"/>
        <v>#DIV/0!</v>
      </c>
      <c r="J161" s="730"/>
      <c r="K161" s="667"/>
      <c r="L161" s="649"/>
      <c r="M161" s="667"/>
      <c r="N161" s="667"/>
      <c r="O161" s="731"/>
      <c r="P161" s="666"/>
      <c r="Q161" s="667"/>
      <c r="R161" s="737"/>
    </row>
    <row r="162" spans="1:18" ht="24">
      <c r="A162" s="728">
        <v>6050</v>
      </c>
      <c r="B162" s="818" t="s">
        <v>735</v>
      </c>
      <c r="C162" s="666">
        <v>34000</v>
      </c>
      <c r="D162" s="643">
        <f t="shared" si="13"/>
        <v>34000</v>
      </c>
      <c r="E162" s="667">
        <f t="shared" si="15"/>
        <v>33917</v>
      </c>
      <c r="F162" s="644">
        <f t="shared" si="12"/>
        <v>99.75588235294117</v>
      </c>
      <c r="G162" s="666">
        <f>34000+2000-2000</f>
        <v>34000</v>
      </c>
      <c r="H162" s="667">
        <v>33917</v>
      </c>
      <c r="I162" s="647">
        <f t="shared" si="16"/>
        <v>99.75588235294117</v>
      </c>
      <c r="J162" s="730"/>
      <c r="K162" s="667"/>
      <c r="L162" s="649"/>
      <c r="M162" s="667"/>
      <c r="N162" s="667"/>
      <c r="O162" s="731"/>
      <c r="P162" s="666"/>
      <c r="Q162" s="667"/>
      <c r="R162" s="737"/>
    </row>
    <row r="163" spans="1:18" ht="36.75" thickBot="1">
      <c r="A163" s="728">
        <v>6060</v>
      </c>
      <c r="B163" s="735" t="s">
        <v>815</v>
      </c>
      <c r="C163" s="666">
        <v>35000</v>
      </c>
      <c r="D163" s="643">
        <f t="shared" si="13"/>
        <v>31400</v>
      </c>
      <c r="E163" s="667">
        <f t="shared" si="15"/>
        <v>31400</v>
      </c>
      <c r="F163" s="644">
        <f t="shared" si="12"/>
        <v>100</v>
      </c>
      <c r="G163" s="666">
        <f>35000+700-4300</f>
        <v>31400</v>
      </c>
      <c r="H163" s="667">
        <v>31400</v>
      </c>
      <c r="I163" s="644">
        <f t="shared" si="16"/>
        <v>100</v>
      </c>
      <c r="J163" s="730"/>
      <c r="K163" s="667"/>
      <c r="L163" s="649"/>
      <c r="M163" s="667"/>
      <c r="N163" s="667"/>
      <c r="O163" s="731"/>
      <c r="P163" s="666"/>
      <c r="Q163" s="667"/>
      <c r="R163" s="737"/>
    </row>
    <row r="164" spans="1:18" ht="9.75" customHeight="1" hidden="1">
      <c r="A164" s="728">
        <v>6050</v>
      </c>
      <c r="B164" s="735" t="s">
        <v>816</v>
      </c>
      <c r="C164" s="666">
        <v>0</v>
      </c>
      <c r="D164" s="643">
        <f t="shared" si="13"/>
        <v>0</v>
      </c>
      <c r="E164" s="667">
        <f t="shared" si="15"/>
        <v>0</v>
      </c>
      <c r="F164" s="644">
        <v>0</v>
      </c>
      <c r="G164" s="666">
        <v>0</v>
      </c>
      <c r="H164" s="667">
        <v>0</v>
      </c>
      <c r="I164" s="699">
        <v>0</v>
      </c>
      <c r="J164" s="730"/>
      <c r="K164" s="667"/>
      <c r="L164" s="649"/>
      <c r="M164" s="667"/>
      <c r="N164" s="667"/>
      <c r="O164" s="731"/>
      <c r="P164" s="666"/>
      <c r="Q164" s="667"/>
      <c r="R164" s="737"/>
    </row>
    <row r="165" spans="1:18" s="723" customFormat="1" ht="19.5" customHeight="1" thickBot="1" thickTop="1">
      <c r="A165" s="718">
        <v>630</v>
      </c>
      <c r="B165" s="719" t="s">
        <v>335</v>
      </c>
      <c r="C165" s="720">
        <f>C166++C171</f>
        <v>163000</v>
      </c>
      <c r="D165" s="618">
        <f t="shared" si="13"/>
        <v>63000</v>
      </c>
      <c r="E165" s="623">
        <f>H165+K165+Q165+N165</f>
        <v>29819</v>
      </c>
      <c r="F165" s="619">
        <f t="shared" si="12"/>
        <v>47.33174603174603</v>
      </c>
      <c r="G165" s="720">
        <f>SUM(G166)+G171</f>
        <v>63000</v>
      </c>
      <c r="H165" s="623">
        <f>SUM(H166)+H171</f>
        <v>29819</v>
      </c>
      <c r="I165" s="852">
        <f t="shared" si="16"/>
        <v>47.33174603174603</v>
      </c>
      <c r="J165" s="622"/>
      <c r="K165" s="623"/>
      <c r="L165" s="721"/>
      <c r="M165" s="623"/>
      <c r="N165" s="623"/>
      <c r="O165" s="722"/>
      <c r="P165" s="720"/>
      <c r="Q165" s="623"/>
      <c r="R165" s="853"/>
    </row>
    <row r="166" spans="1:18" ht="34.5" customHeight="1" thickTop="1">
      <c r="A166" s="724">
        <v>63003</v>
      </c>
      <c r="B166" s="854" t="s">
        <v>817</v>
      </c>
      <c r="C166" s="726">
        <f>SUM(C167:C170)</f>
        <v>63000</v>
      </c>
      <c r="D166" s="727">
        <f t="shared" si="13"/>
        <v>63000</v>
      </c>
      <c r="E166" s="637">
        <f>H166+K166+Q166+N166</f>
        <v>29819</v>
      </c>
      <c r="F166" s="705">
        <f t="shared" si="12"/>
        <v>47.33174603174603</v>
      </c>
      <c r="G166" s="726">
        <f>SUM(G167:G170)</f>
        <v>63000</v>
      </c>
      <c r="H166" s="657">
        <f>SUM(H167:H170)</f>
        <v>29819</v>
      </c>
      <c r="I166" s="855">
        <f t="shared" si="16"/>
        <v>47.33174603174603</v>
      </c>
      <c r="J166" s="662"/>
      <c r="K166" s="657"/>
      <c r="L166" s="663"/>
      <c r="M166" s="657"/>
      <c r="N166" s="657"/>
      <c r="O166" s="317"/>
      <c r="P166" s="726"/>
      <c r="Q166" s="657"/>
      <c r="R166" s="842"/>
    </row>
    <row r="167" spans="1:18" ht="72">
      <c r="A167" s="728">
        <v>2820</v>
      </c>
      <c r="B167" s="735" t="s">
        <v>818</v>
      </c>
      <c r="C167" s="666">
        <v>7000</v>
      </c>
      <c r="D167" s="643">
        <f t="shared" si="13"/>
        <v>4000</v>
      </c>
      <c r="E167" s="667">
        <f aca="true" t="shared" si="17" ref="E167:E190">SUM(H167+K167+N167+Q167)</f>
        <v>2000</v>
      </c>
      <c r="F167" s="644">
        <f t="shared" si="12"/>
        <v>50</v>
      </c>
      <c r="G167" s="666">
        <f>7000-3000</f>
        <v>4000</v>
      </c>
      <c r="H167" s="667">
        <v>2000</v>
      </c>
      <c r="I167" s="644">
        <f t="shared" si="16"/>
        <v>50</v>
      </c>
      <c r="J167" s="667"/>
      <c r="K167" s="667"/>
      <c r="L167" s="649"/>
      <c r="M167" s="667"/>
      <c r="N167" s="667"/>
      <c r="O167" s="731"/>
      <c r="P167" s="666"/>
      <c r="Q167" s="667"/>
      <c r="R167" s="737"/>
    </row>
    <row r="168" spans="1:18" ht="60">
      <c r="A168" s="728">
        <v>2810</v>
      </c>
      <c r="B168" s="735" t="s">
        <v>819</v>
      </c>
      <c r="C168" s="666"/>
      <c r="D168" s="643">
        <f>G168+J168+P168+M168</f>
        <v>3000</v>
      </c>
      <c r="E168" s="667">
        <f>SUM(H168+K168+N168+Q168)</f>
        <v>3000</v>
      </c>
      <c r="F168" s="644">
        <f>E168/D168*100</f>
        <v>100</v>
      </c>
      <c r="G168" s="666">
        <v>3000</v>
      </c>
      <c r="H168" s="667">
        <v>3000</v>
      </c>
      <c r="I168" s="644">
        <f t="shared" si="16"/>
        <v>100</v>
      </c>
      <c r="J168" s="730"/>
      <c r="K168" s="667"/>
      <c r="L168" s="649"/>
      <c r="M168" s="667"/>
      <c r="N168" s="667"/>
      <c r="O168" s="731"/>
      <c r="P168" s="666"/>
      <c r="Q168" s="667"/>
      <c r="R168" s="737"/>
    </row>
    <row r="169" spans="1:18" ht="25.5" customHeight="1">
      <c r="A169" s="728">
        <v>4210</v>
      </c>
      <c r="B169" s="729" t="s">
        <v>820</v>
      </c>
      <c r="C169" s="666">
        <v>4000</v>
      </c>
      <c r="D169" s="643">
        <f>G169+J169+P169+M169</f>
        <v>4000</v>
      </c>
      <c r="E169" s="667">
        <f>SUM(H169+K169+N169+Q169)</f>
        <v>0</v>
      </c>
      <c r="F169" s="644">
        <f>E169/D169*100</f>
        <v>0</v>
      </c>
      <c r="G169" s="666">
        <v>4000</v>
      </c>
      <c r="H169" s="667"/>
      <c r="I169" s="699">
        <f t="shared" si="16"/>
        <v>0</v>
      </c>
      <c r="J169" s="730"/>
      <c r="K169" s="667"/>
      <c r="L169" s="649"/>
      <c r="M169" s="667"/>
      <c r="N169" s="667"/>
      <c r="O169" s="731"/>
      <c r="P169" s="666"/>
      <c r="Q169" s="667"/>
      <c r="R169" s="737"/>
    </row>
    <row r="170" spans="1:18" ht="24">
      <c r="A170" s="728">
        <v>4300</v>
      </c>
      <c r="B170" s="735" t="s">
        <v>821</v>
      </c>
      <c r="C170" s="666">
        <v>52000</v>
      </c>
      <c r="D170" s="643">
        <f t="shared" si="13"/>
        <v>52000</v>
      </c>
      <c r="E170" s="667">
        <f t="shared" si="17"/>
        <v>24819</v>
      </c>
      <c r="F170" s="644">
        <f t="shared" si="12"/>
        <v>47.728846153846156</v>
      </c>
      <c r="G170" s="666">
        <v>52000</v>
      </c>
      <c r="H170" s="667">
        <v>24819</v>
      </c>
      <c r="I170" s="699">
        <f t="shared" si="16"/>
        <v>47.728846153846156</v>
      </c>
      <c r="J170" s="730"/>
      <c r="K170" s="667"/>
      <c r="L170" s="649"/>
      <c r="M170" s="667"/>
      <c r="N170" s="667"/>
      <c r="O170" s="731"/>
      <c r="P170" s="666"/>
      <c r="Q170" s="667"/>
      <c r="R170" s="737"/>
    </row>
    <row r="171" spans="1:18" s="775" customFormat="1" ht="16.5" customHeight="1">
      <c r="A171" s="787">
        <v>63095</v>
      </c>
      <c r="B171" s="856" t="s">
        <v>311</v>
      </c>
      <c r="C171" s="673">
        <f>C172+C179+C191</f>
        <v>100000</v>
      </c>
      <c r="D171" s="674">
        <f t="shared" si="13"/>
        <v>0</v>
      </c>
      <c r="E171" s="674">
        <f t="shared" si="17"/>
        <v>0</v>
      </c>
      <c r="F171" s="675"/>
      <c r="G171" s="673">
        <f>G172+G179+G191</f>
        <v>0</v>
      </c>
      <c r="H171" s="674">
        <f>H172+H179+H191</f>
        <v>0</v>
      </c>
      <c r="I171" s="857"/>
      <c r="J171" s="677"/>
      <c r="K171" s="674"/>
      <c r="L171" s="663"/>
      <c r="M171" s="674"/>
      <c r="N171" s="674"/>
      <c r="O171" s="827"/>
      <c r="P171" s="673"/>
      <c r="Q171" s="674"/>
      <c r="R171" s="828"/>
    </row>
    <row r="172" spans="1:18" s="864" customFormat="1" ht="24" hidden="1">
      <c r="A172" s="858"/>
      <c r="B172" s="859" t="s">
        <v>822</v>
      </c>
      <c r="C172" s="860">
        <f>SUM(C173:C178)</f>
        <v>0</v>
      </c>
      <c r="D172" s="861">
        <f t="shared" si="13"/>
        <v>0</v>
      </c>
      <c r="E172" s="861">
        <f t="shared" si="17"/>
        <v>0</v>
      </c>
      <c r="F172" s="700"/>
      <c r="G172" s="860">
        <f>SUM(G173:G178)</f>
        <v>0</v>
      </c>
      <c r="H172" s="861">
        <f>SUM(H173:H178)</f>
        <v>0</v>
      </c>
      <c r="I172" s="699"/>
      <c r="J172" s="862"/>
      <c r="K172" s="861"/>
      <c r="L172" s="751"/>
      <c r="M172" s="861"/>
      <c r="N172" s="861"/>
      <c r="O172" s="751"/>
      <c r="P172" s="860"/>
      <c r="Q172" s="861"/>
      <c r="R172" s="863"/>
    </row>
    <row r="173" spans="1:18" s="761" customFormat="1" ht="16.5" customHeight="1" hidden="1">
      <c r="A173" s="829">
        <v>4308</v>
      </c>
      <c r="B173" s="865" t="s">
        <v>733</v>
      </c>
      <c r="C173" s="697"/>
      <c r="D173" s="643">
        <f t="shared" si="13"/>
        <v>0</v>
      </c>
      <c r="E173" s="643">
        <f t="shared" si="17"/>
        <v>0</v>
      </c>
      <c r="F173" s="866"/>
      <c r="G173" s="697"/>
      <c r="H173" s="643"/>
      <c r="I173" s="734"/>
      <c r="J173" s="648"/>
      <c r="K173" s="643"/>
      <c r="L173" s="649"/>
      <c r="M173" s="643"/>
      <c r="N173" s="643"/>
      <c r="O173" s="731"/>
      <c r="P173" s="697"/>
      <c r="Q173" s="643"/>
      <c r="R173" s="737"/>
    </row>
    <row r="174" spans="1:18" s="761" customFormat="1" ht="16.5" customHeight="1" hidden="1">
      <c r="A174" s="829">
        <v>4309</v>
      </c>
      <c r="B174" s="865" t="s">
        <v>733</v>
      </c>
      <c r="C174" s="697"/>
      <c r="D174" s="643">
        <f t="shared" si="13"/>
        <v>0</v>
      </c>
      <c r="E174" s="643">
        <f t="shared" si="17"/>
        <v>0</v>
      </c>
      <c r="F174" s="866"/>
      <c r="G174" s="697"/>
      <c r="H174" s="643"/>
      <c r="I174" s="734"/>
      <c r="J174" s="648"/>
      <c r="K174" s="643"/>
      <c r="L174" s="649"/>
      <c r="M174" s="643"/>
      <c r="N174" s="643"/>
      <c r="O174" s="731"/>
      <c r="P174" s="697"/>
      <c r="Q174" s="643"/>
      <c r="R174" s="737"/>
    </row>
    <row r="175" spans="1:18" s="761" customFormat="1" ht="16.5" customHeight="1" hidden="1">
      <c r="A175" s="829">
        <v>4418</v>
      </c>
      <c r="B175" s="865" t="s">
        <v>689</v>
      </c>
      <c r="C175" s="697"/>
      <c r="D175" s="643">
        <f t="shared" si="13"/>
        <v>0</v>
      </c>
      <c r="E175" s="643">
        <f t="shared" si="17"/>
        <v>0</v>
      </c>
      <c r="F175" s="866"/>
      <c r="G175" s="697"/>
      <c r="H175" s="643"/>
      <c r="I175" s="734"/>
      <c r="J175" s="648"/>
      <c r="K175" s="643"/>
      <c r="L175" s="649"/>
      <c r="M175" s="643"/>
      <c r="N175" s="643"/>
      <c r="O175" s="731"/>
      <c r="P175" s="697"/>
      <c r="Q175" s="643"/>
      <c r="R175" s="737"/>
    </row>
    <row r="176" spans="1:18" s="761" customFormat="1" ht="16.5" customHeight="1" hidden="1">
      <c r="A176" s="829">
        <v>4419</v>
      </c>
      <c r="B176" s="865" t="s">
        <v>689</v>
      </c>
      <c r="C176" s="697"/>
      <c r="D176" s="643">
        <f t="shared" si="13"/>
        <v>0</v>
      </c>
      <c r="E176" s="643">
        <f t="shared" si="17"/>
        <v>0</v>
      </c>
      <c r="F176" s="866"/>
      <c r="G176" s="697"/>
      <c r="H176" s="643"/>
      <c r="I176" s="734"/>
      <c r="J176" s="648"/>
      <c r="K176" s="643"/>
      <c r="L176" s="649"/>
      <c r="M176" s="643"/>
      <c r="N176" s="643"/>
      <c r="O176" s="731"/>
      <c r="P176" s="697"/>
      <c r="Q176" s="643"/>
      <c r="R176" s="737"/>
    </row>
    <row r="177" spans="1:18" s="761" customFormat="1" ht="24" hidden="1">
      <c r="A177" s="829">
        <v>4428</v>
      </c>
      <c r="B177" s="865" t="s">
        <v>823</v>
      </c>
      <c r="C177" s="697"/>
      <c r="D177" s="643">
        <f t="shared" si="13"/>
        <v>0</v>
      </c>
      <c r="E177" s="643">
        <f t="shared" si="17"/>
        <v>0</v>
      </c>
      <c r="F177" s="866"/>
      <c r="G177" s="697"/>
      <c r="H177" s="643"/>
      <c r="I177" s="734"/>
      <c r="J177" s="648"/>
      <c r="K177" s="643"/>
      <c r="L177" s="649"/>
      <c r="M177" s="643"/>
      <c r="N177" s="643"/>
      <c r="O177" s="731"/>
      <c r="P177" s="697"/>
      <c r="Q177" s="643"/>
      <c r="R177" s="737"/>
    </row>
    <row r="178" spans="1:18" s="761" customFormat="1" ht="24" hidden="1">
      <c r="A178" s="829">
        <v>4429</v>
      </c>
      <c r="B178" s="865" t="s">
        <v>823</v>
      </c>
      <c r="C178" s="697"/>
      <c r="D178" s="643">
        <f t="shared" si="13"/>
        <v>0</v>
      </c>
      <c r="E178" s="643">
        <f t="shared" si="17"/>
        <v>0</v>
      </c>
      <c r="F178" s="866"/>
      <c r="G178" s="697"/>
      <c r="H178" s="643"/>
      <c r="I178" s="734"/>
      <c r="J178" s="648"/>
      <c r="K178" s="643"/>
      <c r="L178" s="649"/>
      <c r="M178" s="643"/>
      <c r="N178" s="643"/>
      <c r="O178" s="731"/>
      <c r="P178" s="697"/>
      <c r="Q178" s="643"/>
      <c r="R178" s="737"/>
    </row>
    <row r="179" spans="1:18" s="864" customFormat="1" ht="48" hidden="1">
      <c r="A179" s="858"/>
      <c r="B179" s="859" t="s">
        <v>824</v>
      </c>
      <c r="C179" s="860">
        <f>SUM(C180:C190)</f>
        <v>0</v>
      </c>
      <c r="D179" s="861">
        <f t="shared" si="13"/>
        <v>0</v>
      </c>
      <c r="E179" s="861">
        <f t="shared" si="17"/>
        <v>0</v>
      </c>
      <c r="F179" s="644"/>
      <c r="G179" s="860">
        <f>SUM(G180:G190)</f>
        <v>0</v>
      </c>
      <c r="H179" s="861">
        <f>SUM(H180:H190)</f>
        <v>0</v>
      </c>
      <c r="I179" s="699"/>
      <c r="J179" s="862"/>
      <c r="K179" s="861"/>
      <c r="L179" s="751"/>
      <c r="M179" s="861"/>
      <c r="N179" s="861"/>
      <c r="O179" s="751"/>
      <c r="P179" s="860"/>
      <c r="Q179" s="861"/>
      <c r="R179" s="863"/>
    </row>
    <row r="180" spans="1:18" s="761" customFormat="1" ht="24" hidden="1">
      <c r="A180" s="829">
        <v>4110</v>
      </c>
      <c r="B180" s="735" t="s">
        <v>802</v>
      </c>
      <c r="C180" s="697"/>
      <c r="D180" s="643">
        <f t="shared" si="13"/>
        <v>0</v>
      </c>
      <c r="E180" s="643">
        <f t="shared" si="17"/>
        <v>0</v>
      </c>
      <c r="F180" s="866"/>
      <c r="G180" s="697"/>
      <c r="H180" s="643"/>
      <c r="I180" s="734"/>
      <c r="J180" s="648"/>
      <c r="K180" s="643"/>
      <c r="L180" s="649"/>
      <c r="M180" s="643"/>
      <c r="N180" s="643"/>
      <c r="O180" s="731"/>
      <c r="P180" s="697"/>
      <c r="Q180" s="643"/>
      <c r="R180" s="737"/>
    </row>
    <row r="181" spans="1:18" s="761" customFormat="1" ht="16.5" customHeight="1" hidden="1">
      <c r="A181" s="829">
        <v>4120</v>
      </c>
      <c r="B181" s="735" t="s">
        <v>803</v>
      </c>
      <c r="C181" s="697"/>
      <c r="D181" s="643">
        <f t="shared" si="13"/>
        <v>0</v>
      </c>
      <c r="E181" s="643">
        <f t="shared" si="17"/>
        <v>0</v>
      </c>
      <c r="F181" s="866"/>
      <c r="G181" s="697"/>
      <c r="H181" s="643"/>
      <c r="I181" s="734"/>
      <c r="J181" s="648"/>
      <c r="K181" s="643"/>
      <c r="L181" s="649"/>
      <c r="M181" s="643"/>
      <c r="N181" s="643"/>
      <c r="O181" s="731"/>
      <c r="P181" s="697"/>
      <c r="Q181" s="643"/>
      <c r="R181" s="737"/>
    </row>
    <row r="182" spans="1:18" s="761" customFormat="1" ht="24" hidden="1">
      <c r="A182" s="829">
        <v>4178</v>
      </c>
      <c r="B182" s="735" t="s">
        <v>742</v>
      </c>
      <c r="C182" s="697"/>
      <c r="D182" s="643">
        <f t="shared" si="13"/>
        <v>0</v>
      </c>
      <c r="E182" s="643">
        <f t="shared" si="17"/>
        <v>0</v>
      </c>
      <c r="F182" s="866"/>
      <c r="G182" s="697"/>
      <c r="H182" s="643"/>
      <c r="I182" s="734"/>
      <c r="J182" s="648"/>
      <c r="K182" s="643"/>
      <c r="L182" s="649"/>
      <c r="M182" s="643"/>
      <c r="N182" s="643"/>
      <c r="O182" s="731"/>
      <c r="P182" s="697"/>
      <c r="Q182" s="643"/>
      <c r="R182" s="737"/>
    </row>
    <row r="183" spans="1:18" s="761" customFormat="1" ht="24" hidden="1">
      <c r="A183" s="829">
        <v>4179</v>
      </c>
      <c r="B183" s="735" t="s">
        <v>742</v>
      </c>
      <c r="C183" s="697"/>
      <c r="D183" s="643">
        <f t="shared" si="13"/>
        <v>0</v>
      </c>
      <c r="E183" s="643">
        <f t="shared" si="17"/>
        <v>0</v>
      </c>
      <c r="F183" s="866"/>
      <c r="G183" s="697"/>
      <c r="H183" s="643"/>
      <c r="I183" s="734"/>
      <c r="J183" s="648"/>
      <c r="K183" s="643"/>
      <c r="L183" s="649"/>
      <c r="M183" s="643"/>
      <c r="N183" s="643"/>
      <c r="O183" s="731"/>
      <c r="P183" s="697"/>
      <c r="Q183" s="643"/>
      <c r="R183" s="737"/>
    </row>
    <row r="184" spans="1:18" s="761" customFormat="1" ht="24" hidden="1">
      <c r="A184" s="829">
        <v>4218</v>
      </c>
      <c r="B184" s="729" t="s">
        <v>707</v>
      </c>
      <c r="C184" s="697"/>
      <c r="D184" s="643">
        <f t="shared" si="13"/>
        <v>0</v>
      </c>
      <c r="E184" s="643">
        <f t="shared" si="17"/>
        <v>0</v>
      </c>
      <c r="F184" s="866"/>
      <c r="G184" s="697"/>
      <c r="H184" s="643"/>
      <c r="I184" s="734"/>
      <c r="J184" s="648"/>
      <c r="K184" s="643"/>
      <c r="L184" s="649"/>
      <c r="M184" s="643"/>
      <c r="N184" s="643"/>
      <c r="O184" s="731"/>
      <c r="P184" s="697"/>
      <c r="Q184" s="643"/>
      <c r="R184" s="737"/>
    </row>
    <row r="185" spans="1:18" s="761" customFormat="1" ht="24" hidden="1">
      <c r="A185" s="829">
        <v>4219</v>
      </c>
      <c r="B185" s="729" t="s">
        <v>707</v>
      </c>
      <c r="C185" s="697"/>
      <c r="D185" s="643">
        <f aca="true" t="shared" si="18" ref="D185:E252">G185+J185+P185+M185</f>
        <v>0</v>
      </c>
      <c r="E185" s="643">
        <f t="shared" si="17"/>
        <v>0</v>
      </c>
      <c r="F185" s="866"/>
      <c r="G185" s="697"/>
      <c r="H185" s="643"/>
      <c r="I185" s="734"/>
      <c r="J185" s="648"/>
      <c r="K185" s="643"/>
      <c r="L185" s="649"/>
      <c r="M185" s="643"/>
      <c r="N185" s="643"/>
      <c r="O185" s="731"/>
      <c r="P185" s="697"/>
      <c r="Q185" s="643"/>
      <c r="R185" s="737"/>
    </row>
    <row r="186" spans="1:18" s="761" customFormat="1" ht="16.5" customHeight="1" hidden="1">
      <c r="A186" s="829">
        <v>4300</v>
      </c>
      <c r="B186" s="865" t="s">
        <v>733</v>
      </c>
      <c r="C186" s="697"/>
      <c r="D186" s="643">
        <f t="shared" si="18"/>
        <v>0</v>
      </c>
      <c r="E186" s="643">
        <f t="shared" si="17"/>
        <v>0</v>
      </c>
      <c r="F186" s="866"/>
      <c r="G186" s="697"/>
      <c r="H186" s="643"/>
      <c r="I186" s="734"/>
      <c r="J186" s="648"/>
      <c r="K186" s="643"/>
      <c r="L186" s="649"/>
      <c r="M186" s="643"/>
      <c r="N186" s="643"/>
      <c r="O186" s="731"/>
      <c r="P186" s="697"/>
      <c r="Q186" s="643"/>
      <c r="R186" s="737"/>
    </row>
    <row r="187" spans="1:18" s="761" customFormat="1" ht="16.5" customHeight="1" hidden="1">
      <c r="A187" s="829">
        <v>4308</v>
      </c>
      <c r="B187" s="865" t="s">
        <v>733</v>
      </c>
      <c r="C187" s="697"/>
      <c r="D187" s="643">
        <f t="shared" si="18"/>
        <v>0</v>
      </c>
      <c r="E187" s="643">
        <f>SUM(H187+K187+N187+Q187)</f>
        <v>0</v>
      </c>
      <c r="F187" s="866"/>
      <c r="G187" s="697"/>
      <c r="H187" s="643"/>
      <c r="I187" s="734"/>
      <c r="J187" s="648"/>
      <c r="K187" s="643"/>
      <c r="L187" s="649"/>
      <c r="M187" s="643"/>
      <c r="N187" s="643"/>
      <c r="O187" s="731"/>
      <c r="P187" s="697"/>
      <c r="Q187" s="643"/>
      <c r="R187" s="737"/>
    </row>
    <row r="188" spans="1:18" s="761" customFormat="1" ht="16.5" customHeight="1" hidden="1">
      <c r="A188" s="829">
        <v>4309</v>
      </c>
      <c r="B188" s="865" t="s">
        <v>733</v>
      </c>
      <c r="C188" s="697"/>
      <c r="D188" s="643">
        <f t="shared" si="18"/>
        <v>0</v>
      </c>
      <c r="E188" s="643">
        <f>SUM(H188+K188+N188+Q188)</f>
        <v>0</v>
      </c>
      <c r="F188" s="866"/>
      <c r="G188" s="697"/>
      <c r="H188" s="643"/>
      <c r="I188" s="734"/>
      <c r="J188" s="648"/>
      <c r="K188" s="643"/>
      <c r="L188" s="649"/>
      <c r="M188" s="643"/>
      <c r="N188" s="643"/>
      <c r="O188" s="731"/>
      <c r="P188" s="697"/>
      <c r="Q188" s="643"/>
      <c r="R188" s="737"/>
    </row>
    <row r="189" spans="1:18" s="761" customFormat="1" ht="36" hidden="1">
      <c r="A189" s="829">
        <v>4388</v>
      </c>
      <c r="B189" s="865" t="s">
        <v>825</v>
      </c>
      <c r="C189" s="697"/>
      <c r="D189" s="643">
        <f t="shared" si="18"/>
        <v>0</v>
      </c>
      <c r="E189" s="643">
        <f t="shared" si="17"/>
        <v>0</v>
      </c>
      <c r="F189" s="866"/>
      <c r="G189" s="697"/>
      <c r="H189" s="643"/>
      <c r="I189" s="734"/>
      <c r="J189" s="648"/>
      <c r="K189" s="643"/>
      <c r="L189" s="649"/>
      <c r="M189" s="643"/>
      <c r="N189" s="643"/>
      <c r="O189" s="731"/>
      <c r="P189" s="697"/>
      <c r="Q189" s="643"/>
      <c r="R189" s="737"/>
    </row>
    <row r="190" spans="1:18" s="761" customFormat="1" ht="36" hidden="1">
      <c r="A190" s="829">
        <v>4389</v>
      </c>
      <c r="B190" s="865" t="s">
        <v>825</v>
      </c>
      <c r="C190" s="697"/>
      <c r="D190" s="643">
        <f t="shared" si="18"/>
        <v>0</v>
      </c>
      <c r="E190" s="643">
        <f t="shared" si="17"/>
        <v>0</v>
      </c>
      <c r="F190" s="866"/>
      <c r="G190" s="697"/>
      <c r="H190" s="643"/>
      <c r="I190" s="734"/>
      <c r="J190" s="648"/>
      <c r="K190" s="643"/>
      <c r="L190" s="649"/>
      <c r="M190" s="643"/>
      <c r="N190" s="643"/>
      <c r="O190" s="731"/>
      <c r="P190" s="697"/>
      <c r="Q190" s="643"/>
      <c r="R190" s="737"/>
    </row>
    <row r="191" spans="1:18" s="864" customFormat="1" ht="36">
      <c r="A191" s="858"/>
      <c r="B191" s="859" t="s">
        <v>826</v>
      </c>
      <c r="C191" s="860">
        <f>SUM(C192)</f>
        <v>100000</v>
      </c>
      <c r="D191" s="861">
        <f t="shared" si="18"/>
        <v>0</v>
      </c>
      <c r="E191" s="861">
        <f>SUM(H191+K191+N191+Q191)</f>
        <v>0</v>
      </c>
      <c r="F191" s="700"/>
      <c r="G191" s="860">
        <f>SUM(G192)</f>
        <v>0</v>
      </c>
      <c r="H191" s="861">
        <f>SUM(H192)</f>
        <v>0</v>
      </c>
      <c r="I191" s="734"/>
      <c r="J191" s="862"/>
      <c r="K191" s="861"/>
      <c r="L191" s="751"/>
      <c r="M191" s="861"/>
      <c r="N191" s="861"/>
      <c r="O191" s="751"/>
      <c r="P191" s="860"/>
      <c r="Q191" s="861"/>
      <c r="R191" s="863"/>
    </row>
    <row r="192" spans="1:18" s="761" customFormat="1" ht="72.75" thickBot="1">
      <c r="A192" s="829">
        <v>2710</v>
      </c>
      <c r="B192" s="865" t="s">
        <v>738</v>
      </c>
      <c r="C192" s="697">
        <v>100000</v>
      </c>
      <c r="D192" s="643">
        <f t="shared" si="18"/>
        <v>0</v>
      </c>
      <c r="E192" s="643">
        <f>SUM(H192+K192+N192+Q192)</f>
        <v>0</v>
      </c>
      <c r="F192" s="866"/>
      <c r="G192" s="697">
        <f>100000-100000</f>
        <v>0</v>
      </c>
      <c r="H192" s="643"/>
      <c r="I192" s="734"/>
      <c r="J192" s="648"/>
      <c r="K192" s="643"/>
      <c r="L192" s="649"/>
      <c r="M192" s="643"/>
      <c r="N192" s="643"/>
      <c r="O192" s="731"/>
      <c r="P192" s="697"/>
      <c r="Q192" s="643"/>
      <c r="R192" s="737"/>
    </row>
    <row r="193" spans="1:18" ht="24.75" customHeight="1" thickBot="1" thickTop="1">
      <c r="A193" s="718">
        <v>700</v>
      </c>
      <c r="B193" s="719" t="s">
        <v>341</v>
      </c>
      <c r="C193" s="720">
        <f>C194+C197+C217+C215</f>
        <v>19736040</v>
      </c>
      <c r="D193" s="618">
        <f t="shared" si="18"/>
        <v>22892840</v>
      </c>
      <c r="E193" s="623">
        <f>H193+K193+Q193+N193</f>
        <v>13213220</v>
      </c>
      <c r="F193" s="619">
        <f aca="true" t="shared" si="19" ref="F193:F255">E193/D193*100</f>
        <v>57.717696886886905</v>
      </c>
      <c r="G193" s="720">
        <f>G194+G197+G217+G215</f>
        <v>22854840</v>
      </c>
      <c r="H193" s="623">
        <f>H194+H197+H217+H215</f>
        <v>13201684</v>
      </c>
      <c r="I193" s="621">
        <f t="shared" si="16"/>
        <v>57.76318714110447</v>
      </c>
      <c r="J193" s="623"/>
      <c r="K193" s="623"/>
      <c r="L193" s="721"/>
      <c r="M193" s="623"/>
      <c r="N193" s="623"/>
      <c r="O193" s="722"/>
      <c r="P193" s="720">
        <f>P194+P197+P217</f>
        <v>38000</v>
      </c>
      <c r="Q193" s="623">
        <f>Q194+Q197+Q217</f>
        <v>11536</v>
      </c>
      <c r="R193" s="621">
        <f>Q193/P193*100</f>
        <v>30.357894736842105</v>
      </c>
    </row>
    <row r="194" spans="1:18" s="723" customFormat="1" ht="24.75" thickTop="1">
      <c r="A194" s="867">
        <v>70001</v>
      </c>
      <c r="B194" s="868" t="s">
        <v>827</v>
      </c>
      <c r="C194" s="869">
        <f>SUM(C195:C196)</f>
        <v>8000000</v>
      </c>
      <c r="D194" s="727">
        <f t="shared" si="18"/>
        <v>9800000</v>
      </c>
      <c r="E194" s="631">
        <f aca="true" t="shared" si="20" ref="E194:E228">SUM(H194+K194+N194+Q194)</f>
        <v>6912475</v>
      </c>
      <c r="F194" s="705">
        <f t="shared" si="19"/>
        <v>70.53545918367347</v>
      </c>
      <c r="G194" s="870">
        <f>SUM(G195:G196)</f>
        <v>9800000</v>
      </c>
      <c r="H194" s="637">
        <f>SUM(H195:H196)</f>
        <v>6912475</v>
      </c>
      <c r="I194" s="707">
        <f t="shared" si="16"/>
        <v>70.53545918367347</v>
      </c>
      <c r="J194" s="871"/>
      <c r="K194" s="872"/>
      <c r="L194" s="873"/>
      <c r="M194" s="871"/>
      <c r="N194" s="871"/>
      <c r="O194" s="786"/>
      <c r="P194" s="869"/>
      <c r="Q194" s="871"/>
      <c r="R194" s="770"/>
    </row>
    <row r="195" spans="1:18" s="761" customFormat="1" ht="36">
      <c r="A195" s="756">
        <v>2650</v>
      </c>
      <c r="B195" s="757" t="s">
        <v>828</v>
      </c>
      <c r="C195" s="684">
        <v>6000000</v>
      </c>
      <c r="D195" s="685">
        <f t="shared" si="18"/>
        <v>8800000</v>
      </c>
      <c r="E195" s="686">
        <f t="shared" si="20"/>
        <v>6600397</v>
      </c>
      <c r="F195" s="668">
        <f t="shared" si="19"/>
        <v>75.00451136363637</v>
      </c>
      <c r="G195" s="684">
        <f>6000000+2800000</f>
        <v>8800000</v>
      </c>
      <c r="H195" s="685">
        <v>6600397</v>
      </c>
      <c r="I195" s="652">
        <f t="shared" si="16"/>
        <v>75.00451136363637</v>
      </c>
      <c r="J195" s="689"/>
      <c r="K195" s="689"/>
      <c r="L195" s="690"/>
      <c r="M195" s="685"/>
      <c r="N195" s="685"/>
      <c r="O195" s="779"/>
      <c r="P195" s="684"/>
      <c r="Q195" s="685"/>
      <c r="R195" s="760"/>
    </row>
    <row r="196" spans="1:18" ht="84">
      <c r="A196" s="874">
        <v>6210</v>
      </c>
      <c r="B196" s="875" t="s">
        <v>829</v>
      </c>
      <c r="C196" s="666">
        <v>2000000</v>
      </c>
      <c r="D196" s="643">
        <f t="shared" si="18"/>
        <v>1000000</v>
      </c>
      <c r="E196" s="667">
        <f t="shared" si="20"/>
        <v>312078</v>
      </c>
      <c r="F196" s="644">
        <f t="shared" si="19"/>
        <v>31.207800000000002</v>
      </c>
      <c r="G196" s="666">
        <f>2000000-1000000</f>
        <v>1000000</v>
      </c>
      <c r="H196" s="667">
        <v>312078</v>
      </c>
      <c r="I196" s="647">
        <f t="shared" si="16"/>
        <v>31.207800000000002</v>
      </c>
      <c r="J196" s="730"/>
      <c r="K196" s="667"/>
      <c r="L196" s="649"/>
      <c r="M196" s="667"/>
      <c r="N196" s="667"/>
      <c r="O196" s="731"/>
      <c r="P196" s="666"/>
      <c r="Q196" s="667"/>
      <c r="R196" s="737"/>
    </row>
    <row r="197" spans="1:18" s="723" customFormat="1" ht="24.75" customHeight="1">
      <c r="A197" s="724">
        <v>70005</v>
      </c>
      <c r="B197" s="854" t="s">
        <v>343</v>
      </c>
      <c r="C197" s="726">
        <f>SUM(C198:C214)</f>
        <v>2846000</v>
      </c>
      <c r="D197" s="674">
        <f t="shared" si="18"/>
        <v>2824600</v>
      </c>
      <c r="E197" s="657">
        <f>H197+K197+Q197+N197</f>
        <v>1175625</v>
      </c>
      <c r="F197" s="658">
        <f t="shared" si="19"/>
        <v>41.62093747787297</v>
      </c>
      <c r="G197" s="726">
        <f>SUM(G198:G214)</f>
        <v>2786600</v>
      </c>
      <c r="H197" s="657">
        <f>SUM(H198:H214)</f>
        <v>1164089</v>
      </c>
      <c r="I197" s="665">
        <f t="shared" si="16"/>
        <v>41.774528098758346</v>
      </c>
      <c r="J197" s="662"/>
      <c r="K197" s="657"/>
      <c r="L197" s="663"/>
      <c r="M197" s="657"/>
      <c r="N197" s="657"/>
      <c r="O197" s="317"/>
      <c r="P197" s="726">
        <f>SUM(P198:P214)</f>
        <v>38000</v>
      </c>
      <c r="Q197" s="657">
        <f>SUM(Q198:Q214)</f>
        <v>11536</v>
      </c>
      <c r="R197" s="665">
        <f>Q197/P197*100</f>
        <v>30.357894736842105</v>
      </c>
    </row>
    <row r="198" spans="1:18" ht="24">
      <c r="A198" s="728">
        <v>4300</v>
      </c>
      <c r="B198" s="735" t="s">
        <v>830</v>
      </c>
      <c r="C198" s="670">
        <v>5000</v>
      </c>
      <c r="D198" s="685">
        <f t="shared" si="18"/>
        <v>5000</v>
      </c>
      <c r="E198" s="686">
        <f t="shared" si="20"/>
        <v>0</v>
      </c>
      <c r="F198" s="668">
        <f t="shared" si="19"/>
        <v>0</v>
      </c>
      <c r="G198" s="670">
        <v>5000</v>
      </c>
      <c r="H198" s="686"/>
      <c r="I198" s="652">
        <f t="shared" si="16"/>
        <v>0</v>
      </c>
      <c r="J198" s="777"/>
      <c r="K198" s="686"/>
      <c r="L198" s="690"/>
      <c r="M198" s="686"/>
      <c r="N198" s="686"/>
      <c r="O198" s="779"/>
      <c r="P198" s="670"/>
      <c r="Q198" s="686"/>
      <c r="R198" s="760"/>
    </row>
    <row r="199" spans="1:18" ht="29.25" customHeight="1" hidden="1">
      <c r="A199" s="728">
        <v>4300</v>
      </c>
      <c r="B199" s="735" t="s">
        <v>831</v>
      </c>
      <c r="C199" s="666"/>
      <c r="D199" s="643">
        <f t="shared" si="18"/>
        <v>0</v>
      </c>
      <c r="E199" s="667">
        <f t="shared" si="20"/>
        <v>0</v>
      </c>
      <c r="F199" s="492" t="e">
        <f t="shared" si="19"/>
        <v>#DIV/0!</v>
      </c>
      <c r="G199" s="666"/>
      <c r="H199" s="667"/>
      <c r="I199" s="647"/>
      <c r="J199" s="730"/>
      <c r="K199" s="667"/>
      <c r="L199" s="649"/>
      <c r="M199" s="667"/>
      <c r="N199" s="667"/>
      <c r="O199" s="731"/>
      <c r="P199" s="666"/>
      <c r="Q199" s="667"/>
      <c r="R199" s="737"/>
    </row>
    <row r="200" spans="1:18" ht="24.75" customHeight="1" hidden="1">
      <c r="A200" s="728">
        <v>4210</v>
      </c>
      <c r="B200" s="729" t="s">
        <v>707</v>
      </c>
      <c r="C200" s="666"/>
      <c r="D200" s="643">
        <f t="shared" si="18"/>
        <v>0</v>
      </c>
      <c r="E200" s="667">
        <f t="shared" si="20"/>
        <v>0</v>
      </c>
      <c r="F200" s="492" t="e">
        <f t="shared" si="19"/>
        <v>#DIV/0!</v>
      </c>
      <c r="G200" s="666"/>
      <c r="H200" s="667"/>
      <c r="I200" s="647"/>
      <c r="J200" s="730"/>
      <c r="K200" s="667"/>
      <c r="L200" s="649"/>
      <c r="M200" s="667"/>
      <c r="N200" s="667"/>
      <c r="O200" s="731"/>
      <c r="P200" s="666"/>
      <c r="Q200" s="667"/>
      <c r="R200" s="647"/>
    </row>
    <row r="201" spans="1:18" ht="24.75" customHeight="1" hidden="1">
      <c r="A201" s="728">
        <v>4170</v>
      </c>
      <c r="B201" s="729" t="s">
        <v>742</v>
      </c>
      <c r="C201" s="666"/>
      <c r="D201" s="643">
        <f t="shared" si="18"/>
        <v>0</v>
      </c>
      <c r="E201" s="667">
        <f t="shared" si="20"/>
        <v>0</v>
      </c>
      <c r="F201" s="492" t="e">
        <f t="shared" si="19"/>
        <v>#DIV/0!</v>
      </c>
      <c r="G201" s="666"/>
      <c r="H201" s="667"/>
      <c r="I201" s="647"/>
      <c r="J201" s="730"/>
      <c r="K201" s="667"/>
      <c r="L201" s="649"/>
      <c r="M201" s="667"/>
      <c r="N201" s="667"/>
      <c r="O201" s="731"/>
      <c r="P201" s="666"/>
      <c r="Q201" s="667"/>
      <c r="R201" s="647"/>
    </row>
    <row r="202" spans="1:18" ht="37.5" customHeight="1" hidden="1">
      <c r="A202" s="728">
        <v>4240</v>
      </c>
      <c r="B202" s="735" t="s">
        <v>832</v>
      </c>
      <c r="C202" s="666"/>
      <c r="D202" s="643">
        <f t="shared" si="18"/>
        <v>0</v>
      </c>
      <c r="E202" s="667">
        <f t="shared" si="20"/>
        <v>0</v>
      </c>
      <c r="F202" s="492" t="e">
        <f t="shared" si="19"/>
        <v>#DIV/0!</v>
      </c>
      <c r="G202" s="666"/>
      <c r="H202" s="667"/>
      <c r="I202" s="647"/>
      <c r="J202" s="730"/>
      <c r="K202" s="667"/>
      <c r="L202" s="649"/>
      <c r="M202" s="667"/>
      <c r="N202" s="667"/>
      <c r="O202" s="731"/>
      <c r="P202" s="666"/>
      <c r="Q202" s="667"/>
      <c r="R202" s="647"/>
    </row>
    <row r="203" spans="1:18" ht="48">
      <c r="A203" s="728">
        <v>4300</v>
      </c>
      <c r="B203" s="735" t="s">
        <v>833</v>
      </c>
      <c r="C203" s="666">
        <v>858000</v>
      </c>
      <c r="D203" s="643">
        <f t="shared" si="18"/>
        <v>808600</v>
      </c>
      <c r="E203" s="667">
        <f t="shared" si="20"/>
        <v>322674</v>
      </c>
      <c r="F203" s="644">
        <f t="shared" si="19"/>
        <v>39.90526836507544</v>
      </c>
      <c r="G203" s="666">
        <f>850000-20200-131200+149000+1000-47000</f>
        <v>801600</v>
      </c>
      <c r="H203" s="667">
        <v>320233</v>
      </c>
      <c r="I203" s="647">
        <f t="shared" si="16"/>
        <v>39.94922654690619</v>
      </c>
      <c r="J203" s="730">
        <f>2730-2730</f>
        <v>0</v>
      </c>
      <c r="K203" s="667"/>
      <c r="L203" s="649"/>
      <c r="M203" s="667"/>
      <c r="N203" s="667"/>
      <c r="O203" s="731"/>
      <c r="P203" s="666">
        <f>8000-1000</f>
        <v>7000</v>
      </c>
      <c r="Q203" s="667">
        <v>2441</v>
      </c>
      <c r="R203" s="647">
        <f>Q203/P203*100</f>
        <v>34.87142857142857</v>
      </c>
    </row>
    <row r="204" spans="1:18" ht="36">
      <c r="A204" s="728">
        <v>4390</v>
      </c>
      <c r="B204" s="865" t="s">
        <v>834</v>
      </c>
      <c r="C204" s="666">
        <v>337300</v>
      </c>
      <c r="D204" s="643">
        <f t="shared" si="18"/>
        <v>470158</v>
      </c>
      <c r="E204" s="667">
        <f t="shared" si="20"/>
        <v>170612</v>
      </c>
      <c r="F204" s="644">
        <f t="shared" si="19"/>
        <v>36.288226511087764</v>
      </c>
      <c r="G204" s="666">
        <f>320000+130000+6858-6858</f>
        <v>450000</v>
      </c>
      <c r="H204" s="643">
        <v>169683</v>
      </c>
      <c r="I204" s="647">
        <f t="shared" si="16"/>
        <v>37.70733333333333</v>
      </c>
      <c r="J204" s="730"/>
      <c r="K204" s="667"/>
      <c r="L204" s="649"/>
      <c r="M204" s="667"/>
      <c r="N204" s="667"/>
      <c r="O204" s="731"/>
      <c r="P204" s="666">
        <f>17300-4000+6858</f>
        <v>20158</v>
      </c>
      <c r="Q204" s="667">
        <v>929</v>
      </c>
      <c r="R204" s="647">
        <f>Q204/P204*100</f>
        <v>4.608592122234349</v>
      </c>
    </row>
    <row r="205" spans="1:18" ht="14.25" customHeight="1">
      <c r="A205" s="728">
        <v>4430</v>
      </c>
      <c r="B205" s="735" t="s">
        <v>717</v>
      </c>
      <c r="C205" s="666">
        <v>50000</v>
      </c>
      <c r="D205" s="643">
        <f t="shared" si="18"/>
        <v>152642</v>
      </c>
      <c r="E205" s="667">
        <f t="shared" si="20"/>
        <v>86708</v>
      </c>
      <c r="F205" s="644">
        <f t="shared" si="19"/>
        <v>56.80481125771413</v>
      </c>
      <c r="G205" s="666">
        <f>50000-858+858+40000+59500</f>
        <v>149500</v>
      </c>
      <c r="H205" s="667">
        <v>83567</v>
      </c>
      <c r="I205" s="647">
        <f t="shared" si="16"/>
        <v>55.897658862876256</v>
      </c>
      <c r="J205" s="730">
        <f>-3000+3000</f>
        <v>0</v>
      </c>
      <c r="K205" s="667"/>
      <c r="L205" s="649"/>
      <c r="M205" s="667"/>
      <c r="N205" s="667"/>
      <c r="O205" s="731"/>
      <c r="P205" s="666">
        <f>4000-858</f>
        <v>3142</v>
      </c>
      <c r="Q205" s="667">
        <v>3141</v>
      </c>
      <c r="R205" s="492">
        <f>Q205/P205*100</f>
        <v>99.96817313812858</v>
      </c>
    </row>
    <row r="206" spans="1:18" ht="14.25" customHeight="1">
      <c r="A206" s="728">
        <v>4480</v>
      </c>
      <c r="B206" s="735" t="s">
        <v>426</v>
      </c>
      <c r="C206" s="666">
        <v>17500</v>
      </c>
      <c r="D206" s="643">
        <f t="shared" si="18"/>
        <v>7000</v>
      </c>
      <c r="E206" s="667">
        <f>SUM(H206+K206+N206+Q206)</f>
        <v>6283</v>
      </c>
      <c r="F206" s="644">
        <f t="shared" si="19"/>
        <v>89.75714285714285</v>
      </c>
      <c r="G206" s="666">
        <f>13000-1000-1000+1000-8500</f>
        <v>3500</v>
      </c>
      <c r="H206" s="667">
        <v>3482</v>
      </c>
      <c r="I206" s="647">
        <f t="shared" si="16"/>
        <v>99.4857142857143</v>
      </c>
      <c r="J206" s="730">
        <f>270-270</f>
        <v>0</v>
      </c>
      <c r="K206" s="667"/>
      <c r="L206" s="649"/>
      <c r="M206" s="667"/>
      <c r="N206" s="667"/>
      <c r="O206" s="731"/>
      <c r="P206" s="666">
        <f>4500-1000</f>
        <v>3500</v>
      </c>
      <c r="Q206" s="667">
        <v>2801</v>
      </c>
      <c r="R206" s="647">
        <f>Q206/P206*100</f>
        <v>80.02857142857142</v>
      </c>
    </row>
    <row r="207" spans="1:18" ht="48">
      <c r="A207" s="709">
        <v>4500</v>
      </c>
      <c r="B207" s="776" t="s">
        <v>835</v>
      </c>
      <c r="C207" s="670">
        <v>200</v>
      </c>
      <c r="D207" s="685">
        <f t="shared" si="18"/>
        <v>200</v>
      </c>
      <c r="E207" s="686">
        <f>SUM(H207+K207+N207+Q207)</f>
        <v>144</v>
      </c>
      <c r="F207" s="668">
        <f t="shared" si="19"/>
        <v>72</v>
      </c>
      <c r="G207" s="670"/>
      <c r="H207" s="686"/>
      <c r="I207" s="652"/>
      <c r="J207" s="777"/>
      <c r="K207" s="686"/>
      <c r="L207" s="690"/>
      <c r="M207" s="686"/>
      <c r="N207" s="686"/>
      <c r="O207" s="779"/>
      <c r="P207" s="670">
        <v>200</v>
      </c>
      <c r="Q207" s="686">
        <v>144</v>
      </c>
      <c r="R207" s="652">
        <f>Q207/P207*100</f>
        <v>72</v>
      </c>
    </row>
    <row r="208" spans="1:18" ht="24" hidden="1">
      <c r="A208" s="728">
        <v>4520</v>
      </c>
      <c r="B208" s="735" t="s">
        <v>836</v>
      </c>
      <c r="C208" s="666"/>
      <c r="D208" s="643">
        <f t="shared" si="18"/>
        <v>0</v>
      </c>
      <c r="E208" s="667">
        <f>SUM(H208+K208+N208+Q208)</f>
        <v>0</v>
      </c>
      <c r="F208" s="644" t="e">
        <f t="shared" si="19"/>
        <v>#DIV/0!</v>
      </c>
      <c r="G208" s="666"/>
      <c r="H208" s="667"/>
      <c r="I208" s="647"/>
      <c r="J208" s="730"/>
      <c r="K208" s="667"/>
      <c r="L208" s="649"/>
      <c r="M208" s="667"/>
      <c r="N208" s="667"/>
      <c r="O208" s="731"/>
      <c r="P208" s="666"/>
      <c r="Q208" s="667"/>
      <c r="R208" s="647"/>
    </row>
    <row r="209" spans="1:18" ht="24" hidden="1">
      <c r="A209" s="728">
        <v>4530</v>
      </c>
      <c r="B209" s="735" t="s">
        <v>837</v>
      </c>
      <c r="C209" s="666"/>
      <c r="D209" s="643">
        <f>G209+J209+P209+M209</f>
        <v>0</v>
      </c>
      <c r="E209" s="667">
        <f>SUM(H209+K209+N209+Q209)</f>
        <v>0</v>
      </c>
      <c r="F209" s="644" t="e">
        <f t="shared" si="19"/>
        <v>#DIV/0!</v>
      </c>
      <c r="G209" s="666"/>
      <c r="H209" s="667"/>
      <c r="I209" s="647" t="e">
        <f t="shared" si="16"/>
        <v>#DIV/0!</v>
      </c>
      <c r="J209" s="730"/>
      <c r="K209" s="667"/>
      <c r="L209" s="649"/>
      <c r="M209" s="667"/>
      <c r="N209" s="667"/>
      <c r="O209" s="731"/>
      <c r="P209" s="666"/>
      <c r="Q209" s="667"/>
      <c r="R209" s="647"/>
    </row>
    <row r="210" spans="1:18" ht="36">
      <c r="A210" s="728">
        <v>4590</v>
      </c>
      <c r="B210" s="735" t="s">
        <v>838</v>
      </c>
      <c r="C210" s="666">
        <v>170000</v>
      </c>
      <c r="D210" s="643">
        <f t="shared" si="18"/>
        <v>110000</v>
      </c>
      <c r="E210" s="667">
        <f>SUM(H210+K210+N210+Q210)</f>
        <v>0</v>
      </c>
      <c r="F210" s="644">
        <f t="shared" si="19"/>
        <v>0</v>
      </c>
      <c r="G210" s="666">
        <f>170000-20000-40000</f>
        <v>110000</v>
      </c>
      <c r="H210" s="667"/>
      <c r="I210" s="647">
        <f t="shared" si="16"/>
        <v>0</v>
      </c>
      <c r="J210" s="730"/>
      <c r="K210" s="667"/>
      <c r="L210" s="649"/>
      <c r="M210" s="667"/>
      <c r="N210" s="667"/>
      <c r="O210" s="731"/>
      <c r="P210" s="666"/>
      <c r="Q210" s="667"/>
      <c r="R210" s="647"/>
    </row>
    <row r="211" spans="1:18" ht="35.25" customHeight="1">
      <c r="A211" s="728">
        <v>4600</v>
      </c>
      <c r="B211" s="735" t="s">
        <v>839</v>
      </c>
      <c r="C211" s="666">
        <v>600000</v>
      </c>
      <c r="D211" s="643">
        <f t="shared" si="18"/>
        <v>450000</v>
      </c>
      <c r="E211" s="667">
        <f t="shared" si="20"/>
        <v>140931</v>
      </c>
      <c r="F211" s="644">
        <f t="shared" si="19"/>
        <v>31.318</v>
      </c>
      <c r="G211" s="666">
        <f>600000-150000</f>
        <v>450000</v>
      </c>
      <c r="H211" s="667">
        <f>140932-1</f>
        <v>140931</v>
      </c>
      <c r="I211" s="647">
        <f t="shared" si="16"/>
        <v>31.318</v>
      </c>
      <c r="J211" s="730"/>
      <c r="K211" s="667"/>
      <c r="L211" s="649"/>
      <c r="M211" s="667"/>
      <c r="N211" s="667"/>
      <c r="O211" s="731"/>
      <c r="P211" s="666"/>
      <c r="Q211" s="667"/>
      <c r="R211" s="647"/>
    </row>
    <row r="212" spans="1:18" ht="36">
      <c r="A212" s="728">
        <v>4610</v>
      </c>
      <c r="B212" s="735" t="s">
        <v>840</v>
      </c>
      <c r="C212" s="666">
        <v>8000</v>
      </c>
      <c r="D212" s="643">
        <f t="shared" si="18"/>
        <v>5000</v>
      </c>
      <c r="E212" s="667">
        <f>SUM(H212+K212+N212+Q212)</f>
        <v>2110</v>
      </c>
      <c r="F212" s="644">
        <f t="shared" si="19"/>
        <v>42.199999999999996</v>
      </c>
      <c r="G212" s="666">
        <f>1000-4000+4000</f>
        <v>1000</v>
      </c>
      <c r="H212" s="667">
        <v>30</v>
      </c>
      <c r="I212" s="647">
        <f t="shared" si="16"/>
        <v>3</v>
      </c>
      <c r="J212" s="730"/>
      <c r="K212" s="667"/>
      <c r="L212" s="649"/>
      <c r="M212" s="667"/>
      <c r="N212" s="667"/>
      <c r="O212" s="731"/>
      <c r="P212" s="666">
        <f>8000-4000</f>
        <v>4000</v>
      </c>
      <c r="Q212" s="667">
        <v>2080</v>
      </c>
      <c r="R212" s="647">
        <f>Q212/P212*100</f>
        <v>52</v>
      </c>
    </row>
    <row r="213" spans="1:18" ht="48">
      <c r="A213" s="728">
        <v>4680</v>
      </c>
      <c r="B213" s="735" t="s">
        <v>841</v>
      </c>
      <c r="C213" s="666"/>
      <c r="D213" s="643">
        <f>G213+J213+P213+M213</f>
        <v>16000</v>
      </c>
      <c r="E213" s="667">
        <f>SUM(H213+K213+N213+Q213)</f>
        <v>15827</v>
      </c>
      <c r="F213" s="644">
        <f t="shared" si="19"/>
        <v>98.91875</v>
      </c>
      <c r="G213" s="666">
        <f>20000-4000</f>
        <v>16000</v>
      </c>
      <c r="H213" s="667">
        <v>15827</v>
      </c>
      <c r="I213" s="647">
        <f t="shared" si="16"/>
        <v>98.91875</v>
      </c>
      <c r="J213" s="730"/>
      <c r="K213" s="667"/>
      <c r="L213" s="649"/>
      <c r="M213" s="667"/>
      <c r="N213" s="667"/>
      <c r="O213" s="731"/>
      <c r="P213" s="666"/>
      <c r="Q213" s="667"/>
      <c r="R213" s="647"/>
    </row>
    <row r="214" spans="1:18" ht="84">
      <c r="A214" s="762">
        <v>6060</v>
      </c>
      <c r="B214" s="763" t="s">
        <v>842</v>
      </c>
      <c r="C214" s="781">
        <v>800000</v>
      </c>
      <c r="D214" s="765">
        <f t="shared" si="18"/>
        <v>800000</v>
      </c>
      <c r="E214" s="765">
        <f>H214+K214+Q214+N214</f>
        <v>430336</v>
      </c>
      <c r="F214" s="766">
        <f t="shared" si="19"/>
        <v>53.791999999999994</v>
      </c>
      <c r="G214" s="781">
        <v>800000</v>
      </c>
      <c r="H214" s="785">
        <v>430336</v>
      </c>
      <c r="I214" s="707">
        <f t="shared" si="16"/>
        <v>53.791999999999994</v>
      </c>
      <c r="J214" s="782"/>
      <c r="K214" s="785"/>
      <c r="L214" s="768"/>
      <c r="M214" s="785"/>
      <c r="N214" s="785"/>
      <c r="O214" s="786"/>
      <c r="P214" s="781"/>
      <c r="Q214" s="785"/>
      <c r="R214" s="707"/>
    </row>
    <row r="215" spans="1:18" s="775" customFormat="1" ht="30" customHeight="1">
      <c r="A215" s="832">
        <v>70021</v>
      </c>
      <c r="B215" s="833" t="s">
        <v>843</v>
      </c>
      <c r="C215" s="834">
        <f>C216</f>
        <v>3200000</v>
      </c>
      <c r="D215" s="727">
        <f t="shared" si="18"/>
        <v>3356800</v>
      </c>
      <c r="E215" s="727">
        <f t="shared" si="20"/>
        <v>184000</v>
      </c>
      <c r="F215" s="705">
        <f t="shared" si="19"/>
        <v>5.48141086749285</v>
      </c>
      <c r="G215" s="834">
        <f>G216</f>
        <v>3356800</v>
      </c>
      <c r="H215" s="727">
        <f>H216</f>
        <v>184000</v>
      </c>
      <c r="I215" s="707">
        <f t="shared" si="16"/>
        <v>5.48141086749285</v>
      </c>
      <c r="J215" s="835"/>
      <c r="K215" s="727"/>
      <c r="L215" s="873"/>
      <c r="M215" s="727"/>
      <c r="N215" s="727"/>
      <c r="O215" s="838"/>
      <c r="P215" s="834"/>
      <c r="Q215" s="727"/>
      <c r="R215" s="839"/>
    </row>
    <row r="216" spans="1:18" ht="60">
      <c r="A216" s="762">
        <v>6010</v>
      </c>
      <c r="B216" s="735" t="s">
        <v>844</v>
      </c>
      <c r="C216" s="781">
        <v>3200000</v>
      </c>
      <c r="D216" s="765">
        <f t="shared" si="18"/>
        <v>3356800</v>
      </c>
      <c r="E216" s="785">
        <f t="shared" si="20"/>
        <v>184000</v>
      </c>
      <c r="F216" s="705">
        <f t="shared" si="19"/>
        <v>5.48141086749285</v>
      </c>
      <c r="G216" s="781">
        <f>3200000+30000+54000+72800</f>
        <v>3356800</v>
      </c>
      <c r="H216" s="785">
        <v>184000</v>
      </c>
      <c r="I216" s="707">
        <f t="shared" si="16"/>
        <v>5.48141086749285</v>
      </c>
      <c r="J216" s="782"/>
      <c r="K216" s="785"/>
      <c r="L216" s="768"/>
      <c r="M216" s="785"/>
      <c r="N216" s="785"/>
      <c r="O216" s="786"/>
      <c r="P216" s="781"/>
      <c r="Q216" s="785"/>
      <c r="R216" s="770"/>
    </row>
    <row r="217" spans="1:18" s="723" customFormat="1" ht="15" customHeight="1">
      <c r="A217" s="724">
        <v>70095</v>
      </c>
      <c r="B217" s="854" t="s">
        <v>311</v>
      </c>
      <c r="C217" s="726">
        <f>SUM(C218:C228)</f>
        <v>5690040</v>
      </c>
      <c r="D217" s="674">
        <f t="shared" si="18"/>
        <v>6911440</v>
      </c>
      <c r="E217" s="657">
        <f>H217+K217+Q217+N217</f>
        <v>4941120</v>
      </c>
      <c r="F217" s="658">
        <f t="shared" si="19"/>
        <v>71.49190327920087</v>
      </c>
      <c r="G217" s="726">
        <f>SUM(G218:G228)</f>
        <v>6911440</v>
      </c>
      <c r="H217" s="674">
        <f>SUM(H218:H228)</f>
        <v>4941120</v>
      </c>
      <c r="I217" s="665">
        <f t="shared" si="16"/>
        <v>71.49190327920087</v>
      </c>
      <c r="J217" s="726"/>
      <c r="K217" s="657"/>
      <c r="L217" s="663"/>
      <c r="M217" s="657"/>
      <c r="N217" s="657"/>
      <c r="O217" s="317"/>
      <c r="P217" s="726"/>
      <c r="Q217" s="657"/>
      <c r="R217" s="842"/>
    </row>
    <row r="218" spans="1:18" ht="23.25" customHeight="1">
      <c r="A218" s="709">
        <v>4210</v>
      </c>
      <c r="B218" s="776" t="s">
        <v>845</v>
      </c>
      <c r="C218" s="670">
        <v>14100</v>
      </c>
      <c r="D218" s="685">
        <f t="shared" si="18"/>
        <v>14100</v>
      </c>
      <c r="E218" s="686">
        <f t="shared" si="20"/>
        <v>7976</v>
      </c>
      <c r="F218" s="758">
        <f t="shared" si="19"/>
        <v>56.567375886524815</v>
      </c>
      <c r="G218" s="670">
        <v>14100</v>
      </c>
      <c r="H218" s="686">
        <v>7976</v>
      </c>
      <c r="I218" s="652">
        <f t="shared" si="16"/>
        <v>56.567375886524815</v>
      </c>
      <c r="J218" s="777"/>
      <c r="K218" s="686"/>
      <c r="L218" s="690"/>
      <c r="M218" s="686"/>
      <c r="N218" s="686"/>
      <c r="O218" s="779"/>
      <c r="P218" s="670"/>
      <c r="Q218" s="686"/>
      <c r="R218" s="760"/>
    </row>
    <row r="219" spans="1:18" ht="24">
      <c r="A219" s="728">
        <v>4300</v>
      </c>
      <c r="B219" s="735" t="s">
        <v>846</v>
      </c>
      <c r="C219" s="666">
        <v>1340</v>
      </c>
      <c r="D219" s="643">
        <f t="shared" si="18"/>
        <v>1340</v>
      </c>
      <c r="E219" s="667">
        <f t="shared" si="20"/>
        <v>330</v>
      </c>
      <c r="F219" s="492">
        <f t="shared" si="19"/>
        <v>24.62686567164179</v>
      </c>
      <c r="G219" s="666">
        <v>1340</v>
      </c>
      <c r="H219" s="667">
        <v>330</v>
      </c>
      <c r="I219" s="647">
        <f t="shared" si="16"/>
        <v>24.62686567164179</v>
      </c>
      <c r="J219" s="730"/>
      <c r="K219" s="667"/>
      <c r="L219" s="649"/>
      <c r="M219" s="667"/>
      <c r="N219" s="667"/>
      <c r="O219" s="731"/>
      <c r="P219" s="666"/>
      <c r="Q219" s="667"/>
      <c r="R219" s="737"/>
    </row>
    <row r="220" spans="1:18" ht="23.25" customHeight="1">
      <c r="A220" s="728">
        <v>4110</v>
      </c>
      <c r="B220" s="876" t="s">
        <v>703</v>
      </c>
      <c r="C220" s="666">
        <v>450</v>
      </c>
      <c r="D220" s="643">
        <f t="shared" si="18"/>
        <v>500</v>
      </c>
      <c r="E220" s="667">
        <f t="shared" si="20"/>
        <v>308</v>
      </c>
      <c r="F220" s="492">
        <f t="shared" si="19"/>
        <v>61.6</v>
      </c>
      <c r="G220" s="666">
        <f>450+50</f>
        <v>500</v>
      </c>
      <c r="H220" s="667">
        <v>308</v>
      </c>
      <c r="I220" s="647">
        <f t="shared" si="16"/>
        <v>61.6</v>
      </c>
      <c r="J220" s="730"/>
      <c r="K220" s="667"/>
      <c r="L220" s="649"/>
      <c r="M220" s="667"/>
      <c r="N220" s="667"/>
      <c r="O220" s="731"/>
      <c r="P220" s="666"/>
      <c r="Q220" s="667"/>
      <c r="R220" s="737"/>
    </row>
    <row r="221" spans="1:18" ht="12.75">
      <c r="A221" s="728">
        <v>4120</v>
      </c>
      <c r="B221" s="876" t="s">
        <v>847</v>
      </c>
      <c r="C221" s="666">
        <v>50</v>
      </c>
      <c r="D221" s="643">
        <f t="shared" si="18"/>
        <v>100</v>
      </c>
      <c r="E221" s="667">
        <f t="shared" si="20"/>
        <v>39</v>
      </c>
      <c r="F221" s="492">
        <f t="shared" si="19"/>
        <v>39</v>
      </c>
      <c r="G221" s="666">
        <f>50+50</f>
        <v>100</v>
      </c>
      <c r="H221" s="667">
        <f>38+1</f>
        <v>39</v>
      </c>
      <c r="I221" s="647">
        <f t="shared" si="16"/>
        <v>39</v>
      </c>
      <c r="J221" s="730"/>
      <c r="K221" s="667"/>
      <c r="L221" s="649"/>
      <c r="M221" s="667"/>
      <c r="N221" s="667"/>
      <c r="O221" s="731"/>
      <c r="P221" s="666"/>
      <c r="Q221" s="667"/>
      <c r="R221" s="737"/>
    </row>
    <row r="222" spans="1:18" ht="24">
      <c r="A222" s="829">
        <v>4170</v>
      </c>
      <c r="B222" s="865" t="s">
        <v>742</v>
      </c>
      <c r="C222" s="666">
        <v>5000</v>
      </c>
      <c r="D222" s="643">
        <f t="shared" si="18"/>
        <v>6100</v>
      </c>
      <c r="E222" s="667">
        <f t="shared" si="20"/>
        <v>5855</v>
      </c>
      <c r="F222" s="492">
        <f t="shared" si="19"/>
        <v>95.98360655737706</v>
      </c>
      <c r="G222" s="666">
        <f>5000+1100</f>
        <v>6100</v>
      </c>
      <c r="H222" s="667">
        <v>5855</v>
      </c>
      <c r="I222" s="647">
        <f t="shared" si="16"/>
        <v>95.98360655737706</v>
      </c>
      <c r="J222" s="730"/>
      <c r="K222" s="667"/>
      <c r="L222" s="649"/>
      <c r="M222" s="667"/>
      <c r="N222" s="667"/>
      <c r="O222" s="731"/>
      <c r="P222" s="666"/>
      <c r="Q222" s="667"/>
      <c r="R222" s="737"/>
    </row>
    <row r="223" spans="1:18" ht="24">
      <c r="A223" s="756">
        <v>4270</v>
      </c>
      <c r="B223" s="757" t="s">
        <v>713</v>
      </c>
      <c r="C223" s="670"/>
      <c r="D223" s="685">
        <f>G223+J223+P223+M223</f>
        <v>20200</v>
      </c>
      <c r="E223" s="686">
        <f>SUM(H223+K223+N223+Q223)</f>
        <v>20143</v>
      </c>
      <c r="F223" s="758">
        <f>E223/D223*100</f>
        <v>99.71782178217822</v>
      </c>
      <c r="G223" s="670">
        <v>20200</v>
      </c>
      <c r="H223" s="686">
        <v>20143</v>
      </c>
      <c r="I223" s="652">
        <f aca="true" t="shared" si="21" ref="I223:I235">H223/G223*100</f>
        <v>99.71782178217822</v>
      </c>
      <c r="J223" s="777"/>
      <c r="K223" s="686"/>
      <c r="L223" s="690"/>
      <c r="M223" s="686"/>
      <c r="N223" s="686"/>
      <c r="O223" s="779"/>
      <c r="P223" s="670"/>
      <c r="Q223" s="686"/>
      <c r="R223" s="760"/>
    </row>
    <row r="224" spans="1:18" ht="14.25" customHeight="1">
      <c r="A224" s="728">
        <v>4300</v>
      </c>
      <c r="B224" s="735" t="s">
        <v>806</v>
      </c>
      <c r="C224" s="666">
        <v>69100</v>
      </c>
      <c r="D224" s="643">
        <f t="shared" si="18"/>
        <v>69100</v>
      </c>
      <c r="E224" s="667">
        <f t="shared" si="20"/>
        <v>0</v>
      </c>
      <c r="F224" s="492">
        <f t="shared" si="19"/>
        <v>0</v>
      </c>
      <c r="G224" s="666">
        <v>69100</v>
      </c>
      <c r="H224" s="667"/>
      <c r="I224" s="647">
        <f t="shared" si="21"/>
        <v>0</v>
      </c>
      <c r="J224" s="730"/>
      <c r="K224" s="667"/>
      <c r="L224" s="649"/>
      <c r="M224" s="667"/>
      <c r="N224" s="667"/>
      <c r="O224" s="731"/>
      <c r="P224" s="666"/>
      <c r="Q224" s="667"/>
      <c r="R224" s="737"/>
    </row>
    <row r="225" spans="1:18" ht="60" hidden="1">
      <c r="A225" s="728">
        <v>4600</v>
      </c>
      <c r="B225" s="735" t="s">
        <v>848</v>
      </c>
      <c r="C225" s="666"/>
      <c r="D225" s="643">
        <f t="shared" si="18"/>
        <v>0</v>
      </c>
      <c r="E225" s="667">
        <f t="shared" si="20"/>
        <v>0</v>
      </c>
      <c r="F225" s="492" t="e">
        <f t="shared" si="19"/>
        <v>#DIV/0!</v>
      </c>
      <c r="G225" s="666"/>
      <c r="H225" s="667"/>
      <c r="I225" s="647" t="e">
        <f t="shared" si="21"/>
        <v>#DIV/0!</v>
      </c>
      <c r="J225" s="730"/>
      <c r="K225" s="667"/>
      <c r="L225" s="649"/>
      <c r="M225" s="667"/>
      <c r="N225" s="667"/>
      <c r="O225" s="731"/>
      <c r="P225" s="666"/>
      <c r="Q225" s="667"/>
      <c r="R225" s="737"/>
    </row>
    <row r="226" spans="1:18" ht="36" hidden="1">
      <c r="A226" s="728">
        <v>4610</v>
      </c>
      <c r="B226" s="735" t="s">
        <v>744</v>
      </c>
      <c r="C226" s="666"/>
      <c r="D226" s="643">
        <f t="shared" si="18"/>
        <v>0</v>
      </c>
      <c r="E226" s="667">
        <f t="shared" si="20"/>
        <v>0</v>
      </c>
      <c r="F226" s="492" t="e">
        <f t="shared" si="19"/>
        <v>#DIV/0!</v>
      </c>
      <c r="G226" s="666"/>
      <c r="H226" s="667"/>
      <c r="I226" s="647" t="e">
        <f t="shared" si="21"/>
        <v>#DIV/0!</v>
      </c>
      <c r="J226" s="730"/>
      <c r="K226" s="667"/>
      <c r="L226" s="649"/>
      <c r="M226" s="667"/>
      <c r="N226" s="667"/>
      <c r="O226" s="731"/>
      <c r="P226" s="666"/>
      <c r="Q226" s="667"/>
      <c r="R226" s="737"/>
    </row>
    <row r="227" spans="1:18" ht="60" hidden="1">
      <c r="A227" s="728">
        <v>6010</v>
      </c>
      <c r="B227" s="735" t="s">
        <v>844</v>
      </c>
      <c r="C227" s="666"/>
      <c r="D227" s="643">
        <f t="shared" si="18"/>
        <v>0</v>
      </c>
      <c r="E227" s="667">
        <f t="shared" si="20"/>
        <v>0</v>
      </c>
      <c r="F227" s="644" t="e">
        <f t="shared" si="19"/>
        <v>#DIV/0!</v>
      </c>
      <c r="G227" s="666"/>
      <c r="H227" s="667"/>
      <c r="I227" s="647" t="e">
        <f t="shared" si="21"/>
        <v>#DIV/0!</v>
      </c>
      <c r="J227" s="730"/>
      <c r="K227" s="667"/>
      <c r="L227" s="649"/>
      <c r="M227" s="667"/>
      <c r="N227" s="667"/>
      <c r="O227" s="731"/>
      <c r="P227" s="666"/>
      <c r="Q227" s="667"/>
      <c r="R227" s="737"/>
    </row>
    <row r="228" spans="1:18" ht="24.75" thickBot="1">
      <c r="A228" s="728">
        <v>6050</v>
      </c>
      <c r="B228" s="735" t="s">
        <v>739</v>
      </c>
      <c r="C228" s="666">
        <v>5600000</v>
      </c>
      <c r="D228" s="643">
        <f t="shared" si="18"/>
        <v>6800000</v>
      </c>
      <c r="E228" s="667">
        <f t="shared" si="20"/>
        <v>4906469</v>
      </c>
      <c r="F228" s="644">
        <f t="shared" si="19"/>
        <v>72.15395588235293</v>
      </c>
      <c r="G228" s="666">
        <f>5600000+700000+140000+360000</f>
        <v>6800000</v>
      </c>
      <c r="H228" s="667">
        <v>4906469</v>
      </c>
      <c r="I228" s="647">
        <f t="shared" si="21"/>
        <v>72.15395588235293</v>
      </c>
      <c r="J228" s="730"/>
      <c r="K228" s="667"/>
      <c r="L228" s="649"/>
      <c r="M228" s="667"/>
      <c r="N228" s="667"/>
      <c r="O228" s="731"/>
      <c r="P228" s="666"/>
      <c r="Q228" s="667"/>
      <c r="R228" s="737"/>
    </row>
    <row r="229" spans="1:18" s="882" customFormat="1" ht="24" customHeight="1" hidden="1">
      <c r="A229" s="877"/>
      <c r="B229" s="878" t="s">
        <v>849</v>
      </c>
      <c r="C229" s="879"/>
      <c r="D229" s="798">
        <f t="shared" si="18"/>
        <v>0</v>
      </c>
      <c r="E229" s="880">
        <f>SUM(H229+K229+N229+Q229)</f>
        <v>0</v>
      </c>
      <c r="F229" s="644" t="e">
        <f t="shared" si="19"/>
        <v>#DIV/0!</v>
      </c>
      <c r="G229" s="879"/>
      <c r="H229" s="798"/>
      <c r="I229" s="647" t="e">
        <f t="shared" si="21"/>
        <v>#DIV/0!</v>
      </c>
      <c r="J229" s="881"/>
      <c r="K229" s="880"/>
      <c r="L229" s="649"/>
      <c r="M229" s="880"/>
      <c r="N229" s="880"/>
      <c r="O229" s="649"/>
      <c r="P229" s="879"/>
      <c r="Q229" s="880"/>
      <c r="R229" s="821"/>
    </row>
    <row r="230" spans="1:18" s="775" customFormat="1" ht="25.5" thickBot="1" thickTop="1">
      <c r="A230" s="738">
        <v>710</v>
      </c>
      <c r="B230" s="739" t="s">
        <v>361</v>
      </c>
      <c r="C230" s="740">
        <f>C236+C238+C240+C259+C231</f>
        <v>3339300</v>
      </c>
      <c r="D230" s="618">
        <f t="shared" si="18"/>
        <v>3719410</v>
      </c>
      <c r="E230" s="618">
        <f t="shared" si="18"/>
        <v>1714804</v>
      </c>
      <c r="F230" s="619">
        <f t="shared" si="19"/>
        <v>46.10419394473855</v>
      </c>
      <c r="G230" s="740">
        <f>G259+G231+G264</f>
        <v>2987700</v>
      </c>
      <c r="H230" s="618">
        <f>H259+H231+H264</f>
        <v>1295773</v>
      </c>
      <c r="I230" s="621">
        <f t="shared" si="21"/>
        <v>43.370251363925426</v>
      </c>
      <c r="J230" s="618">
        <f>J259</f>
        <v>16600</v>
      </c>
      <c r="K230" s="618">
        <f>K259</f>
        <v>7061</v>
      </c>
      <c r="L230" s="721">
        <f>K230/J230*100</f>
        <v>42.53614457831325</v>
      </c>
      <c r="M230" s="743">
        <f>M236+M238+M240</f>
        <v>200000</v>
      </c>
      <c r="N230" s="618">
        <f>N236+N238+N240</f>
        <v>107645</v>
      </c>
      <c r="O230" s="621">
        <f>N230/M230*100</f>
        <v>53.8225</v>
      </c>
      <c r="P230" s="740">
        <f>P231+P236+P238+P240</f>
        <v>515110</v>
      </c>
      <c r="Q230" s="618">
        <f>Q236+Q238+Q240+Q231</f>
        <v>304325</v>
      </c>
      <c r="R230" s="621">
        <f aca="true" t="shared" si="22" ref="R230:R258">Q230/P230*100</f>
        <v>59.07961406301566</v>
      </c>
    </row>
    <row r="231" spans="1:18" s="775" customFormat="1" ht="36.75" thickTop="1">
      <c r="A231" s="883">
        <v>71004</v>
      </c>
      <c r="B231" s="884" t="s">
        <v>850</v>
      </c>
      <c r="C231" s="885">
        <f>SUM(C232:C235)</f>
        <v>1354700</v>
      </c>
      <c r="D231" s="631">
        <f t="shared" si="18"/>
        <v>1354700</v>
      </c>
      <c r="E231" s="631">
        <f t="shared" si="18"/>
        <v>334973</v>
      </c>
      <c r="F231" s="632">
        <f t="shared" si="19"/>
        <v>24.72672916512881</v>
      </c>
      <c r="G231" s="886">
        <f>SUM(G232:G235)</f>
        <v>1354700</v>
      </c>
      <c r="H231" s="631">
        <f>SUM(H232:H235)</f>
        <v>334973</v>
      </c>
      <c r="I231" s="635">
        <f t="shared" si="21"/>
        <v>24.72672916512881</v>
      </c>
      <c r="J231" s="887"/>
      <c r="K231" s="631"/>
      <c r="L231" s="638"/>
      <c r="M231" s="631"/>
      <c r="N231" s="631"/>
      <c r="O231" s="888"/>
      <c r="P231" s="885"/>
      <c r="Q231" s="631"/>
      <c r="R231" s="635"/>
    </row>
    <row r="232" spans="1:18" s="761" customFormat="1" ht="24">
      <c r="A232" s="728">
        <v>4110</v>
      </c>
      <c r="B232" s="876" t="s">
        <v>703</v>
      </c>
      <c r="C232" s="889">
        <v>600</v>
      </c>
      <c r="D232" s="643">
        <f t="shared" si="18"/>
        <v>600</v>
      </c>
      <c r="E232" s="643">
        <f t="shared" si="18"/>
        <v>32</v>
      </c>
      <c r="F232" s="644">
        <f t="shared" si="19"/>
        <v>5.333333333333334</v>
      </c>
      <c r="G232" s="889">
        <v>600</v>
      </c>
      <c r="H232" s="643">
        <v>32</v>
      </c>
      <c r="I232" s="647">
        <f t="shared" si="21"/>
        <v>5.333333333333334</v>
      </c>
      <c r="J232" s="648"/>
      <c r="K232" s="643"/>
      <c r="L232" s="649"/>
      <c r="M232" s="643"/>
      <c r="N232" s="643"/>
      <c r="O232" s="647"/>
      <c r="P232" s="697"/>
      <c r="Q232" s="643"/>
      <c r="R232" s="647"/>
    </row>
    <row r="233" spans="1:18" s="761" customFormat="1" ht="24">
      <c r="A233" s="829">
        <v>4120</v>
      </c>
      <c r="B233" s="865" t="s">
        <v>851</v>
      </c>
      <c r="C233" s="889">
        <v>100</v>
      </c>
      <c r="D233" s="643">
        <f t="shared" si="18"/>
        <v>100</v>
      </c>
      <c r="E233" s="643">
        <f t="shared" si="18"/>
        <v>0</v>
      </c>
      <c r="F233" s="644">
        <f>E233/D233*100</f>
        <v>0</v>
      </c>
      <c r="G233" s="889">
        <v>100</v>
      </c>
      <c r="H233" s="643"/>
      <c r="I233" s="647">
        <f t="shared" si="21"/>
        <v>0</v>
      </c>
      <c r="J233" s="648"/>
      <c r="K233" s="643"/>
      <c r="L233" s="649"/>
      <c r="M233" s="643"/>
      <c r="N233" s="643"/>
      <c r="O233" s="647"/>
      <c r="P233" s="697"/>
      <c r="Q233" s="643"/>
      <c r="R233" s="647"/>
    </row>
    <row r="234" spans="1:18" s="761" customFormat="1" ht="24">
      <c r="A234" s="829">
        <v>4170</v>
      </c>
      <c r="B234" s="865" t="s">
        <v>742</v>
      </c>
      <c r="C234" s="889">
        <v>24000</v>
      </c>
      <c r="D234" s="643">
        <f t="shared" si="18"/>
        <v>24000</v>
      </c>
      <c r="E234" s="643">
        <f t="shared" si="18"/>
        <v>420</v>
      </c>
      <c r="F234" s="644">
        <f t="shared" si="19"/>
        <v>1.7500000000000002</v>
      </c>
      <c r="G234" s="889">
        <v>24000</v>
      </c>
      <c r="H234" s="643">
        <v>420</v>
      </c>
      <c r="I234" s="647">
        <f t="shared" si="21"/>
        <v>1.7500000000000002</v>
      </c>
      <c r="J234" s="648"/>
      <c r="K234" s="643"/>
      <c r="L234" s="649"/>
      <c r="M234" s="643"/>
      <c r="N234" s="643"/>
      <c r="O234" s="647"/>
      <c r="P234" s="697"/>
      <c r="Q234" s="643"/>
      <c r="R234" s="647"/>
    </row>
    <row r="235" spans="1:18" s="761" customFormat="1" ht="24">
      <c r="A235" s="829">
        <v>4300</v>
      </c>
      <c r="B235" s="865" t="s">
        <v>715</v>
      </c>
      <c r="C235" s="697">
        <v>1330000</v>
      </c>
      <c r="D235" s="643">
        <f t="shared" si="18"/>
        <v>1330000</v>
      </c>
      <c r="E235" s="643">
        <f t="shared" si="18"/>
        <v>334521</v>
      </c>
      <c r="F235" s="644">
        <f t="shared" si="19"/>
        <v>25.151954887218047</v>
      </c>
      <c r="G235" s="697">
        <v>1330000</v>
      </c>
      <c r="H235" s="643">
        <v>334521</v>
      </c>
      <c r="I235" s="647">
        <f t="shared" si="21"/>
        <v>25.151954887218047</v>
      </c>
      <c r="J235" s="648"/>
      <c r="K235" s="643"/>
      <c r="L235" s="649"/>
      <c r="M235" s="643"/>
      <c r="N235" s="643"/>
      <c r="O235" s="647"/>
      <c r="P235" s="697"/>
      <c r="Q235" s="643"/>
      <c r="R235" s="647"/>
    </row>
    <row r="236" spans="1:18" s="723" customFormat="1" ht="34.5" customHeight="1">
      <c r="A236" s="724">
        <v>71013</v>
      </c>
      <c r="B236" s="854" t="s">
        <v>852</v>
      </c>
      <c r="C236" s="726">
        <f>C237</f>
        <v>75000</v>
      </c>
      <c r="D236" s="674">
        <f t="shared" si="18"/>
        <v>75000</v>
      </c>
      <c r="E236" s="657">
        <f>E237</f>
        <v>12500</v>
      </c>
      <c r="F236" s="658">
        <f t="shared" si="19"/>
        <v>16.666666666666664</v>
      </c>
      <c r="G236" s="726"/>
      <c r="H236" s="657"/>
      <c r="I236" s="317"/>
      <c r="J236" s="662"/>
      <c r="K236" s="657"/>
      <c r="L236" s="663"/>
      <c r="M236" s="657"/>
      <c r="N236" s="657"/>
      <c r="O236" s="317"/>
      <c r="P236" s="726">
        <f>P237</f>
        <v>75000</v>
      </c>
      <c r="Q236" s="657">
        <f>Q237</f>
        <v>12500</v>
      </c>
      <c r="R236" s="890">
        <f t="shared" si="22"/>
        <v>16.666666666666664</v>
      </c>
    </row>
    <row r="237" spans="1:18" ht="24">
      <c r="A237" s="891">
        <v>4300</v>
      </c>
      <c r="B237" s="892" t="s">
        <v>715</v>
      </c>
      <c r="C237" s="893">
        <v>75000</v>
      </c>
      <c r="D237" s="894">
        <f t="shared" si="18"/>
        <v>75000</v>
      </c>
      <c r="E237" s="895">
        <f>SUM(H237+K237+N237+Q237)</f>
        <v>12500</v>
      </c>
      <c r="F237" s="658">
        <f t="shared" si="19"/>
        <v>16.666666666666664</v>
      </c>
      <c r="G237" s="893"/>
      <c r="H237" s="895"/>
      <c r="I237" s="317"/>
      <c r="J237" s="896"/>
      <c r="K237" s="895"/>
      <c r="L237" s="897"/>
      <c r="M237" s="895"/>
      <c r="N237" s="895"/>
      <c r="O237" s="317"/>
      <c r="P237" s="893">
        <v>75000</v>
      </c>
      <c r="Q237" s="895">
        <f>12500+1-1</f>
        <v>12500</v>
      </c>
      <c r="R237" s="890">
        <f t="shared" si="22"/>
        <v>16.666666666666664</v>
      </c>
    </row>
    <row r="238" spans="1:18" s="723" customFormat="1" ht="22.5" customHeight="1">
      <c r="A238" s="867">
        <v>71014</v>
      </c>
      <c r="B238" s="868" t="s">
        <v>365</v>
      </c>
      <c r="C238" s="869">
        <f>C239</f>
        <v>20000</v>
      </c>
      <c r="D238" s="727">
        <f t="shared" si="18"/>
        <v>20000</v>
      </c>
      <c r="E238" s="871">
        <f>E239</f>
        <v>3332</v>
      </c>
      <c r="F238" s="705">
        <f t="shared" si="19"/>
        <v>16.66</v>
      </c>
      <c r="G238" s="869"/>
      <c r="H238" s="871"/>
      <c r="I238" s="786"/>
      <c r="J238" s="872"/>
      <c r="K238" s="871"/>
      <c r="L238" s="873"/>
      <c r="M238" s="871"/>
      <c r="N238" s="871"/>
      <c r="O238" s="786"/>
      <c r="P238" s="869">
        <f>P239</f>
        <v>20000</v>
      </c>
      <c r="Q238" s="871">
        <f>Q239</f>
        <v>3332</v>
      </c>
      <c r="R238" s="766">
        <f t="shared" si="22"/>
        <v>16.66</v>
      </c>
    </row>
    <row r="239" spans="1:18" ht="24">
      <c r="A239" s="762">
        <v>4300</v>
      </c>
      <c r="B239" s="780" t="s">
        <v>715</v>
      </c>
      <c r="C239" s="666">
        <v>20000</v>
      </c>
      <c r="D239" s="765">
        <f t="shared" si="18"/>
        <v>20000</v>
      </c>
      <c r="E239" s="667">
        <f>SUM(H239+K239+N239+Q239)</f>
        <v>3332</v>
      </c>
      <c r="F239" s="658">
        <f t="shared" si="19"/>
        <v>16.66</v>
      </c>
      <c r="G239" s="781"/>
      <c r="H239" s="785"/>
      <c r="I239" s="786"/>
      <c r="J239" s="782"/>
      <c r="K239" s="785"/>
      <c r="L239" s="768"/>
      <c r="M239" s="785"/>
      <c r="N239" s="785"/>
      <c r="O239" s="786"/>
      <c r="P239" s="781">
        <v>20000</v>
      </c>
      <c r="Q239" s="785">
        <v>3332</v>
      </c>
      <c r="R239" s="766">
        <f t="shared" si="22"/>
        <v>16.66</v>
      </c>
    </row>
    <row r="240" spans="1:18" ht="12.75">
      <c r="A240" s="724">
        <v>71015</v>
      </c>
      <c r="B240" s="854" t="s">
        <v>853</v>
      </c>
      <c r="C240" s="726">
        <f>SUM(C241:C258)</f>
        <v>540000</v>
      </c>
      <c r="D240" s="727">
        <f t="shared" si="18"/>
        <v>620110</v>
      </c>
      <c r="E240" s="674">
        <f>H240+K240+Q240+N240</f>
        <v>396138</v>
      </c>
      <c r="F240" s="658">
        <f t="shared" si="19"/>
        <v>63.88189192240087</v>
      </c>
      <c r="G240" s="726"/>
      <c r="H240" s="657"/>
      <c r="I240" s="317"/>
      <c r="J240" s="662"/>
      <c r="K240" s="657"/>
      <c r="L240" s="663"/>
      <c r="M240" s="657">
        <f>SUM(M241:M258)</f>
        <v>200000</v>
      </c>
      <c r="N240" s="657">
        <f>SUM(N241:N258)</f>
        <v>107645</v>
      </c>
      <c r="O240" s="707">
        <f>N240/M240*100</f>
        <v>53.8225</v>
      </c>
      <c r="P240" s="726">
        <f>SUM(P241:P258)</f>
        <v>420110</v>
      </c>
      <c r="Q240" s="657">
        <f>SUM(Q241:Q258)</f>
        <v>288493</v>
      </c>
      <c r="R240" s="766">
        <f t="shared" si="22"/>
        <v>68.67082430791936</v>
      </c>
    </row>
    <row r="241" spans="1:18" ht="22.5" customHeight="1">
      <c r="A241" s="728">
        <v>4010</v>
      </c>
      <c r="B241" s="735" t="s">
        <v>697</v>
      </c>
      <c r="C241" s="666">
        <v>316440</v>
      </c>
      <c r="D241" s="643">
        <f t="shared" si="18"/>
        <v>380808</v>
      </c>
      <c r="E241" s="667">
        <f aca="true" t="shared" si="23" ref="E241:E259">SUM(H241+K241+N241+Q241)</f>
        <v>261515</v>
      </c>
      <c r="F241" s="644">
        <f t="shared" si="19"/>
        <v>68.67371483792357</v>
      </c>
      <c r="G241" s="666"/>
      <c r="H241" s="667"/>
      <c r="I241" s="731"/>
      <c r="J241" s="730"/>
      <c r="K241" s="667"/>
      <c r="L241" s="649"/>
      <c r="M241" s="667">
        <v>121000</v>
      </c>
      <c r="N241" s="667">
        <v>76632</v>
      </c>
      <c r="O241" s="647">
        <f>N241/M241*100</f>
        <v>63.332231404958684</v>
      </c>
      <c r="P241" s="666">
        <f>195440+11000+8339+16278+5789+9647+13315</f>
        <v>259808</v>
      </c>
      <c r="Q241" s="667">
        <f>184882+1</f>
        <v>184883</v>
      </c>
      <c r="R241" s="492">
        <f t="shared" si="22"/>
        <v>71.16139610789506</v>
      </c>
    </row>
    <row r="242" spans="1:18" ht="22.5" customHeight="1">
      <c r="A242" s="728">
        <v>3020</v>
      </c>
      <c r="B242" s="735" t="s">
        <v>854</v>
      </c>
      <c r="C242" s="666"/>
      <c r="D242" s="643">
        <f>G242+J242+P242+M242</f>
        <v>2250</v>
      </c>
      <c r="E242" s="667">
        <f>SUM(H242+K242+N242+Q242)</f>
        <v>85</v>
      </c>
      <c r="F242" s="644">
        <f>E242/D242*100</f>
        <v>3.7777777777777777</v>
      </c>
      <c r="G242" s="666"/>
      <c r="H242" s="667"/>
      <c r="I242" s="731"/>
      <c r="J242" s="730"/>
      <c r="K242" s="667"/>
      <c r="L242" s="649"/>
      <c r="M242" s="667">
        <v>2250</v>
      </c>
      <c r="N242" s="667">
        <f>85+1-1</f>
        <v>85</v>
      </c>
      <c r="O242" s="492">
        <f>N242/M242*100</f>
        <v>3.7777777777777777</v>
      </c>
      <c r="P242" s="666"/>
      <c r="Q242" s="667"/>
      <c r="R242" s="492"/>
    </row>
    <row r="243" spans="1:18" ht="24">
      <c r="A243" s="728">
        <v>4040</v>
      </c>
      <c r="B243" s="735" t="s">
        <v>801</v>
      </c>
      <c r="C243" s="666">
        <v>18300</v>
      </c>
      <c r="D243" s="643">
        <f t="shared" si="18"/>
        <v>18165</v>
      </c>
      <c r="E243" s="667">
        <f t="shared" si="23"/>
        <v>18165</v>
      </c>
      <c r="F243" s="644">
        <f t="shared" si="19"/>
        <v>100</v>
      </c>
      <c r="G243" s="666"/>
      <c r="H243" s="667"/>
      <c r="I243" s="731"/>
      <c r="J243" s="730"/>
      <c r="K243" s="667"/>
      <c r="L243" s="649"/>
      <c r="M243" s="667">
        <f>6700-135</f>
        <v>6565</v>
      </c>
      <c r="N243" s="667">
        <v>6565</v>
      </c>
      <c r="O243" s="492">
        <f>N243/M243*100</f>
        <v>100</v>
      </c>
      <c r="P243" s="666">
        <v>11600</v>
      </c>
      <c r="Q243" s="667">
        <v>11600</v>
      </c>
      <c r="R243" s="492">
        <f t="shared" si="22"/>
        <v>100</v>
      </c>
    </row>
    <row r="244" spans="1:18" ht="24">
      <c r="A244" s="728">
        <v>4110</v>
      </c>
      <c r="B244" s="876" t="s">
        <v>703</v>
      </c>
      <c r="C244" s="666">
        <v>53750</v>
      </c>
      <c r="D244" s="643">
        <f t="shared" si="18"/>
        <v>57865</v>
      </c>
      <c r="E244" s="667">
        <f t="shared" si="23"/>
        <v>34429</v>
      </c>
      <c r="F244" s="644">
        <f t="shared" si="19"/>
        <v>59.49883349174804</v>
      </c>
      <c r="G244" s="666"/>
      <c r="H244" s="667"/>
      <c r="I244" s="731"/>
      <c r="J244" s="730"/>
      <c r="K244" s="667"/>
      <c r="L244" s="649"/>
      <c r="M244" s="667">
        <v>20500</v>
      </c>
      <c r="N244" s="667">
        <f>12398+1</f>
        <v>12399</v>
      </c>
      <c r="O244" s="647">
        <f aca="true" t="shared" si="24" ref="O244:O258">N244/M244*100</f>
        <v>60.482926829268294</v>
      </c>
      <c r="P244" s="666">
        <f>33250+930+1550+1635</f>
        <v>37365</v>
      </c>
      <c r="Q244" s="667">
        <v>22030</v>
      </c>
      <c r="R244" s="492">
        <f t="shared" si="22"/>
        <v>58.95891877425397</v>
      </c>
    </row>
    <row r="245" spans="1:18" ht="13.5" customHeight="1">
      <c r="A245" s="728">
        <v>4120</v>
      </c>
      <c r="B245" s="735" t="s">
        <v>851</v>
      </c>
      <c r="C245" s="666">
        <v>8200</v>
      </c>
      <c r="D245" s="643">
        <f t="shared" si="18"/>
        <v>8827</v>
      </c>
      <c r="E245" s="667">
        <f t="shared" si="23"/>
        <v>5252</v>
      </c>
      <c r="F245" s="644">
        <f t="shared" si="19"/>
        <v>59.499263622974965</v>
      </c>
      <c r="G245" s="666"/>
      <c r="H245" s="667"/>
      <c r="I245" s="731"/>
      <c r="J245" s="730"/>
      <c r="K245" s="667"/>
      <c r="L245" s="649"/>
      <c r="M245" s="667">
        <v>3100</v>
      </c>
      <c r="N245" s="667">
        <v>1891</v>
      </c>
      <c r="O245" s="647">
        <f t="shared" si="24"/>
        <v>61</v>
      </c>
      <c r="P245" s="666">
        <f>5100+142+236+249</f>
        <v>5727</v>
      </c>
      <c r="Q245" s="667">
        <v>3361</v>
      </c>
      <c r="R245" s="492">
        <f t="shared" si="22"/>
        <v>58.68692159944124</v>
      </c>
    </row>
    <row r="246" spans="1:18" ht="24" hidden="1">
      <c r="A246" s="728">
        <v>4170</v>
      </c>
      <c r="B246" s="735" t="s">
        <v>742</v>
      </c>
      <c r="C246" s="666"/>
      <c r="D246" s="643">
        <f>G246+J246+P246+M246</f>
        <v>0</v>
      </c>
      <c r="E246" s="667">
        <f>SUM(H246+K246+N246+Q246)</f>
        <v>0</v>
      </c>
      <c r="F246" s="644" t="e">
        <f>E246/D246*100</f>
        <v>#DIV/0!</v>
      </c>
      <c r="G246" s="666"/>
      <c r="H246" s="667"/>
      <c r="I246" s="731"/>
      <c r="J246" s="730"/>
      <c r="K246" s="667"/>
      <c r="L246" s="649"/>
      <c r="M246" s="730"/>
      <c r="N246" s="730"/>
      <c r="O246" s="647"/>
      <c r="P246" s="666"/>
      <c r="Q246" s="667"/>
      <c r="R246" s="492" t="e">
        <f t="shared" si="22"/>
        <v>#DIV/0!</v>
      </c>
    </row>
    <row r="247" spans="1:18" ht="22.5" customHeight="1">
      <c r="A247" s="728">
        <v>4210</v>
      </c>
      <c r="B247" s="735" t="s">
        <v>707</v>
      </c>
      <c r="C247" s="666">
        <v>38100</v>
      </c>
      <c r="D247" s="643">
        <f t="shared" si="18"/>
        <v>36357</v>
      </c>
      <c r="E247" s="667">
        <f t="shared" si="23"/>
        <v>4901</v>
      </c>
      <c r="F247" s="644">
        <f t="shared" si="19"/>
        <v>13.480210138350248</v>
      </c>
      <c r="G247" s="666"/>
      <c r="H247" s="667"/>
      <c r="I247" s="731"/>
      <c r="J247" s="730"/>
      <c r="K247" s="667"/>
      <c r="L247" s="649"/>
      <c r="M247" s="730">
        <f>18100-2115</f>
        <v>15985</v>
      </c>
      <c r="N247" s="730">
        <v>87</v>
      </c>
      <c r="O247" s="492">
        <f t="shared" si="24"/>
        <v>0.5442602439787301</v>
      </c>
      <c r="P247" s="666">
        <f>20000+372</f>
        <v>20372</v>
      </c>
      <c r="Q247" s="667">
        <f>4813+1</f>
        <v>4814</v>
      </c>
      <c r="R247" s="492">
        <f t="shared" si="22"/>
        <v>23.630473198507758</v>
      </c>
    </row>
    <row r="248" spans="1:18" ht="24">
      <c r="A248" s="728">
        <v>4300</v>
      </c>
      <c r="B248" s="818" t="s">
        <v>715</v>
      </c>
      <c r="C248" s="666">
        <v>37100</v>
      </c>
      <c r="D248" s="643">
        <f t="shared" si="18"/>
        <v>37100</v>
      </c>
      <c r="E248" s="667">
        <f t="shared" si="23"/>
        <v>14217</v>
      </c>
      <c r="F248" s="644">
        <f t="shared" si="19"/>
        <v>38.32075471698113</v>
      </c>
      <c r="G248" s="666"/>
      <c r="H248" s="667"/>
      <c r="I248" s="731"/>
      <c r="J248" s="730"/>
      <c r="K248" s="667"/>
      <c r="L248" s="649"/>
      <c r="M248" s="730">
        <v>17100</v>
      </c>
      <c r="N248" s="730">
        <v>4579</v>
      </c>
      <c r="O248" s="647">
        <f t="shared" si="24"/>
        <v>26.77777777777778</v>
      </c>
      <c r="P248" s="666">
        <v>20000</v>
      </c>
      <c r="Q248" s="667">
        <v>9638</v>
      </c>
      <c r="R248" s="492">
        <f t="shared" si="22"/>
        <v>48.19</v>
      </c>
    </row>
    <row r="249" spans="1:18" ht="24">
      <c r="A249" s="756">
        <v>4350</v>
      </c>
      <c r="B249" s="851" t="s">
        <v>807</v>
      </c>
      <c r="C249" s="670">
        <v>800</v>
      </c>
      <c r="D249" s="685">
        <f t="shared" si="18"/>
        <v>800</v>
      </c>
      <c r="E249" s="686">
        <f t="shared" si="23"/>
        <v>504</v>
      </c>
      <c r="F249" s="668">
        <f t="shared" si="19"/>
        <v>63</v>
      </c>
      <c r="G249" s="670"/>
      <c r="H249" s="686"/>
      <c r="I249" s="779"/>
      <c r="J249" s="777"/>
      <c r="K249" s="686"/>
      <c r="L249" s="690"/>
      <c r="M249" s="777">
        <v>400</v>
      </c>
      <c r="N249" s="777">
        <v>104</v>
      </c>
      <c r="O249" s="652">
        <f t="shared" si="24"/>
        <v>26</v>
      </c>
      <c r="P249" s="670">
        <v>400</v>
      </c>
      <c r="Q249" s="686">
        <v>400</v>
      </c>
      <c r="R249" s="758">
        <f t="shared" si="22"/>
        <v>100</v>
      </c>
    </row>
    <row r="250" spans="1:18" ht="48">
      <c r="A250" s="829">
        <v>4360</v>
      </c>
      <c r="B250" s="850" t="s">
        <v>808</v>
      </c>
      <c r="C250" s="666">
        <v>1200</v>
      </c>
      <c r="D250" s="643">
        <f t="shared" si="18"/>
        <v>1200</v>
      </c>
      <c r="E250" s="667">
        <f t="shared" si="23"/>
        <v>618</v>
      </c>
      <c r="F250" s="644">
        <f t="shared" si="19"/>
        <v>51.5</v>
      </c>
      <c r="G250" s="666"/>
      <c r="H250" s="667"/>
      <c r="I250" s="731"/>
      <c r="J250" s="730"/>
      <c r="K250" s="667"/>
      <c r="L250" s="649"/>
      <c r="M250" s="730">
        <v>1200</v>
      </c>
      <c r="N250" s="730">
        <v>618</v>
      </c>
      <c r="O250" s="647">
        <f t="shared" si="24"/>
        <v>51.5</v>
      </c>
      <c r="P250" s="666"/>
      <c r="Q250" s="667"/>
      <c r="R250" s="492"/>
    </row>
    <row r="251" spans="1:18" ht="48">
      <c r="A251" s="829">
        <v>4370</v>
      </c>
      <c r="B251" s="850" t="s">
        <v>809</v>
      </c>
      <c r="C251" s="666">
        <v>3000</v>
      </c>
      <c r="D251" s="643">
        <f t="shared" si="18"/>
        <v>3000</v>
      </c>
      <c r="E251" s="667">
        <f t="shared" si="23"/>
        <v>1667</v>
      </c>
      <c r="F251" s="644">
        <f t="shared" si="19"/>
        <v>55.56666666666666</v>
      </c>
      <c r="G251" s="666"/>
      <c r="H251" s="667"/>
      <c r="I251" s="731"/>
      <c r="J251" s="730"/>
      <c r="K251" s="667"/>
      <c r="L251" s="649"/>
      <c r="M251" s="730">
        <v>1500</v>
      </c>
      <c r="N251" s="730">
        <v>167</v>
      </c>
      <c r="O251" s="647">
        <f t="shared" si="24"/>
        <v>11.133333333333335</v>
      </c>
      <c r="P251" s="666">
        <v>1500</v>
      </c>
      <c r="Q251" s="667">
        <v>1500</v>
      </c>
      <c r="R251" s="492">
        <f t="shared" si="22"/>
        <v>100</v>
      </c>
    </row>
    <row r="252" spans="1:18" ht="24">
      <c r="A252" s="829">
        <v>4400</v>
      </c>
      <c r="B252" s="850" t="s">
        <v>810</v>
      </c>
      <c r="C252" s="666">
        <v>1200</v>
      </c>
      <c r="D252" s="643">
        <f t="shared" si="18"/>
        <v>1200</v>
      </c>
      <c r="E252" s="667">
        <f t="shared" si="23"/>
        <v>1000</v>
      </c>
      <c r="F252" s="644">
        <f t="shared" si="19"/>
        <v>83.33333333333334</v>
      </c>
      <c r="G252" s="666"/>
      <c r="H252" s="667"/>
      <c r="I252" s="731"/>
      <c r="J252" s="730"/>
      <c r="K252" s="667"/>
      <c r="L252" s="649"/>
      <c r="M252" s="730">
        <v>600</v>
      </c>
      <c r="N252" s="730">
        <v>400</v>
      </c>
      <c r="O252" s="647">
        <f t="shared" si="24"/>
        <v>66.66666666666666</v>
      </c>
      <c r="P252" s="666">
        <v>600</v>
      </c>
      <c r="Q252" s="667">
        <v>600</v>
      </c>
      <c r="R252" s="492">
        <f t="shared" si="22"/>
        <v>100</v>
      </c>
    </row>
    <row r="253" spans="1:18" ht="14.25" customHeight="1">
      <c r="A253" s="728">
        <v>4410</v>
      </c>
      <c r="B253" s="818" t="s">
        <v>855</v>
      </c>
      <c r="C253" s="666">
        <v>5910</v>
      </c>
      <c r="D253" s="643">
        <f aca="true" t="shared" si="25" ref="D253:E287">G253+J253+P253+M253</f>
        <v>5910</v>
      </c>
      <c r="E253" s="667">
        <f t="shared" si="23"/>
        <v>3464</v>
      </c>
      <c r="F253" s="644">
        <f t="shared" si="19"/>
        <v>58.612521150592215</v>
      </c>
      <c r="G253" s="666"/>
      <c r="H253" s="667"/>
      <c r="I253" s="731"/>
      <c r="J253" s="730"/>
      <c r="K253" s="667"/>
      <c r="L253" s="649"/>
      <c r="M253" s="730">
        <v>2500</v>
      </c>
      <c r="N253" s="730">
        <f>717+1</f>
        <v>718</v>
      </c>
      <c r="O253" s="647">
        <f t="shared" si="24"/>
        <v>28.720000000000002</v>
      </c>
      <c r="P253" s="666">
        <v>3410</v>
      </c>
      <c r="Q253" s="667">
        <v>2746</v>
      </c>
      <c r="R253" s="492">
        <f t="shared" si="22"/>
        <v>80.52785923753666</v>
      </c>
    </row>
    <row r="254" spans="1:18" ht="14.25" customHeight="1">
      <c r="A254" s="728">
        <v>4440</v>
      </c>
      <c r="B254" s="818" t="s">
        <v>719</v>
      </c>
      <c r="C254" s="666">
        <v>8100</v>
      </c>
      <c r="D254" s="643">
        <f t="shared" si="25"/>
        <v>8728</v>
      </c>
      <c r="E254" s="667">
        <f t="shared" si="23"/>
        <v>8728</v>
      </c>
      <c r="F254" s="644">
        <f t="shared" si="19"/>
        <v>100</v>
      </c>
      <c r="G254" s="666"/>
      <c r="H254" s="667"/>
      <c r="I254" s="731"/>
      <c r="J254" s="730"/>
      <c r="K254" s="667"/>
      <c r="L254" s="649"/>
      <c r="M254" s="730">
        <v>3400</v>
      </c>
      <c r="N254" s="730">
        <v>3400</v>
      </c>
      <c r="O254" s="492">
        <f t="shared" si="24"/>
        <v>100</v>
      </c>
      <c r="P254" s="666">
        <f>4700+628</f>
        <v>5328</v>
      </c>
      <c r="Q254" s="667">
        <v>5328</v>
      </c>
      <c r="R254" s="492">
        <f t="shared" si="22"/>
        <v>100</v>
      </c>
    </row>
    <row r="255" spans="1:18" ht="36">
      <c r="A255" s="829">
        <v>4700</v>
      </c>
      <c r="B255" s="850" t="s">
        <v>813</v>
      </c>
      <c r="C255" s="666">
        <v>1500</v>
      </c>
      <c r="D255" s="643">
        <f t="shared" si="25"/>
        <v>1500</v>
      </c>
      <c r="E255" s="667">
        <f t="shared" si="23"/>
        <v>0</v>
      </c>
      <c r="F255" s="644">
        <f t="shared" si="19"/>
        <v>0</v>
      </c>
      <c r="G255" s="666"/>
      <c r="H255" s="667"/>
      <c r="I255" s="731"/>
      <c r="J255" s="730"/>
      <c r="K255" s="667"/>
      <c r="L255" s="649"/>
      <c r="M255" s="730"/>
      <c r="N255" s="730"/>
      <c r="O255" s="647"/>
      <c r="P255" s="666">
        <v>1500</v>
      </c>
      <c r="Q255" s="667"/>
      <c r="R255" s="492">
        <f t="shared" si="22"/>
        <v>0</v>
      </c>
    </row>
    <row r="256" spans="1:18" ht="60">
      <c r="A256" s="829">
        <v>4740</v>
      </c>
      <c r="B256" s="850" t="s">
        <v>728</v>
      </c>
      <c r="C256" s="666">
        <v>1000</v>
      </c>
      <c r="D256" s="643">
        <f>G256+J256+P256+M256</f>
        <v>1000</v>
      </c>
      <c r="E256" s="667">
        <f>SUM(H256+K256+N256+Q256)</f>
        <v>0</v>
      </c>
      <c r="F256" s="644">
        <f>E256/D256*100</f>
        <v>0</v>
      </c>
      <c r="G256" s="666"/>
      <c r="H256" s="667"/>
      <c r="I256" s="731"/>
      <c r="J256" s="730"/>
      <c r="K256" s="898"/>
      <c r="L256" s="899"/>
      <c r="M256" s="730">
        <v>500</v>
      </c>
      <c r="N256" s="730"/>
      <c r="O256" s="647">
        <f t="shared" si="24"/>
        <v>0</v>
      </c>
      <c r="P256" s="666">
        <v>500</v>
      </c>
      <c r="Q256" s="667"/>
      <c r="R256" s="492">
        <f t="shared" si="22"/>
        <v>0</v>
      </c>
    </row>
    <row r="257" spans="1:18" ht="36">
      <c r="A257" s="829">
        <v>6060</v>
      </c>
      <c r="B257" s="735" t="s">
        <v>856</v>
      </c>
      <c r="C257" s="666">
        <v>40000</v>
      </c>
      <c r="D257" s="643">
        <f>G257+J257+P257+M257</f>
        <v>40000</v>
      </c>
      <c r="E257" s="667">
        <f>SUM(H257+K257+N257+Q257)</f>
        <v>40000</v>
      </c>
      <c r="F257" s="644">
        <f>E257/D257*100</f>
        <v>100</v>
      </c>
      <c r="G257" s="666"/>
      <c r="H257" s="667"/>
      <c r="I257" s="731"/>
      <c r="J257" s="730"/>
      <c r="K257" s="667"/>
      <c r="L257" s="649"/>
      <c r="M257" s="730"/>
      <c r="N257" s="730"/>
      <c r="O257" s="492"/>
      <c r="P257" s="666">
        <v>40000</v>
      </c>
      <c r="Q257" s="667">
        <v>40000</v>
      </c>
      <c r="R257" s="492">
        <f t="shared" si="22"/>
        <v>100</v>
      </c>
    </row>
    <row r="258" spans="1:18" ht="36">
      <c r="A258" s="874">
        <v>4750</v>
      </c>
      <c r="B258" s="875" t="s">
        <v>814</v>
      </c>
      <c r="C258" s="781">
        <v>5400</v>
      </c>
      <c r="D258" s="765">
        <f t="shared" si="25"/>
        <v>15400</v>
      </c>
      <c r="E258" s="785">
        <f t="shared" si="23"/>
        <v>1593</v>
      </c>
      <c r="F258" s="705">
        <f aca="true" t="shared" si="26" ref="F258:F316">E258/D258*100</f>
        <v>10.344155844155845</v>
      </c>
      <c r="G258" s="781"/>
      <c r="H258" s="785"/>
      <c r="I258" s="786"/>
      <c r="J258" s="782"/>
      <c r="K258" s="785"/>
      <c r="L258" s="768"/>
      <c r="M258" s="782">
        <v>3400</v>
      </c>
      <c r="N258" s="782"/>
      <c r="O258" s="647">
        <f t="shared" si="24"/>
        <v>0</v>
      </c>
      <c r="P258" s="781">
        <f>2000+10000</f>
        <v>12000</v>
      </c>
      <c r="Q258" s="785">
        <v>1593</v>
      </c>
      <c r="R258" s="766">
        <f t="shared" si="22"/>
        <v>13.275</v>
      </c>
    </row>
    <row r="259" spans="1:18" s="775" customFormat="1" ht="13.5" customHeight="1">
      <c r="A259" s="787">
        <v>71035</v>
      </c>
      <c r="B259" s="856" t="s">
        <v>373</v>
      </c>
      <c r="C259" s="673">
        <f>SUM(C260:C263)</f>
        <v>1349600</v>
      </c>
      <c r="D259" s="674">
        <f t="shared" si="25"/>
        <v>1649600</v>
      </c>
      <c r="E259" s="674">
        <f t="shared" si="23"/>
        <v>967861</v>
      </c>
      <c r="F259" s="675">
        <f t="shared" si="26"/>
        <v>58.672466052376336</v>
      </c>
      <c r="G259" s="673">
        <f>SUM(G260:G263)</f>
        <v>1633000</v>
      </c>
      <c r="H259" s="674">
        <f>SUM(H260:H263)</f>
        <v>960800</v>
      </c>
      <c r="I259" s="665">
        <f aca="true" t="shared" si="27" ref="I259:I271">H259/G259*100</f>
        <v>58.83649724433558</v>
      </c>
      <c r="J259" s="677">
        <f>SUM(J261:J263)</f>
        <v>16600</v>
      </c>
      <c r="K259" s="674">
        <f>SUM(K261:K263)</f>
        <v>7061</v>
      </c>
      <c r="L259" s="663">
        <f>K259/J259*100</f>
        <v>42.53614457831325</v>
      </c>
      <c r="M259" s="677"/>
      <c r="N259" s="677"/>
      <c r="O259" s="827"/>
      <c r="P259" s="673"/>
      <c r="Q259" s="674"/>
      <c r="R259" s="791"/>
    </row>
    <row r="260" spans="1:18" s="761" customFormat="1" ht="16.5" customHeight="1" hidden="1">
      <c r="A260" s="829">
        <v>4270</v>
      </c>
      <c r="B260" s="865" t="s">
        <v>713</v>
      </c>
      <c r="C260" s="697"/>
      <c r="D260" s="643">
        <f t="shared" si="25"/>
        <v>0</v>
      </c>
      <c r="E260" s="643">
        <f t="shared" si="25"/>
        <v>0</v>
      </c>
      <c r="F260" s="644"/>
      <c r="G260" s="697"/>
      <c r="H260" s="643"/>
      <c r="I260" s="647"/>
      <c r="J260" s="648"/>
      <c r="K260" s="643"/>
      <c r="L260" s="649"/>
      <c r="M260" s="648"/>
      <c r="N260" s="648"/>
      <c r="O260" s="731"/>
      <c r="P260" s="697"/>
      <c r="Q260" s="643"/>
      <c r="R260" s="647"/>
    </row>
    <row r="261" spans="1:18" ht="24.75" customHeight="1">
      <c r="A261" s="728">
        <v>4300</v>
      </c>
      <c r="B261" s="735" t="s">
        <v>857</v>
      </c>
      <c r="C261" s="666">
        <v>16600</v>
      </c>
      <c r="D261" s="643">
        <f t="shared" si="25"/>
        <v>16600</v>
      </c>
      <c r="E261" s="643">
        <f t="shared" si="25"/>
        <v>7061</v>
      </c>
      <c r="F261" s="644">
        <f t="shared" si="26"/>
        <v>42.53614457831325</v>
      </c>
      <c r="G261" s="666"/>
      <c r="H261" s="667"/>
      <c r="I261" s="647"/>
      <c r="J261" s="730">
        <v>16600</v>
      </c>
      <c r="K261" s="667">
        <v>7061</v>
      </c>
      <c r="L261" s="649">
        <f>K261/J261*100</f>
        <v>42.53614457831325</v>
      </c>
      <c r="M261" s="730"/>
      <c r="N261" s="730"/>
      <c r="O261" s="731"/>
      <c r="P261" s="666"/>
      <c r="Q261" s="667"/>
      <c r="R261" s="647"/>
    </row>
    <row r="262" spans="1:18" ht="29.25" customHeight="1">
      <c r="A262" s="728">
        <v>4300</v>
      </c>
      <c r="B262" s="735" t="s">
        <v>858</v>
      </c>
      <c r="C262" s="666">
        <v>1233000</v>
      </c>
      <c r="D262" s="643">
        <f t="shared" si="25"/>
        <v>1233000</v>
      </c>
      <c r="E262" s="643">
        <f t="shared" si="25"/>
        <v>697342</v>
      </c>
      <c r="F262" s="644">
        <f t="shared" si="26"/>
        <v>56.556528791565285</v>
      </c>
      <c r="G262" s="697">
        <v>1233000</v>
      </c>
      <c r="H262" s="643">
        <v>697342</v>
      </c>
      <c r="I262" s="647">
        <f t="shared" si="27"/>
        <v>56.556528791565285</v>
      </c>
      <c r="J262" s="730"/>
      <c r="K262" s="667"/>
      <c r="L262" s="649"/>
      <c r="M262" s="730"/>
      <c r="N262" s="730"/>
      <c r="O262" s="731"/>
      <c r="P262" s="666"/>
      <c r="Q262" s="667"/>
      <c r="R262" s="647"/>
    </row>
    <row r="263" spans="1:18" ht="24.75" thickBot="1">
      <c r="A263" s="728">
        <v>6050</v>
      </c>
      <c r="B263" s="735" t="s">
        <v>739</v>
      </c>
      <c r="C263" s="666">
        <v>100000</v>
      </c>
      <c r="D263" s="643">
        <f>G263+J263+P263+M263</f>
        <v>400000</v>
      </c>
      <c r="E263" s="643">
        <f>H263+K263+Q263+N263</f>
        <v>263458</v>
      </c>
      <c r="F263" s="644">
        <f>E263/D263*100</f>
        <v>65.8645</v>
      </c>
      <c r="G263" s="697">
        <f>100000+300000</f>
        <v>400000</v>
      </c>
      <c r="H263" s="643">
        <v>263458</v>
      </c>
      <c r="I263" s="647">
        <f t="shared" si="27"/>
        <v>65.8645</v>
      </c>
      <c r="J263" s="730"/>
      <c r="K263" s="667"/>
      <c r="L263" s="649"/>
      <c r="M263" s="900"/>
      <c r="N263" s="785"/>
      <c r="O263" s="731"/>
      <c r="P263" s="666"/>
      <c r="Q263" s="667"/>
      <c r="R263" s="647"/>
    </row>
    <row r="264" spans="1:18" ht="15.75" customHeight="1" hidden="1">
      <c r="A264" s="787">
        <v>71095</v>
      </c>
      <c r="B264" s="856" t="s">
        <v>311</v>
      </c>
      <c r="C264" s="673"/>
      <c r="D264" s="674">
        <f t="shared" si="25"/>
        <v>0</v>
      </c>
      <c r="E264" s="674">
        <f t="shared" si="25"/>
        <v>0</v>
      </c>
      <c r="F264" s="658" t="e">
        <f t="shared" si="26"/>
        <v>#DIV/0!</v>
      </c>
      <c r="G264" s="673">
        <f>G265</f>
        <v>0</v>
      </c>
      <c r="H264" s="674">
        <f>H265</f>
        <v>0</v>
      </c>
      <c r="I264" s="707" t="e">
        <f t="shared" si="27"/>
        <v>#DIV/0!</v>
      </c>
      <c r="J264" s="677"/>
      <c r="K264" s="674"/>
      <c r="L264" s="663"/>
      <c r="M264" s="901"/>
      <c r="N264" s="674"/>
      <c r="O264" s="827"/>
      <c r="P264" s="673"/>
      <c r="Q264" s="674"/>
      <c r="R264" s="791"/>
    </row>
    <row r="265" spans="1:18" ht="17.25" customHeight="1" hidden="1">
      <c r="A265" s="728">
        <v>4300</v>
      </c>
      <c r="B265" s="735" t="s">
        <v>715</v>
      </c>
      <c r="C265" s="666"/>
      <c r="D265" s="643">
        <f t="shared" si="25"/>
        <v>0</v>
      </c>
      <c r="E265" s="643">
        <f t="shared" si="25"/>
        <v>0</v>
      </c>
      <c r="F265" s="644" t="e">
        <f t="shared" si="26"/>
        <v>#DIV/0!</v>
      </c>
      <c r="G265" s="697"/>
      <c r="H265" s="643"/>
      <c r="I265" s="647" t="e">
        <f t="shared" si="27"/>
        <v>#DIV/0!</v>
      </c>
      <c r="J265" s="730"/>
      <c r="K265" s="667"/>
      <c r="L265" s="649"/>
      <c r="M265" s="900"/>
      <c r="N265" s="902"/>
      <c r="O265" s="731"/>
      <c r="P265" s="666"/>
      <c r="Q265" s="667"/>
      <c r="R265" s="647"/>
    </row>
    <row r="266" spans="1:18" s="723" customFormat="1" ht="29.25" customHeight="1" thickBot="1" thickTop="1">
      <c r="A266" s="718">
        <v>750</v>
      </c>
      <c r="B266" s="719" t="s">
        <v>859</v>
      </c>
      <c r="C266" s="720">
        <f>C267+C278+C291+C305+C423+C436+C371+C386</f>
        <v>31967597</v>
      </c>
      <c r="D266" s="618">
        <f t="shared" si="25"/>
        <v>33231563</v>
      </c>
      <c r="E266" s="623">
        <f t="shared" si="25"/>
        <v>22448075</v>
      </c>
      <c r="F266" s="619">
        <f t="shared" si="26"/>
        <v>67.55046399713429</v>
      </c>
      <c r="G266" s="720">
        <f>G267+G291+G305+G371+G423+G436+G278+G386</f>
        <v>27607400</v>
      </c>
      <c r="H266" s="623">
        <f>H267+H291+H305+H371+H423+H436+H278+H386</f>
        <v>18268910</v>
      </c>
      <c r="I266" s="621">
        <f t="shared" si="27"/>
        <v>66.1739606047654</v>
      </c>
      <c r="J266" s="623">
        <f>J267+J291+J305+J371+J423+J436+J278+J386</f>
        <v>770400</v>
      </c>
      <c r="K266" s="623">
        <f>K267+K291+K305+K371+K423+K436+K278+K386</f>
        <v>600388</v>
      </c>
      <c r="L266" s="903">
        <f aca="true" t="shared" si="28" ref="L266:L271">K266/J266*100</f>
        <v>77.93198338525441</v>
      </c>
      <c r="M266" s="904">
        <f>M267+M291+M305+M371+M423+M436+M278</f>
        <v>4545137</v>
      </c>
      <c r="N266" s="623">
        <f>N267+N291+N305+N371+N423+N436+N278</f>
        <v>3341981</v>
      </c>
      <c r="O266" s="621">
        <f>N266/M266*100</f>
        <v>73.52871871628952</v>
      </c>
      <c r="P266" s="720">
        <f>P267+P291+P305+P371+P423+P436+P278</f>
        <v>308626</v>
      </c>
      <c r="Q266" s="623">
        <f>Q267+Q291+Q305+Q371+Q423+Q436+Q278</f>
        <v>236796</v>
      </c>
      <c r="R266" s="742">
        <f aca="true" t="shared" si="29" ref="R266:R272">Q266/P266*100</f>
        <v>76.72587533130715</v>
      </c>
    </row>
    <row r="267" spans="1:18" ht="15" customHeight="1" thickTop="1">
      <c r="A267" s="724">
        <v>75011</v>
      </c>
      <c r="B267" s="854" t="s">
        <v>860</v>
      </c>
      <c r="C267" s="726">
        <f>SUM(C268:C277)</f>
        <v>1510700</v>
      </c>
      <c r="D267" s="727">
        <f t="shared" si="25"/>
        <v>1567840</v>
      </c>
      <c r="E267" s="871">
        <f t="shared" si="25"/>
        <v>1162023</v>
      </c>
      <c r="F267" s="705">
        <f t="shared" si="26"/>
        <v>74.11617256862945</v>
      </c>
      <c r="G267" s="726">
        <f>SUM(G268:G277)</f>
        <v>527175</v>
      </c>
      <c r="H267" s="657">
        <f>SUM(H268:H277)</f>
        <v>363200</v>
      </c>
      <c r="I267" s="707">
        <f t="shared" si="27"/>
        <v>68.89552805045763</v>
      </c>
      <c r="J267" s="662">
        <f>SUM(J268:J277)</f>
        <v>770400</v>
      </c>
      <c r="K267" s="657">
        <f>SUM(K268:K277)</f>
        <v>600388</v>
      </c>
      <c r="L267" s="905">
        <f t="shared" si="28"/>
        <v>77.93198338525441</v>
      </c>
      <c r="M267" s="657"/>
      <c r="N267" s="657"/>
      <c r="O267" s="317"/>
      <c r="P267" s="726">
        <f>SUM(P268:P277)</f>
        <v>270265</v>
      </c>
      <c r="Q267" s="657">
        <f>SUM(Q268:Q277)</f>
        <v>198435</v>
      </c>
      <c r="R267" s="766">
        <f t="shared" si="29"/>
        <v>73.42238173644387</v>
      </c>
    </row>
    <row r="268" spans="1:18" ht="24" customHeight="1">
      <c r="A268" s="891">
        <v>4010</v>
      </c>
      <c r="B268" s="892" t="s">
        <v>697</v>
      </c>
      <c r="C268" s="893">
        <v>909100</v>
      </c>
      <c r="D268" s="894">
        <f t="shared" si="25"/>
        <v>941500</v>
      </c>
      <c r="E268" s="895">
        <f aca="true" t="shared" si="30" ref="E268:E277">SUM(H268+K268+N268+Q268)</f>
        <v>750126</v>
      </c>
      <c r="F268" s="658">
        <f t="shared" si="26"/>
        <v>79.67349973446628</v>
      </c>
      <c r="G268" s="893">
        <v>158700</v>
      </c>
      <c r="H268" s="895">
        <v>119025</v>
      </c>
      <c r="I268" s="890">
        <f t="shared" si="27"/>
        <v>75</v>
      </c>
      <c r="J268" s="896">
        <f>569200+32400</f>
        <v>601600</v>
      </c>
      <c r="K268" s="895">
        <v>480044</v>
      </c>
      <c r="L268" s="890">
        <f t="shared" si="28"/>
        <v>79.79454787234043</v>
      </c>
      <c r="M268" s="895"/>
      <c r="N268" s="895"/>
      <c r="O268" s="317"/>
      <c r="P268" s="893">
        <v>181200</v>
      </c>
      <c r="Q268" s="895">
        <v>151057</v>
      </c>
      <c r="R268" s="890">
        <f t="shared" si="29"/>
        <v>83.36479028697572</v>
      </c>
    </row>
    <row r="269" spans="1:18" ht="24">
      <c r="A269" s="728">
        <v>4040</v>
      </c>
      <c r="B269" s="735" t="s">
        <v>801</v>
      </c>
      <c r="C269" s="666">
        <v>76100</v>
      </c>
      <c r="D269" s="643">
        <f t="shared" si="25"/>
        <v>76100</v>
      </c>
      <c r="E269" s="667">
        <f t="shared" si="30"/>
        <v>76100</v>
      </c>
      <c r="F269" s="644">
        <f t="shared" si="26"/>
        <v>100</v>
      </c>
      <c r="G269" s="666">
        <v>13200</v>
      </c>
      <c r="H269" s="667">
        <v>13200</v>
      </c>
      <c r="I269" s="492">
        <f t="shared" si="27"/>
        <v>100</v>
      </c>
      <c r="J269" s="730">
        <v>47700</v>
      </c>
      <c r="K269" s="667">
        <v>47700</v>
      </c>
      <c r="L269" s="492">
        <f t="shared" si="28"/>
        <v>100</v>
      </c>
      <c r="M269" s="667"/>
      <c r="N269" s="667"/>
      <c r="O269" s="731"/>
      <c r="P269" s="666">
        <v>15200</v>
      </c>
      <c r="Q269" s="667">
        <v>15200</v>
      </c>
      <c r="R269" s="492">
        <f t="shared" si="29"/>
        <v>100</v>
      </c>
    </row>
    <row r="270" spans="1:18" ht="24.75" customHeight="1">
      <c r="A270" s="728">
        <v>4110</v>
      </c>
      <c r="B270" s="876" t="s">
        <v>703</v>
      </c>
      <c r="C270" s="666">
        <v>169300</v>
      </c>
      <c r="D270" s="643">
        <f t="shared" si="25"/>
        <v>173859</v>
      </c>
      <c r="E270" s="667">
        <f t="shared" si="30"/>
        <v>114557</v>
      </c>
      <c r="F270" s="644">
        <f t="shared" si="26"/>
        <v>65.89075055073364</v>
      </c>
      <c r="G270" s="666">
        <v>29500</v>
      </c>
      <c r="H270" s="667">
        <v>22117</v>
      </c>
      <c r="I270" s="492">
        <f t="shared" si="27"/>
        <v>74.9728813559322</v>
      </c>
      <c r="J270" s="730">
        <v>106000</v>
      </c>
      <c r="K270" s="667">
        <v>64264</v>
      </c>
      <c r="L270" s="492">
        <f t="shared" si="28"/>
        <v>60.62641509433963</v>
      </c>
      <c r="M270" s="667"/>
      <c r="N270" s="667"/>
      <c r="O270" s="731"/>
      <c r="P270" s="666">
        <f>33800+4559</f>
        <v>38359</v>
      </c>
      <c r="Q270" s="667">
        <v>28176</v>
      </c>
      <c r="R270" s="492">
        <f t="shared" si="29"/>
        <v>73.45342683594463</v>
      </c>
    </row>
    <row r="271" spans="1:18" ht="11.25" customHeight="1">
      <c r="A271" s="728">
        <v>4120</v>
      </c>
      <c r="B271" s="735" t="s">
        <v>851</v>
      </c>
      <c r="C271" s="666">
        <v>24100</v>
      </c>
      <c r="D271" s="643">
        <f t="shared" si="25"/>
        <v>24836</v>
      </c>
      <c r="E271" s="667">
        <f t="shared" si="30"/>
        <v>15532</v>
      </c>
      <c r="F271" s="644">
        <f t="shared" si="26"/>
        <v>62.53825092607506</v>
      </c>
      <c r="G271" s="666">
        <v>4200</v>
      </c>
      <c r="H271" s="667">
        <v>3150</v>
      </c>
      <c r="I271" s="492">
        <f t="shared" si="27"/>
        <v>75</v>
      </c>
      <c r="J271" s="730">
        <v>15100</v>
      </c>
      <c r="K271" s="667">
        <v>8380</v>
      </c>
      <c r="L271" s="492">
        <f t="shared" si="28"/>
        <v>55.496688741721854</v>
      </c>
      <c r="M271" s="667"/>
      <c r="N271" s="667"/>
      <c r="O271" s="731"/>
      <c r="P271" s="666">
        <f>4800+736</f>
        <v>5536</v>
      </c>
      <c r="Q271" s="667">
        <v>4002</v>
      </c>
      <c r="R271" s="492">
        <f t="shared" si="29"/>
        <v>72.29046242774567</v>
      </c>
    </row>
    <row r="272" spans="1:18" ht="24">
      <c r="A272" s="728">
        <v>4170</v>
      </c>
      <c r="B272" s="735" t="s">
        <v>742</v>
      </c>
      <c r="C272" s="666"/>
      <c r="D272" s="643">
        <f>G272+J272+P272+M272</f>
        <v>29970</v>
      </c>
      <c r="E272" s="667">
        <f>SUM(H272+K272+N272+Q272)</f>
        <v>0</v>
      </c>
      <c r="F272" s="644">
        <f>E272/D272*100</f>
        <v>0</v>
      </c>
      <c r="G272" s="666"/>
      <c r="H272" s="667"/>
      <c r="I272" s="492"/>
      <c r="J272" s="730"/>
      <c r="K272" s="667"/>
      <c r="L272" s="492"/>
      <c r="M272" s="667"/>
      <c r="N272" s="667"/>
      <c r="O272" s="731"/>
      <c r="P272" s="666">
        <v>29970</v>
      </c>
      <c r="Q272" s="667"/>
      <c r="R272" s="492">
        <f t="shared" si="29"/>
        <v>0</v>
      </c>
    </row>
    <row r="273" spans="1:18" ht="24">
      <c r="A273" s="728">
        <v>4210</v>
      </c>
      <c r="B273" s="735" t="s">
        <v>707</v>
      </c>
      <c r="C273" s="666">
        <v>136200</v>
      </c>
      <c r="D273" s="643">
        <f t="shared" si="25"/>
        <v>125675</v>
      </c>
      <c r="E273" s="667">
        <f t="shared" si="30"/>
        <v>80385</v>
      </c>
      <c r="F273" s="644">
        <f t="shared" si="26"/>
        <v>63.96260194947284</v>
      </c>
      <c r="G273" s="666">
        <f>136200-11125+600</f>
        <v>125675</v>
      </c>
      <c r="H273" s="667">
        <v>80385</v>
      </c>
      <c r="I273" s="492">
        <f>H273/G273*100</f>
        <v>63.96260194947284</v>
      </c>
      <c r="J273" s="730"/>
      <c r="K273" s="667"/>
      <c r="L273" s="396"/>
      <c r="M273" s="667"/>
      <c r="N273" s="667"/>
      <c r="O273" s="731"/>
      <c r="P273" s="666"/>
      <c r="Q273" s="667"/>
      <c r="R273" s="647"/>
    </row>
    <row r="274" spans="1:18" ht="12.75">
      <c r="A274" s="728">
        <v>4260</v>
      </c>
      <c r="B274" s="735" t="s">
        <v>711</v>
      </c>
      <c r="C274" s="666">
        <v>34900</v>
      </c>
      <c r="D274" s="643">
        <f t="shared" si="25"/>
        <v>34900</v>
      </c>
      <c r="E274" s="667">
        <f t="shared" si="30"/>
        <v>27277</v>
      </c>
      <c r="F274" s="644">
        <f t="shared" si="26"/>
        <v>78.15759312320917</v>
      </c>
      <c r="G274" s="666">
        <v>34900</v>
      </c>
      <c r="H274" s="667">
        <v>27277</v>
      </c>
      <c r="I274" s="492">
        <f>H274/G274*100</f>
        <v>78.15759312320917</v>
      </c>
      <c r="J274" s="730"/>
      <c r="K274" s="667"/>
      <c r="L274" s="649"/>
      <c r="M274" s="667"/>
      <c r="N274" s="667"/>
      <c r="O274" s="731"/>
      <c r="P274" s="666"/>
      <c r="Q274" s="667"/>
      <c r="R274" s="699"/>
    </row>
    <row r="275" spans="1:18" ht="24">
      <c r="A275" s="728">
        <v>4300</v>
      </c>
      <c r="B275" s="735" t="s">
        <v>715</v>
      </c>
      <c r="C275" s="666">
        <v>106000</v>
      </c>
      <c r="D275" s="643">
        <f t="shared" si="25"/>
        <v>106000</v>
      </c>
      <c r="E275" s="667">
        <f>SUM(H275+K275+N275+Q275)</f>
        <v>71573</v>
      </c>
      <c r="F275" s="644">
        <f>E275/D275*100</f>
        <v>67.52169811320755</v>
      </c>
      <c r="G275" s="666">
        <v>106000</v>
      </c>
      <c r="H275" s="667">
        <v>71573</v>
      </c>
      <c r="I275" s="647">
        <f>H275/G275*100</f>
        <v>67.52169811320755</v>
      </c>
      <c r="J275" s="730"/>
      <c r="K275" s="667"/>
      <c r="L275" s="649"/>
      <c r="M275" s="667"/>
      <c r="N275" s="667"/>
      <c r="O275" s="731"/>
      <c r="P275" s="666"/>
      <c r="Q275" s="667"/>
      <c r="R275" s="699"/>
    </row>
    <row r="276" spans="1:18" ht="48">
      <c r="A276" s="829">
        <v>4360</v>
      </c>
      <c r="B276" s="850" t="s">
        <v>808</v>
      </c>
      <c r="C276" s="666">
        <v>21400</v>
      </c>
      <c r="D276" s="643">
        <f t="shared" si="25"/>
        <v>21400</v>
      </c>
      <c r="E276" s="667">
        <f>SUM(H276+K276+N276+Q276)</f>
        <v>8293</v>
      </c>
      <c r="F276" s="644">
        <f>E276/D276*100</f>
        <v>38.75233644859813</v>
      </c>
      <c r="G276" s="666">
        <v>21400</v>
      </c>
      <c r="H276" s="667">
        <v>8293</v>
      </c>
      <c r="I276" s="647">
        <f>H276/G276*100</f>
        <v>38.75233644859813</v>
      </c>
      <c r="J276" s="730"/>
      <c r="K276" s="667"/>
      <c r="L276" s="649"/>
      <c r="M276" s="667"/>
      <c r="N276" s="667"/>
      <c r="O276" s="731"/>
      <c r="P276" s="666"/>
      <c r="Q276" s="667"/>
      <c r="R276" s="699"/>
    </row>
    <row r="277" spans="1:18" ht="60">
      <c r="A277" s="829">
        <v>4740</v>
      </c>
      <c r="B277" s="850" t="s">
        <v>728</v>
      </c>
      <c r="C277" s="666">
        <v>33600</v>
      </c>
      <c r="D277" s="643">
        <f t="shared" si="25"/>
        <v>33600</v>
      </c>
      <c r="E277" s="667">
        <f t="shared" si="30"/>
        <v>18180</v>
      </c>
      <c r="F277" s="644">
        <f t="shared" si="26"/>
        <v>54.107142857142854</v>
      </c>
      <c r="G277" s="666">
        <v>33600</v>
      </c>
      <c r="H277" s="667">
        <v>18180</v>
      </c>
      <c r="I277" s="647">
        <f>H277/G277*100</f>
        <v>54.107142857142854</v>
      </c>
      <c r="J277" s="730"/>
      <c r="K277" s="667"/>
      <c r="L277" s="647" t="s">
        <v>374</v>
      </c>
      <c r="M277" s="667"/>
      <c r="N277" s="667"/>
      <c r="O277" s="731"/>
      <c r="P277" s="666"/>
      <c r="Q277" s="667"/>
      <c r="R277" s="737"/>
    </row>
    <row r="278" spans="1:18" ht="12.75" customHeight="1">
      <c r="A278" s="724">
        <v>75020</v>
      </c>
      <c r="B278" s="854" t="s">
        <v>386</v>
      </c>
      <c r="C278" s="726">
        <f>SUM(C279:C290)</f>
        <v>4542137</v>
      </c>
      <c r="D278" s="674">
        <f t="shared" si="25"/>
        <v>4542137</v>
      </c>
      <c r="E278" s="657">
        <f>H278+K278+Q278+N278</f>
        <v>3341981</v>
      </c>
      <c r="F278" s="658">
        <f t="shared" si="26"/>
        <v>73.57728311585494</v>
      </c>
      <c r="G278" s="893"/>
      <c r="H278" s="895"/>
      <c r="I278" s="317"/>
      <c r="J278" s="896"/>
      <c r="K278" s="895"/>
      <c r="L278" s="897"/>
      <c r="M278" s="657">
        <f>SUM(M279:M290)</f>
        <v>4542137</v>
      </c>
      <c r="N278" s="657">
        <f>SUM(N279:N290)</f>
        <v>3341981</v>
      </c>
      <c r="O278" s="890">
        <f aca="true" t="shared" si="31" ref="O278:O290">N278/M278*100</f>
        <v>73.57728311585494</v>
      </c>
      <c r="P278" s="726"/>
      <c r="Q278" s="657"/>
      <c r="R278" s="842"/>
    </row>
    <row r="279" spans="1:18" s="761" customFormat="1" ht="72">
      <c r="A279" s="756">
        <v>2320</v>
      </c>
      <c r="B279" s="757" t="s">
        <v>861</v>
      </c>
      <c r="C279" s="684">
        <f>15000+1598164</f>
        <v>1613164</v>
      </c>
      <c r="D279" s="685">
        <f t="shared" si="25"/>
        <v>1613164</v>
      </c>
      <c r="E279" s="686">
        <f aca="true" t="shared" si="32" ref="E279:E290">SUM(H279+K279+N279+Q279)</f>
        <v>1209870</v>
      </c>
      <c r="F279" s="668">
        <f t="shared" si="26"/>
        <v>74.99981403006763</v>
      </c>
      <c r="G279" s="684"/>
      <c r="H279" s="685"/>
      <c r="I279" s="779"/>
      <c r="J279" s="689"/>
      <c r="K279" s="685"/>
      <c r="L279" s="690"/>
      <c r="M279" s="906">
        <f>15000+1598164</f>
        <v>1613164</v>
      </c>
      <c r="N279" s="685">
        <v>1209870</v>
      </c>
      <c r="O279" s="758">
        <f t="shared" si="31"/>
        <v>74.99981403006763</v>
      </c>
      <c r="P279" s="684"/>
      <c r="Q279" s="685"/>
      <c r="R279" s="760"/>
    </row>
    <row r="280" spans="1:18" ht="12.75">
      <c r="A280" s="728">
        <v>4010</v>
      </c>
      <c r="B280" s="735" t="s">
        <v>862</v>
      </c>
      <c r="C280" s="666">
        <v>991700</v>
      </c>
      <c r="D280" s="643">
        <f t="shared" si="25"/>
        <v>991700</v>
      </c>
      <c r="E280" s="667">
        <f t="shared" si="32"/>
        <v>743778</v>
      </c>
      <c r="F280" s="644">
        <f t="shared" si="26"/>
        <v>75.00030251083997</v>
      </c>
      <c r="G280" s="666"/>
      <c r="H280" s="667"/>
      <c r="I280" s="731"/>
      <c r="J280" s="730"/>
      <c r="K280" s="667"/>
      <c r="L280" s="649"/>
      <c r="M280" s="794">
        <v>991700</v>
      </c>
      <c r="N280" s="667">
        <v>743778</v>
      </c>
      <c r="O280" s="492">
        <f t="shared" si="31"/>
        <v>75.00030251083997</v>
      </c>
      <c r="P280" s="666"/>
      <c r="Q280" s="667"/>
      <c r="R280" s="737"/>
    </row>
    <row r="281" spans="1:18" ht="24">
      <c r="A281" s="728">
        <v>4040</v>
      </c>
      <c r="B281" s="735" t="s">
        <v>801</v>
      </c>
      <c r="C281" s="666">
        <v>82400</v>
      </c>
      <c r="D281" s="643">
        <f t="shared" si="25"/>
        <v>82400</v>
      </c>
      <c r="E281" s="667">
        <f t="shared" si="32"/>
        <v>82400</v>
      </c>
      <c r="F281" s="644">
        <f t="shared" si="26"/>
        <v>100</v>
      </c>
      <c r="G281" s="666"/>
      <c r="H281" s="667"/>
      <c r="I281" s="731"/>
      <c r="J281" s="730"/>
      <c r="K281" s="667"/>
      <c r="L281" s="649"/>
      <c r="M281" s="794">
        <v>82400</v>
      </c>
      <c r="N281" s="667">
        <v>82400</v>
      </c>
      <c r="O281" s="492">
        <f t="shared" si="31"/>
        <v>100</v>
      </c>
      <c r="P281" s="666"/>
      <c r="Q281" s="667"/>
      <c r="R281" s="737"/>
    </row>
    <row r="282" spans="1:18" ht="24">
      <c r="A282" s="728">
        <v>4110</v>
      </c>
      <c r="B282" s="735" t="s">
        <v>703</v>
      </c>
      <c r="C282" s="666">
        <v>184600</v>
      </c>
      <c r="D282" s="643">
        <f t="shared" si="25"/>
        <v>184600</v>
      </c>
      <c r="E282" s="667">
        <f t="shared" si="32"/>
        <v>129060</v>
      </c>
      <c r="F282" s="644">
        <f t="shared" si="26"/>
        <v>69.91332611050922</v>
      </c>
      <c r="G282" s="666"/>
      <c r="H282" s="667"/>
      <c r="I282" s="731"/>
      <c r="J282" s="730"/>
      <c r="K282" s="667"/>
      <c r="L282" s="649"/>
      <c r="M282" s="794">
        <v>184600</v>
      </c>
      <c r="N282" s="667">
        <v>129060</v>
      </c>
      <c r="O282" s="492">
        <f t="shared" si="31"/>
        <v>69.91332611050922</v>
      </c>
      <c r="P282" s="666"/>
      <c r="Q282" s="667"/>
      <c r="R282" s="737"/>
    </row>
    <row r="283" spans="1:18" ht="16.5" customHeight="1">
      <c r="A283" s="728">
        <v>4120</v>
      </c>
      <c r="B283" s="735" t="s">
        <v>847</v>
      </c>
      <c r="C283" s="666">
        <v>26300</v>
      </c>
      <c r="D283" s="643">
        <f t="shared" si="25"/>
        <v>26300</v>
      </c>
      <c r="E283" s="667">
        <f t="shared" si="32"/>
        <v>18207</v>
      </c>
      <c r="F283" s="644">
        <f t="shared" si="26"/>
        <v>69.22813688212928</v>
      </c>
      <c r="G283" s="666"/>
      <c r="H283" s="667"/>
      <c r="I283" s="731"/>
      <c r="J283" s="730"/>
      <c r="K283" s="667"/>
      <c r="L283" s="649"/>
      <c r="M283" s="794">
        <v>26300</v>
      </c>
      <c r="N283" s="667">
        <v>18207</v>
      </c>
      <c r="O283" s="492">
        <f t="shared" si="31"/>
        <v>69.22813688212928</v>
      </c>
      <c r="P283" s="666"/>
      <c r="Q283" s="667"/>
      <c r="R283" s="737"/>
    </row>
    <row r="284" spans="1:18" ht="24">
      <c r="A284" s="728">
        <v>4210</v>
      </c>
      <c r="B284" s="735" t="s">
        <v>707</v>
      </c>
      <c r="C284" s="666">
        <v>93800</v>
      </c>
      <c r="D284" s="643">
        <f t="shared" si="25"/>
        <v>93800</v>
      </c>
      <c r="E284" s="667">
        <f t="shared" si="32"/>
        <v>52265</v>
      </c>
      <c r="F284" s="644">
        <f t="shared" si="26"/>
        <v>55.71961620469084</v>
      </c>
      <c r="G284" s="666"/>
      <c r="H284" s="667"/>
      <c r="I284" s="731"/>
      <c r="J284" s="730"/>
      <c r="K284" s="667"/>
      <c r="L284" s="649"/>
      <c r="M284" s="794">
        <v>93800</v>
      </c>
      <c r="N284" s="667">
        <v>52265</v>
      </c>
      <c r="O284" s="492">
        <f t="shared" si="31"/>
        <v>55.71961620469084</v>
      </c>
      <c r="P284" s="666"/>
      <c r="Q284" s="667"/>
      <c r="R284" s="737"/>
    </row>
    <row r="285" spans="1:18" ht="24" customHeight="1">
      <c r="A285" s="728">
        <v>4210</v>
      </c>
      <c r="B285" s="735" t="s">
        <v>863</v>
      </c>
      <c r="C285" s="666">
        <v>100000</v>
      </c>
      <c r="D285" s="643">
        <f t="shared" si="25"/>
        <v>100000</v>
      </c>
      <c r="E285" s="667">
        <f t="shared" si="32"/>
        <v>38313</v>
      </c>
      <c r="F285" s="644">
        <f t="shared" si="26"/>
        <v>38.313</v>
      </c>
      <c r="G285" s="666"/>
      <c r="H285" s="667"/>
      <c r="I285" s="731"/>
      <c r="J285" s="730"/>
      <c r="K285" s="667"/>
      <c r="L285" s="649"/>
      <c r="M285" s="794">
        <v>100000</v>
      </c>
      <c r="N285" s="667">
        <v>38313</v>
      </c>
      <c r="O285" s="647">
        <f t="shared" si="31"/>
        <v>38.313</v>
      </c>
      <c r="P285" s="666"/>
      <c r="Q285" s="667"/>
      <c r="R285" s="737"/>
    </row>
    <row r="286" spans="1:18" ht="12.75">
      <c r="A286" s="728">
        <v>4260</v>
      </c>
      <c r="B286" s="735" t="s">
        <v>711</v>
      </c>
      <c r="C286" s="666">
        <v>12173</v>
      </c>
      <c r="D286" s="643">
        <f t="shared" si="25"/>
        <v>12173</v>
      </c>
      <c r="E286" s="667">
        <f t="shared" si="32"/>
        <v>10364</v>
      </c>
      <c r="F286" s="644">
        <f t="shared" si="26"/>
        <v>85.1392425860511</v>
      </c>
      <c r="G286" s="666"/>
      <c r="H286" s="667"/>
      <c r="I286" s="731"/>
      <c r="J286" s="730"/>
      <c r="K286" s="667"/>
      <c r="L286" s="649"/>
      <c r="M286" s="794">
        <v>12173</v>
      </c>
      <c r="N286" s="667">
        <v>10364</v>
      </c>
      <c r="O286" s="647">
        <f t="shared" si="31"/>
        <v>85.1392425860511</v>
      </c>
      <c r="P286" s="666"/>
      <c r="Q286" s="667"/>
      <c r="R286" s="737"/>
    </row>
    <row r="287" spans="1:18" ht="24">
      <c r="A287" s="762">
        <v>4300</v>
      </c>
      <c r="B287" s="780" t="s">
        <v>715</v>
      </c>
      <c r="C287" s="781">
        <v>220000</v>
      </c>
      <c r="D287" s="765">
        <f t="shared" si="25"/>
        <v>220000</v>
      </c>
      <c r="E287" s="785">
        <f>SUM(H287+K287+N287+Q287)</f>
        <v>155071</v>
      </c>
      <c r="F287" s="705">
        <f>E287/D287*100</f>
        <v>70.48681818181818</v>
      </c>
      <c r="G287" s="781"/>
      <c r="H287" s="785"/>
      <c r="I287" s="786"/>
      <c r="J287" s="782"/>
      <c r="K287" s="785"/>
      <c r="L287" s="768"/>
      <c r="M287" s="907">
        <v>220000</v>
      </c>
      <c r="N287" s="785">
        <v>155071</v>
      </c>
      <c r="O287" s="707">
        <f t="shared" si="31"/>
        <v>70.48681818181818</v>
      </c>
      <c r="P287" s="781"/>
      <c r="Q287" s="785"/>
      <c r="R287" s="770"/>
    </row>
    <row r="288" spans="1:18" ht="24">
      <c r="A288" s="728">
        <v>4300</v>
      </c>
      <c r="B288" s="735" t="s">
        <v>864</v>
      </c>
      <c r="C288" s="666">
        <v>1100000</v>
      </c>
      <c r="D288" s="643">
        <f aca="true" t="shared" si="33" ref="D288:D353">G288+J288+P288+M288</f>
        <v>1100000</v>
      </c>
      <c r="E288" s="667">
        <f t="shared" si="32"/>
        <v>829442</v>
      </c>
      <c r="F288" s="644">
        <f t="shared" si="26"/>
        <v>75.40381818181818</v>
      </c>
      <c r="G288" s="666"/>
      <c r="H288" s="667"/>
      <c r="I288" s="731"/>
      <c r="J288" s="730"/>
      <c r="K288" s="667"/>
      <c r="L288" s="649"/>
      <c r="M288" s="794">
        <v>1100000</v>
      </c>
      <c r="N288" s="667">
        <v>829442</v>
      </c>
      <c r="O288" s="647">
        <f t="shared" si="31"/>
        <v>75.40381818181818</v>
      </c>
      <c r="P288" s="666"/>
      <c r="Q288" s="667"/>
      <c r="R288" s="737"/>
    </row>
    <row r="289" spans="1:18" ht="48">
      <c r="A289" s="829">
        <v>4370</v>
      </c>
      <c r="B289" s="850" t="s">
        <v>809</v>
      </c>
      <c r="C289" s="666">
        <v>52000</v>
      </c>
      <c r="D289" s="643">
        <f t="shared" si="33"/>
        <v>52000</v>
      </c>
      <c r="E289" s="667">
        <f>SUM(H289+K289+N289+Q289)</f>
        <v>29116</v>
      </c>
      <c r="F289" s="644">
        <f>E289/D289*100</f>
        <v>55.9923076923077</v>
      </c>
      <c r="G289" s="666"/>
      <c r="H289" s="667"/>
      <c r="I289" s="731"/>
      <c r="J289" s="730"/>
      <c r="K289" s="667"/>
      <c r="L289" s="649"/>
      <c r="M289" s="900">
        <v>52000</v>
      </c>
      <c r="N289" s="667">
        <v>29116</v>
      </c>
      <c r="O289" s="647">
        <f t="shared" si="31"/>
        <v>55.9923076923077</v>
      </c>
      <c r="P289" s="666"/>
      <c r="Q289" s="667"/>
      <c r="R289" s="737"/>
    </row>
    <row r="290" spans="1:18" ht="36">
      <c r="A290" s="874">
        <v>4750</v>
      </c>
      <c r="B290" s="875" t="s">
        <v>814</v>
      </c>
      <c r="C290" s="781">
        <v>66000</v>
      </c>
      <c r="D290" s="765">
        <f t="shared" si="33"/>
        <v>66000</v>
      </c>
      <c r="E290" s="785">
        <f t="shared" si="32"/>
        <v>44095</v>
      </c>
      <c r="F290" s="705">
        <f t="shared" si="26"/>
        <v>66.81060606060606</v>
      </c>
      <c r="G290" s="781"/>
      <c r="H290" s="785"/>
      <c r="I290" s="786"/>
      <c r="J290" s="782"/>
      <c r="K290" s="785"/>
      <c r="L290" s="768"/>
      <c r="M290" s="785">
        <v>66000</v>
      </c>
      <c r="N290" s="785">
        <f>44096-1</f>
        <v>44095</v>
      </c>
      <c r="O290" s="707">
        <f t="shared" si="31"/>
        <v>66.81060606060606</v>
      </c>
      <c r="P290" s="781"/>
      <c r="Q290" s="785"/>
      <c r="R290" s="770"/>
    </row>
    <row r="291" spans="1:18" ht="12.75">
      <c r="A291" s="724">
        <v>75022</v>
      </c>
      <c r="B291" s="854" t="s">
        <v>865</v>
      </c>
      <c r="C291" s="726">
        <f>SUM(C293:C299)</f>
        <v>501000</v>
      </c>
      <c r="D291" s="674">
        <f t="shared" si="33"/>
        <v>501000</v>
      </c>
      <c r="E291" s="657">
        <f>H291+K291+Q291+N291</f>
        <v>343374</v>
      </c>
      <c r="F291" s="658">
        <f t="shared" si="26"/>
        <v>68.5377245508982</v>
      </c>
      <c r="G291" s="726">
        <f>SUM(G293:G299)</f>
        <v>501000</v>
      </c>
      <c r="H291" s="657">
        <f>SUM(H293:H299)</f>
        <v>343374</v>
      </c>
      <c r="I291" s="665">
        <f>H291/G291*100</f>
        <v>68.5377245508982</v>
      </c>
      <c r="J291" s="662"/>
      <c r="K291" s="657"/>
      <c r="L291" s="663"/>
      <c r="M291" s="657"/>
      <c r="N291" s="657"/>
      <c r="O291" s="665"/>
      <c r="P291" s="726"/>
      <c r="Q291" s="657"/>
      <c r="R291" s="842"/>
    </row>
    <row r="292" spans="1:18" s="801" customFormat="1" ht="10.5" customHeight="1">
      <c r="A292" s="858"/>
      <c r="B292" s="859" t="s">
        <v>866</v>
      </c>
      <c r="C292" s="860">
        <f>SUM(C293:C298)</f>
        <v>485000</v>
      </c>
      <c r="D292" s="861">
        <f t="shared" si="33"/>
        <v>485000</v>
      </c>
      <c r="E292" s="861">
        <f>H292+K292+Q292+N292</f>
        <v>337009</v>
      </c>
      <c r="F292" s="668">
        <f t="shared" si="26"/>
        <v>69.48639175257732</v>
      </c>
      <c r="G292" s="860">
        <f>SUM(G293:G298)</f>
        <v>485000</v>
      </c>
      <c r="H292" s="861">
        <f>SUM(H293:H298)</f>
        <v>337009</v>
      </c>
      <c r="I292" s="652">
        <f>H292/G292*100</f>
        <v>69.48639175257732</v>
      </c>
      <c r="J292" s="862"/>
      <c r="K292" s="861"/>
      <c r="L292" s="751"/>
      <c r="M292" s="861"/>
      <c r="N292" s="861"/>
      <c r="O292" s="649"/>
      <c r="P292" s="860"/>
      <c r="Q292" s="861"/>
      <c r="R292" s="821"/>
    </row>
    <row r="293" spans="1:18" ht="21.75" customHeight="1">
      <c r="A293" s="728">
        <v>3030</v>
      </c>
      <c r="B293" s="735" t="s">
        <v>695</v>
      </c>
      <c r="C293" s="666">
        <v>453000</v>
      </c>
      <c r="D293" s="643">
        <f t="shared" si="33"/>
        <v>453000</v>
      </c>
      <c r="E293" s="667">
        <f aca="true" t="shared" si="34" ref="E293:E298">SUM(H293+K293+N293+Q293)</f>
        <v>329288</v>
      </c>
      <c r="F293" s="644">
        <f t="shared" si="26"/>
        <v>72.69050772626932</v>
      </c>
      <c r="G293" s="666">
        <v>453000</v>
      </c>
      <c r="H293" s="667">
        <v>329288</v>
      </c>
      <c r="I293" s="647">
        <f aca="true" t="shared" si="35" ref="I293:I356">H293/G293*100</f>
        <v>72.69050772626932</v>
      </c>
      <c r="J293" s="730"/>
      <c r="K293" s="667"/>
      <c r="L293" s="649"/>
      <c r="M293" s="667"/>
      <c r="N293" s="667"/>
      <c r="O293" s="731"/>
      <c r="P293" s="666"/>
      <c r="Q293" s="667"/>
      <c r="R293" s="737"/>
    </row>
    <row r="294" spans="1:18" ht="48" hidden="1">
      <c r="A294" s="728">
        <v>3040</v>
      </c>
      <c r="B294" s="735" t="s">
        <v>867</v>
      </c>
      <c r="C294" s="666"/>
      <c r="D294" s="643">
        <f t="shared" si="33"/>
        <v>0</v>
      </c>
      <c r="E294" s="667">
        <f t="shared" si="34"/>
        <v>0</v>
      </c>
      <c r="F294" s="644" t="e">
        <f t="shared" si="26"/>
        <v>#DIV/0!</v>
      </c>
      <c r="G294" s="666"/>
      <c r="H294" s="667"/>
      <c r="I294" s="647" t="e">
        <f t="shared" si="35"/>
        <v>#DIV/0!</v>
      </c>
      <c r="J294" s="730"/>
      <c r="K294" s="667"/>
      <c r="L294" s="649"/>
      <c r="M294" s="667"/>
      <c r="N294" s="667"/>
      <c r="O294" s="731"/>
      <c r="P294" s="666"/>
      <c r="Q294" s="667"/>
      <c r="R294" s="737"/>
    </row>
    <row r="295" spans="1:18" ht="24.75" customHeight="1">
      <c r="A295" s="728">
        <v>4210</v>
      </c>
      <c r="B295" s="735" t="s">
        <v>707</v>
      </c>
      <c r="C295" s="666">
        <v>11000</v>
      </c>
      <c r="D295" s="643">
        <f t="shared" si="33"/>
        <v>6000</v>
      </c>
      <c r="E295" s="667">
        <f t="shared" si="34"/>
        <v>4114</v>
      </c>
      <c r="F295" s="644">
        <f t="shared" si="26"/>
        <v>68.56666666666666</v>
      </c>
      <c r="G295" s="666">
        <f>11000-5000</f>
        <v>6000</v>
      </c>
      <c r="H295" s="667">
        <v>4114</v>
      </c>
      <c r="I295" s="647">
        <f t="shared" si="35"/>
        <v>68.56666666666666</v>
      </c>
      <c r="J295" s="730"/>
      <c r="K295" s="667"/>
      <c r="L295" s="649"/>
      <c r="M295" s="667"/>
      <c r="N295" s="667"/>
      <c r="O295" s="731"/>
      <c r="P295" s="666"/>
      <c r="Q295" s="667"/>
      <c r="R295" s="737"/>
    </row>
    <row r="296" spans="1:18" ht="15.75" customHeight="1">
      <c r="A296" s="728">
        <v>4300</v>
      </c>
      <c r="B296" s="735" t="s">
        <v>715</v>
      </c>
      <c r="C296" s="666">
        <v>10000</v>
      </c>
      <c r="D296" s="643">
        <f t="shared" si="33"/>
        <v>15000</v>
      </c>
      <c r="E296" s="667">
        <f t="shared" si="34"/>
        <v>2951</v>
      </c>
      <c r="F296" s="644">
        <f t="shared" si="26"/>
        <v>19.673333333333336</v>
      </c>
      <c r="G296" s="666">
        <f>10000+5000</f>
        <v>15000</v>
      </c>
      <c r="H296" s="667">
        <v>2951</v>
      </c>
      <c r="I296" s="647">
        <f t="shared" si="35"/>
        <v>19.673333333333336</v>
      </c>
      <c r="J296" s="730"/>
      <c r="K296" s="667"/>
      <c r="L296" s="649"/>
      <c r="M296" s="667"/>
      <c r="N296" s="667"/>
      <c r="O296" s="731"/>
      <c r="P296" s="666"/>
      <c r="Q296" s="667"/>
      <c r="R296" s="737"/>
    </row>
    <row r="297" spans="1:18" ht="24">
      <c r="A297" s="728">
        <v>4410</v>
      </c>
      <c r="B297" s="735" t="s">
        <v>689</v>
      </c>
      <c r="C297" s="666">
        <v>7000</v>
      </c>
      <c r="D297" s="643">
        <f t="shared" si="33"/>
        <v>7000</v>
      </c>
      <c r="E297" s="667">
        <f t="shared" si="34"/>
        <v>208</v>
      </c>
      <c r="F297" s="644">
        <f t="shared" si="26"/>
        <v>2.9714285714285715</v>
      </c>
      <c r="G297" s="666">
        <v>7000</v>
      </c>
      <c r="H297" s="667">
        <v>208</v>
      </c>
      <c r="I297" s="647">
        <f t="shared" si="35"/>
        <v>2.9714285714285715</v>
      </c>
      <c r="J297" s="730"/>
      <c r="K297" s="667"/>
      <c r="L297" s="649"/>
      <c r="M297" s="667"/>
      <c r="N297" s="667"/>
      <c r="O297" s="731"/>
      <c r="P297" s="666"/>
      <c r="Q297" s="667"/>
      <c r="R297" s="737"/>
    </row>
    <row r="298" spans="1:18" ht="21.75" customHeight="1">
      <c r="A298" s="728">
        <v>4420</v>
      </c>
      <c r="B298" s="735" t="s">
        <v>823</v>
      </c>
      <c r="C298" s="666">
        <v>4000</v>
      </c>
      <c r="D298" s="643">
        <f t="shared" si="33"/>
        <v>4000</v>
      </c>
      <c r="E298" s="667">
        <f t="shared" si="34"/>
        <v>448</v>
      </c>
      <c r="F298" s="644">
        <f t="shared" si="26"/>
        <v>11.200000000000001</v>
      </c>
      <c r="G298" s="666">
        <v>4000</v>
      </c>
      <c r="H298" s="667">
        <v>448</v>
      </c>
      <c r="I298" s="647">
        <f t="shared" si="35"/>
        <v>11.200000000000001</v>
      </c>
      <c r="J298" s="730"/>
      <c r="K298" s="667"/>
      <c r="L298" s="649"/>
      <c r="M298" s="667"/>
      <c r="N298" s="667"/>
      <c r="O298" s="731"/>
      <c r="P298" s="666"/>
      <c r="Q298" s="667"/>
      <c r="R298" s="737"/>
    </row>
    <row r="299" spans="1:18" s="801" customFormat="1" ht="16.5" customHeight="1">
      <c r="A299" s="858"/>
      <c r="B299" s="859" t="s">
        <v>868</v>
      </c>
      <c r="C299" s="860">
        <f>SUM(C301:C304)</f>
        <v>16000</v>
      </c>
      <c r="D299" s="861">
        <f t="shared" si="33"/>
        <v>16000</v>
      </c>
      <c r="E299" s="861">
        <f>H299+K299+Q299+N299</f>
        <v>6365</v>
      </c>
      <c r="F299" s="644">
        <f t="shared" si="26"/>
        <v>39.78125</v>
      </c>
      <c r="G299" s="860">
        <f>SUM(G300:G304)</f>
        <v>16000</v>
      </c>
      <c r="H299" s="861">
        <f>SUM(H300:H304)</f>
        <v>6365</v>
      </c>
      <c r="I299" s="647">
        <f t="shared" si="35"/>
        <v>39.78125</v>
      </c>
      <c r="J299" s="862"/>
      <c r="K299" s="862"/>
      <c r="L299" s="751"/>
      <c r="M299" s="861"/>
      <c r="N299" s="861"/>
      <c r="O299" s="649"/>
      <c r="P299" s="860"/>
      <c r="Q299" s="861"/>
      <c r="R299" s="821"/>
    </row>
    <row r="300" spans="1:18" s="761" customFormat="1" ht="48" hidden="1">
      <c r="A300" s="829">
        <v>3040</v>
      </c>
      <c r="B300" s="865" t="s">
        <v>867</v>
      </c>
      <c r="C300" s="697"/>
      <c r="D300" s="643">
        <f t="shared" si="33"/>
        <v>0</v>
      </c>
      <c r="E300" s="667">
        <f>SUM(H300+K300+N300+Q300)</f>
        <v>0</v>
      </c>
      <c r="F300" s="644" t="e">
        <f t="shared" si="26"/>
        <v>#DIV/0!</v>
      </c>
      <c r="G300" s="697"/>
      <c r="H300" s="643"/>
      <c r="I300" s="647" t="e">
        <f t="shared" si="35"/>
        <v>#DIV/0!</v>
      </c>
      <c r="J300" s="648"/>
      <c r="K300" s="648"/>
      <c r="L300" s="649"/>
      <c r="M300" s="643"/>
      <c r="N300" s="643"/>
      <c r="O300" s="731"/>
      <c r="P300" s="697"/>
      <c r="Q300" s="643"/>
      <c r="R300" s="737"/>
    </row>
    <row r="301" spans="1:18" ht="23.25" customHeight="1">
      <c r="A301" s="728">
        <v>4210</v>
      </c>
      <c r="B301" s="735" t="s">
        <v>707</v>
      </c>
      <c r="C301" s="666">
        <v>10000</v>
      </c>
      <c r="D301" s="643">
        <f t="shared" si="33"/>
        <v>9878</v>
      </c>
      <c r="E301" s="667">
        <f>SUM(H301+K301+N301+Q301)</f>
        <v>1276</v>
      </c>
      <c r="F301" s="644">
        <f t="shared" si="26"/>
        <v>12.91759465478842</v>
      </c>
      <c r="G301" s="666">
        <f>10000-122</f>
        <v>9878</v>
      </c>
      <c r="H301" s="667">
        <v>1276</v>
      </c>
      <c r="I301" s="647">
        <f t="shared" si="35"/>
        <v>12.91759465478842</v>
      </c>
      <c r="J301" s="730"/>
      <c r="K301" s="667"/>
      <c r="L301" s="649"/>
      <c r="M301" s="667"/>
      <c r="N301" s="667"/>
      <c r="O301" s="731"/>
      <c r="P301" s="666"/>
      <c r="Q301" s="667"/>
      <c r="R301" s="737"/>
    </row>
    <row r="302" spans="1:18" ht="12.75" customHeight="1">
      <c r="A302" s="728">
        <v>4300</v>
      </c>
      <c r="B302" s="735" t="s">
        <v>715</v>
      </c>
      <c r="C302" s="666">
        <v>4900</v>
      </c>
      <c r="D302" s="643">
        <f t="shared" si="33"/>
        <v>4900</v>
      </c>
      <c r="E302" s="667">
        <f>SUM(H302+K302+N302+Q302)</f>
        <v>3867</v>
      </c>
      <c r="F302" s="644">
        <f t="shared" si="26"/>
        <v>78.91836734693878</v>
      </c>
      <c r="G302" s="666">
        <v>4900</v>
      </c>
      <c r="H302" s="667">
        <f>3866+1</f>
        <v>3867</v>
      </c>
      <c r="I302" s="647">
        <f t="shared" si="35"/>
        <v>78.91836734693878</v>
      </c>
      <c r="J302" s="730"/>
      <c r="K302" s="667"/>
      <c r="L302" s="649"/>
      <c r="M302" s="667"/>
      <c r="N302" s="667"/>
      <c r="O302" s="731"/>
      <c r="P302" s="666"/>
      <c r="Q302" s="667"/>
      <c r="R302" s="737"/>
    </row>
    <row r="303" spans="1:18" ht="15" customHeight="1" hidden="1">
      <c r="A303" s="728">
        <v>4410</v>
      </c>
      <c r="B303" s="735" t="s">
        <v>855</v>
      </c>
      <c r="C303" s="666"/>
      <c r="D303" s="643">
        <f t="shared" si="33"/>
        <v>0</v>
      </c>
      <c r="E303" s="667">
        <f>SUM(H303+K303+N303+Q303)</f>
        <v>0</v>
      </c>
      <c r="F303" s="644" t="e">
        <f t="shared" si="26"/>
        <v>#DIV/0!</v>
      </c>
      <c r="G303" s="666"/>
      <c r="H303" s="667"/>
      <c r="I303" s="647" t="e">
        <f t="shared" si="35"/>
        <v>#DIV/0!</v>
      </c>
      <c r="J303" s="730"/>
      <c r="K303" s="667"/>
      <c r="L303" s="649"/>
      <c r="M303" s="667"/>
      <c r="N303" s="667"/>
      <c r="O303" s="731"/>
      <c r="P303" s="666"/>
      <c r="Q303" s="667"/>
      <c r="R303" s="737"/>
    </row>
    <row r="304" spans="1:18" ht="15" customHeight="1">
      <c r="A304" s="762">
        <v>4430</v>
      </c>
      <c r="B304" s="780" t="s">
        <v>717</v>
      </c>
      <c r="C304" s="781">
        <v>1100</v>
      </c>
      <c r="D304" s="765">
        <f t="shared" si="33"/>
        <v>1222</v>
      </c>
      <c r="E304" s="785">
        <f>SUM(H304+K304+N304+Q304)</f>
        <v>1222</v>
      </c>
      <c r="F304" s="705">
        <f t="shared" si="26"/>
        <v>100</v>
      </c>
      <c r="G304" s="781">
        <f>1100+122</f>
        <v>1222</v>
      </c>
      <c r="H304" s="908">
        <v>1222</v>
      </c>
      <c r="I304" s="766">
        <f t="shared" si="35"/>
        <v>100</v>
      </c>
      <c r="J304" s="909"/>
      <c r="K304" s="785"/>
      <c r="L304" s="768"/>
      <c r="M304" s="908"/>
      <c r="N304" s="908"/>
      <c r="O304" s="910"/>
      <c r="P304" s="911"/>
      <c r="Q304" s="908"/>
      <c r="R304" s="912"/>
    </row>
    <row r="305" spans="1:18" ht="12.75">
      <c r="A305" s="724">
        <v>75023</v>
      </c>
      <c r="B305" s="913" t="s">
        <v>869</v>
      </c>
      <c r="C305" s="726">
        <f>SUM(C312:C367)-SUM(C338:C344)+C306-SUM(C326:C330)-SUM(C334:C335)</f>
        <v>21188650</v>
      </c>
      <c r="D305" s="674">
        <f t="shared" si="33"/>
        <v>21852675</v>
      </c>
      <c r="E305" s="657">
        <f>H305+K305+Q305+N305</f>
        <v>14831203</v>
      </c>
      <c r="F305" s="658">
        <f t="shared" si="26"/>
        <v>67.8690503565353</v>
      </c>
      <c r="G305" s="726">
        <f>G306+G312+G313+G314+G315+G318+G320+G322+G323+G325+G331+G332+G333+G336+G337+G347+G348+G349+G350+G351+G352+G353+G354+G356+G358+G361+G363+G364+G365+G366+G367</f>
        <v>21852675</v>
      </c>
      <c r="H305" s="657">
        <f>H306+H312+H313+H314+H315+H318+H320+H322+H323+H325+H331+H332+H333+H336+H337+H347+H348+H349+H350+H351+H352+H353+H354+H356+H358+H361+H363+H364+H365+H366+H367</f>
        <v>14831203</v>
      </c>
      <c r="I305" s="665">
        <f t="shared" si="35"/>
        <v>67.8690503565353</v>
      </c>
      <c r="J305" s="662"/>
      <c r="K305" s="657"/>
      <c r="L305" s="663"/>
      <c r="M305" s="657"/>
      <c r="N305" s="657"/>
      <c r="O305" s="317"/>
      <c r="P305" s="726"/>
      <c r="Q305" s="657"/>
      <c r="R305" s="842"/>
    </row>
    <row r="306" spans="1:18" s="761" customFormat="1" ht="27" customHeight="1">
      <c r="A306" s="829">
        <v>3020</v>
      </c>
      <c r="B306" s="865" t="s">
        <v>800</v>
      </c>
      <c r="C306" s="684">
        <f>SUM(C307:C311)</f>
        <v>151700</v>
      </c>
      <c r="D306" s="643">
        <f t="shared" si="33"/>
        <v>165100</v>
      </c>
      <c r="E306" s="643">
        <f aca="true" t="shared" si="36" ref="E306:E336">SUM(H306+K306+N306+Q306)</f>
        <v>105781</v>
      </c>
      <c r="F306" s="644">
        <f t="shared" si="26"/>
        <v>64.07086614173228</v>
      </c>
      <c r="G306" s="684">
        <f>SUM(G307:G311)</f>
        <v>165100</v>
      </c>
      <c r="H306" s="685">
        <f>SUM(H307:H311)</f>
        <v>105781</v>
      </c>
      <c r="I306" s="647">
        <f t="shared" si="35"/>
        <v>64.07086614173228</v>
      </c>
      <c r="J306" s="689"/>
      <c r="K306" s="685"/>
      <c r="L306" s="690"/>
      <c r="M306" s="685"/>
      <c r="N306" s="685"/>
      <c r="O306" s="779"/>
      <c r="P306" s="684"/>
      <c r="Q306" s="685"/>
      <c r="R306" s="760"/>
    </row>
    <row r="307" spans="1:18" s="801" customFormat="1" ht="24">
      <c r="A307" s="795"/>
      <c r="B307" s="796" t="s">
        <v>870</v>
      </c>
      <c r="C307" s="797">
        <v>10200</v>
      </c>
      <c r="D307" s="798">
        <f t="shared" si="33"/>
        <v>18600</v>
      </c>
      <c r="E307" s="798">
        <f t="shared" si="36"/>
        <v>17692</v>
      </c>
      <c r="F307" s="644">
        <f t="shared" si="26"/>
        <v>95.11827956989248</v>
      </c>
      <c r="G307" s="797">
        <f>10200+6300+1100+1000</f>
        <v>18600</v>
      </c>
      <c r="H307" s="798">
        <v>17692</v>
      </c>
      <c r="I307" s="647">
        <f t="shared" si="35"/>
        <v>95.11827956989248</v>
      </c>
      <c r="J307" s="799"/>
      <c r="K307" s="798"/>
      <c r="L307" s="649"/>
      <c r="M307" s="798"/>
      <c r="N307" s="798"/>
      <c r="O307" s="649"/>
      <c r="P307" s="797"/>
      <c r="Q307" s="798"/>
      <c r="R307" s="821"/>
    </row>
    <row r="308" spans="1:18" s="801" customFormat="1" ht="12.75">
      <c r="A308" s="795"/>
      <c r="B308" s="796" t="s">
        <v>871</v>
      </c>
      <c r="C308" s="797">
        <v>68500</v>
      </c>
      <c r="D308" s="798">
        <f t="shared" si="33"/>
        <v>68500</v>
      </c>
      <c r="E308" s="798">
        <f t="shared" si="36"/>
        <v>53325</v>
      </c>
      <c r="F308" s="644">
        <f t="shared" si="26"/>
        <v>77.84671532846716</v>
      </c>
      <c r="G308" s="797">
        <v>68500</v>
      </c>
      <c r="H308" s="798">
        <v>53325</v>
      </c>
      <c r="I308" s="647">
        <f t="shared" si="35"/>
        <v>77.84671532846716</v>
      </c>
      <c r="J308" s="799"/>
      <c r="K308" s="798"/>
      <c r="L308" s="649"/>
      <c r="M308" s="798"/>
      <c r="N308" s="798"/>
      <c r="O308" s="649"/>
      <c r="P308" s="797"/>
      <c r="Q308" s="798"/>
      <c r="R308" s="821"/>
    </row>
    <row r="309" spans="1:18" s="801" customFormat="1" ht="12.75">
      <c r="A309" s="795"/>
      <c r="B309" s="796" t="s">
        <v>872</v>
      </c>
      <c r="C309" s="797">
        <v>60000</v>
      </c>
      <c r="D309" s="798">
        <f t="shared" si="33"/>
        <v>60000</v>
      </c>
      <c r="E309" s="798">
        <f t="shared" si="36"/>
        <v>22683</v>
      </c>
      <c r="F309" s="644">
        <f t="shared" si="26"/>
        <v>37.805</v>
      </c>
      <c r="G309" s="797">
        <v>60000</v>
      </c>
      <c r="H309" s="798">
        <v>22683</v>
      </c>
      <c r="I309" s="647">
        <f t="shared" si="35"/>
        <v>37.805</v>
      </c>
      <c r="J309" s="799"/>
      <c r="K309" s="798"/>
      <c r="L309" s="649"/>
      <c r="M309" s="798"/>
      <c r="N309" s="798"/>
      <c r="O309" s="649"/>
      <c r="P309" s="797"/>
      <c r="Q309" s="798"/>
      <c r="R309" s="821"/>
    </row>
    <row r="310" spans="1:18" s="801" customFormat="1" ht="12.75" hidden="1">
      <c r="A310" s="795"/>
      <c r="B310" s="796" t="s">
        <v>873</v>
      </c>
      <c r="C310" s="797"/>
      <c r="D310" s="798">
        <f t="shared" si="33"/>
        <v>0</v>
      </c>
      <c r="E310" s="798">
        <f>SUM(H310+K310+N310+Q310)</f>
        <v>0</v>
      </c>
      <c r="F310" s="644" t="e">
        <f>E310/D310*100</f>
        <v>#DIV/0!</v>
      </c>
      <c r="G310" s="797"/>
      <c r="H310" s="798"/>
      <c r="I310" s="647" t="e">
        <f t="shared" si="35"/>
        <v>#DIV/0!</v>
      </c>
      <c r="J310" s="799"/>
      <c r="K310" s="798"/>
      <c r="L310" s="649"/>
      <c r="M310" s="798"/>
      <c r="N310" s="798"/>
      <c r="O310" s="649"/>
      <c r="P310" s="797"/>
      <c r="Q310" s="798"/>
      <c r="R310" s="821"/>
    </row>
    <row r="311" spans="1:18" s="801" customFormat="1" ht="12.75">
      <c r="A311" s="795"/>
      <c r="B311" s="796" t="s">
        <v>874</v>
      </c>
      <c r="C311" s="797">
        <v>13000</v>
      </c>
      <c r="D311" s="798">
        <f t="shared" si="33"/>
        <v>18000</v>
      </c>
      <c r="E311" s="798">
        <f t="shared" si="36"/>
        <v>12081</v>
      </c>
      <c r="F311" s="644">
        <f t="shared" si="26"/>
        <v>67.11666666666667</v>
      </c>
      <c r="G311" s="797">
        <f>13000+5000</f>
        <v>18000</v>
      </c>
      <c r="H311" s="798">
        <v>12081</v>
      </c>
      <c r="I311" s="647">
        <f t="shared" si="35"/>
        <v>67.11666666666667</v>
      </c>
      <c r="J311" s="799"/>
      <c r="K311" s="798"/>
      <c r="L311" s="649"/>
      <c r="M311" s="798"/>
      <c r="N311" s="798"/>
      <c r="O311" s="649"/>
      <c r="P311" s="797"/>
      <c r="Q311" s="798"/>
      <c r="R311" s="821"/>
    </row>
    <row r="312" spans="1:18" ht="24">
      <c r="A312" s="728">
        <v>3030</v>
      </c>
      <c r="B312" s="735" t="s">
        <v>875</v>
      </c>
      <c r="C312" s="666">
        <v>2000</v>
      </c>
      <c r="D312" s="643">
        <f t="shared" si="33"/>
        <v>2000</v>
      </c>
      <c r="E312" s="667">
        <f t="shared" si="36"/>
        <v>0</v>
      </c>
      <c r="F312" s="644">
        <f t="shared" si="26"/>
        <v>0</v>
      </c>
      <c r="G312" s="666">
        <v>2000</v>
      </c>
      <c r="H312" s="667"/>
      <c r="I312" s="647">
        <f t="shared" si="35"/>
        <v>0</v>
      </c>
      <c r="J312" s="730"/>
      <c r="K312" s="667"/>
      <c r="L312" s="649"/>
      <c r="M312" s="667"/>
      <c r="N312" s="667"/>
      <c r="O312" s="731"/>
      <c r="P312" s="666"/>
      <c r="Q312" s="667"/>
      <c r="R312" s="737"/>
    </row>
    <row r="313" spans="1:18" ht="48">
      <c r="A313" s="728">
        <v>3040</v>
      </c>
      <c r="B313" s="735" t="s">
        <v>876</v>
      </c>
      <c r="C313" s="666">
        <v>7000</v>
      </c>
      <c r="D313" s="643">
        <f>G313+J313+P313+M313</f>
        <v>7000</v>
      </c>
      <c r="E313" s="667">
        <f>SUM(H313+K313+N313+Q313)</f>
        <v>1235</v>
      </c>
      <c r="F313" s="644">
        <f>E313/D313*100</f>
        <v>17.642857142857142</v>
      </c>
      <c r="G313" s="666">
        <v>7000</v>
      </c>
      <c r="H313" s="667">
        <v>1235</v>
      </c>
      <c r="I313" s="647">
        <f t="shared" si="35"/>
        <v>17.642857142857142</v>
      </c>
      <c r="J313" s="730"/>
      <c r="K313" s="667"/>
      <c r="L313" s="649"/>
      <c r="M313" s="667"/>
      <c r="N313" s="667"/>
      <c r="O313" s="731"/>
      <c r="P313" s="666"/>
      <c r="Q313" s="667"/>
      <c r="R313" s="737"/>
    </row>
    <row r="314" spans="1:18" ht="24">
      <c r="A314" s="762">
        <v>4010</v>
      </c>
      <c r="B314" s="780" t="s">
        <v>697</v>
      </c>
      <c r="C314" s="781">
        <v>11983800</v>
      </c>
      <c r="D314" s="765">
        <f t="shared" si="33"/>
        <v>12143800</v>
      </c>
      <c r="E314" s="785">
        <f t="shared" si="36"/>
        <v>8585967</v>
      </c>
      <c r="F314" s="705">
        <f t="shared" si="26"/>
        <v>70.70247369027817</v>
      </c>
      <c r="G314" s="781">
        <f>11983800+160000</f>
        <v>12143800</v>
      </c>
      <c r="H314" s="785">
        <v>8585967</v>
      </c>
      <c r="I314" s="707">
        <f t="shared" si="35"/>
        <v>70.70247369027817</v>
      </c>
      <c r="J314" s="782"/>
      <c r="K314" s="785"/>
      <c r="L314" s="768"/>
      <c r="M314" s="785"/>
      <c r="N314" s="785"/>
      <c r="O314" s="786"/>
      <c r="P314" s="781"/>
      <c r="Q314" s="785"/>
      <c r="R314" s="770"/>
    </row>
    <row r="315" spans="1:18" ht="24">
      <c r="A315" s="849">
        <v>4040</v>
      </c>
      <c r="B315" s="735" t="s">
        <v>801</v>
      </c>
      <c r="C315" s="666">
        <v>931100</v>
      </c>
      <c r="D315" s="643">
        <f t="shared" si="33"/>
        <v>846100</v>
      </c>
      <c r="E315" s="667">
        <f t="shared" si="36"/>
        <v>836471</v>
      </c>
      <c r="F315" s="644">
        <f t="shared" si="26"/>
        <v>98.86195485167238</v>
      </c>
      <c r="G315" s="666">
        <f>931100-71000-14000</f>
        <v>846100</v>
      </c>
      <c r="H315" s="667">
        <v>836471</v>
      </c>
      <c r="I315" s="647">
        <f t="shared" si="35"/>
        <v>98.86195485167238</v>
      </c>
      <c r="J315" s="730"/>
      <c r="K315" s="667"/>
      <c r="L315" s="649"/>
      <c r="M315" s="667"/>
      <c r="N315" s="667"/>
      <c r="O315" s="731"/>
      <c r="P315" s="666"/>
      <c r="Q315" s="667"/>
      <c r="R315" s="737"/>
    </row>
    <row r="316" spans="1:18" ht="24" hidden="1">
      <c r="A316" s="849">
        <v>4100</v>
      </c>
      <c r="B316" s="735" t="s">
        <v>877</v>
      </c>
      <c r="C316" s="666"/>
      <c r="D316" s="643">
        <f t="shared" si="33"/>
        <v>0</v>
      </c>
      <c r="E316" s="667">
        <f t="shared" si="36"/>
        <v>0</v>
      </c>
      <c r="F316" s="644" t="e">
        <f t="shared" si="26"/>
        <v>#DIV/0!</v>
      </c>
      <c r="G316" s="666"/>
      <c r="H316" s="667"/>
      <c r="I316" s="647" t="e">
        <f t="shared" si="35"/>
        <v>#DIV/0!</v>
      </c>
      <c r="J316" s="730"/>
      <c r="K316" s="667"/>
      <c r="L316" s="649"/>
      <c r="M316" s="667"/>
      <c r="N316" s="667"/>
      <c r="O316" s="731"/>
      <c r="P316" s="666"/>
      <c r="Q316" s="667"/>
      <c r="R316" s="737"/>
    </row>
    <row r="317" spans="1:18" ht="36" hidden="1">
      <c r="A317" s="849">
        <v>4100</v>
      </c>
      <c r="B317" s="735" t="s">
        <v>878</v>
      </c>
      <c r="C317" s="666"/>
      <c r="D317" s="643">
        <f t="shared" si="33"/>
        <v>0</v>
      </c>
      <c r="E317" s="667">
        <f t="shared" si="36"/>
        <v>0</v>
      </c>
      <c r="F317" s="644"/>
      <c r="G317" s="666"/>
      <c r="H317" s="667"/>
      <c r="I317" s="647"/>
      <c r="J317" s="730"/>
      <c r="K317" s="667"/>
      <c r="L317" s="649"/>
      <c r="M317" s="667"/>
      <c r="N317" s="667"/>
      <c r="O317" s="731"/>
      <c r="P317" s="666"/>
      <c r="Q317" s="667"/>
      <c r="R317" s="737"/>
    </row>
    <row r="318" spans="1:18" ht="24">
      <c r="A318" s="728">
        <v>4110</v>
      </c>
      <c r="B318" s="735" t="s">
        <v>879</v>
      </c>
      <c r="C318" s="666">
        <v>2209250</v>
      </c>
      <c r="D318" s="643">
        <f t="shared" si="33"/>
        <v>2135250</v>
      </c>
      <c r="E318" s="667">
        <f t="shared" si="36"/>
        <v>1255661</v>
      </c>
      <c r="F318" s="644">
        <f aca="true" t="shared" si="37" ref="F318:F337">E318/D318*100</f>
        <v>58.80627561175507</v>
      </c>
      <c r="G318" s="666">
        <f>2209250+25500-12200-5000-12300-2000-40000-28000</f>
        <v>2135250</v>
      </c>
      <c r="H318" s="667">
        <v>1255661</v>
      </c>
      <c r="I318" s="647">
        <f t="shared" si="35"/>
        <v>58.80627561175507</v>
      </c>
      <c r="J318" s="730"/>
      <c r="K318" s="667"/>
      <c r="L318" s="649"/>
      <c r="M318" s="667"/>
      <c r="N318" s="667"/>
      <c r="O318" s="731"/>
      <c r="P318" s="666"/>
      <c r="Q318" s="667"/>
      <c r="R318" s="737"/>
    </row>
    <row r="319" spans="1:18" ht="24" hidden="1">
      <c r="A319" s="728">
        <v>4110</v>
      </c>
      <c r="B319" s="735" t="s">
        <v>880</v>
      </c>
      <c r="C319" s="666"/>
      <c r="D319" s="643">
        <f t="shared" si="33"/>
        <v>0</v>
      </c>
      <c r="E319" s="667">
        <f t="shared" si="36"/>
        <v>0</v>
      </c>
      <c r="F319" s="644" t="e">
        <f t="shared" si="37"/>
        <v>#DIV/0!</v>
      </c>
      <c r="G319" s="666"/>
      <c r="H319" s="667"/>
      <c r="I319" s="647" t="e">
        <f t="shared" si="35"/>
        <v>#DIV/0!</v>
      </c>
      <c r="J319" s="730"/>
      <c r="K319" s="667"/>
      <c r="L319" s="649"/>
      <c r="M319" s="667"/>
      <c r="N319" s="667"/>
      <c r="O319" s="731"/>
      <c r="P319" s="666"/>
      <c r="Q319" s="667"/>
      <c r="R319" s="737"/>
    </row>
    <row r="320" spans="1:18" ht="12.75">
      <c r="A320" s="728">
        <v>4120</v>
      </c>
      <c r="B320" s="735" t="s">
        <v>881</v>
      </c>
      <c r="C320" s="666">
        <v>320100</v>
      </c>
      <c r="D320" s="643">
        <f t="shared" si="33"/>
        <v>324100</v>
      </c>
      <c r="E320" s="667">
        <f t="shared" si="36"/>
        <v>207449</v>
      </c>
      <c r="F320" s="644">
        <f t="shared" si="37"/>
        <v>64.0077136686208</v>
      </c>
      <c r="G320" s="666">
        <f>320100+4000</f>
        <v>324100</v>
      </c>
      <c r="H320" s="667">
        <v>207449</v>
      </c>
      <c r="I320" s="647">
        <f t="shared" si="35"/>
        <v>64.0077136686208</v>
      </c>
      <c r="J320" s="730"/>
      <c r="K320" s="667"/>
      <c r="L320" s="649"/>
      <c r="M320" s="667"/>
      <c r="N320" s="667"/>
      <c r="O320" s="731"/>
      <c r="P320" s="666"/>
      <c r="Q320" s="667"/>
      <c r="R320" s="737"/>
    </row>
    <row r="321" spans="1:18" ht="12.75" hidden="1">
      <c r="A321" s="728">
        <v>4120</v>
      </c>
      <c r="B321" s="735" t="s">
        <v>882</v>
      </c>
      <c r="C321" s="666"/>
      <c r="D321" s="643">
        <f t="shared" si="33"/>
        <v>0</v>
      </c>
      <c r="E321" s="667">
        <f t="shared" si="36"/>
        <v>0</v>
      </c>
      <c r="F321" s="644" t="e">
        <f t="shared" si="37"/>
        <v>#DIV/0!</v>
      </c>
      <c r="G321" s="666"/>
      <c r="H321" s="667"/>
      <c r="I321" s="647" t="e">
        <f t="shared" si="35"/>
        <v>#DIV/0!</v>
      </c>
      <c r="J321" s="730"/>
      <c r="K321" s="667"/>
      <c r="L321" s="649"/>
      <c r="M321" s="667"/>
      <c r="N321" s="667"/>
      <c r="O321" s="731"/>
      <c r="P321" s="666"/>
      <c r="Q321" s="667"/>
      <c r="R321" s="737"/>
    </row>
    <row r="322" spans="1:18" ht="12.75">
      <c r="A322" s="728">
        <v>4140</v>
      </c>
      <c r="B322" s="735" t="s">
        <v>804</v>
      </c>
      <c r="C322" s="666">
        <v>150000</v>
      </c>
      <c r="D322" s="643">
        <f t="shared" si="33"/>
        <v>150000</v>
      </c>
      <c r="E322" s="667">
        <f t="shared" si="36"/>
        <v>112312</v>
      </c>
      <c r="F322" s="644">
        <f t="shared" si="37"/>
        <v>74.87466666666667</v>
      </c>
      <c r="G322" s="666">
        <v>150000</v>
      </c>
      <c r="H322" s="667">
        <v>112312</v>
      </c>
      <c r="I322" s="647">
        <f t="shared" si="35"/>
        <v>74.87466666666667</v>
      </c>
      <c r="J322" s="730"/>
      <c r="K322" s="667"/>
      <c r="L322" s="649"/>
      <c r="M322" s="667"/>
      <c r="N322" s="667"/>
      <c r="O322" s="731"/>
      <c r="P322" s="666"/>
      <c r="Q322" s="667"/>
      <c r="R322" s="737"/>
    </row>
    <row r="323" spans="1:18" ht="24">
      <c r="A323" s="728">
        <v>4170</v>
      </c>
      <c r="B323" s="735" t="s">
        <v>742</v>
      </c>
      <c r="C323" s="666">
        <v>150000</v>
      </c>
      <c r="D323" s="643">
        <f t="shared" si="33"/>
        <v>148900</v>
      </c>
      <c r="E323" s="667">
        <f t="shared" si="36"/>
        <v>54643</v>
      </c>
      <c r="F323" s="644">
        <f t="shared" si="37"/>
        <v>36.69778374748153</v>
      </c>
      <c r="G323" s="666">
        <f>150000-1100</f>
        <v>148900</v>
      </c>
      <c r="H323" s="667">
        <v>54643</v>
      </c>
      <c r="I323" s="647">
        <f t="shared" si="35"/>
        <v>36.69778374748153</v>
      </c>
      <c r="J323" s="730"/>
      <c r="K323" s="667"/>
      <c r="L323" s="649"/>
      <c r="M323" s="667"/>
      <c r="N323" s="667"/>
      <c r="O323" s="731"/>
      <c r="P323" s="666"/>
      <c r="Q323" s="667"/>
      <c r="R323" s="737"/>
    </row>
    <row r="324" spans="1:18" ht="24" hidden="1">
      <c r="A324" s="728">
        <v>4170</v>
      </c>
      <c r="B324" s="735" t="s">
        <v>883</v>
      </c>
      <c r="C324" s="666"/>
      <c r="D324" s="643">
        <f t="shared" si="33"/>
        <v>0</v>
      </c>
      <c r="E324" s="667">
        <f t="shared" si="36"/>
        <v>0</v>
      </c>
      <c r="F324" s="644" t="e">
        <f t="shared" si="37"/>
        <v>#DIV/0!</v>
      </c>
      <c r="G324" s="666"/>
      <c r="H324" s="667"/>
      <c r="I324" s="647" t="e">
        <f t="shared" si="35"/>
        <v>#DIV/0!</v>
      </c>
      <c r="J324" s="730"/>
      <c r="K324" s="667"/>
      <c r="L324" s="649"/>
      <c r="M324" s="667"/>
      <c r="N324" s="667"/>
      <c r="O324" s="731"/>
      <c r="P324" s="666"/>
      <c r="Q324" s="667"/>
      <c r="R324" s="737"/>
    </row>
    <row r="325" spans="1:18" ht="24">
      <c r="A325" s="728">
        <v>4210</v>
      </c>
      <c r="B325" s="735" t="s">
        <v>884</v>
      </c>
      <c r="C325" s="666">
        <f>SUM(C326:C330)</f>
        <v>453000</v>
      </c>
      <c r="D325" s="643">
        <f t="shared" si="33"/>
        <v>701500</v>
      </c>
      <c r="E325" s="643">
        <f t="shared" si="36"/>
        <v>374473</v>
      </c>
      <c r="F325" s="644">
        <f t="shared" si="37"/>
        <v>53.38175338560228</v>
      </c>
      <c r="G325" s="794">
        <f>SUM(G326:G330)</f>
        <v>701500</v>
      </c>
      <c r="H325" s="667">
        <f>SUM(H326:H330)</f>
        <v>374473</v>
      </c>
      <c r="I325" s="647">
        <f t="shared" si="35"/>
        <v>53.38175338560228</v>
      </c>
      <c r="J325" s="730"/>
      <c r="K325" s="667"/>
      <c r="L325" s="649"/>
      <c r="M325" s="667"/>
      <c r="N325" s="667"/>
      <c r="O325" s="731"/>
      <c r="P325" s="666"/>
      <c r="Q325" s="667"/>
      <c r="R325" s="737"/>
    </row>
    <row r="326" spans="1:18" s="801" customFormat="1" ht="20.25" customHeight="1">
      <c r="A326" s="795"/>
      <c r="B326" s="796" t="s">
        <v>885</v>
      </c>
      <c r="C326" s="797">
        <v>413000</v>
      </c>
      <c r="D326" s="798">
        <f t="shared" si="33"/>
        <v>561500</v>
      </c>
      <c r="E326" s="798">
        <f t="shared" si="36"/>
        <v>252828</v>
      </c>
      <c r="F326" s="644">
        <f t="shared" si="37"/>
        <v>45.02724844167409</v>
      </c>
      <c r="G326" s="797">
        <f>413000+40000-44500-7000+160000</f>
        <v>561500</v>
      </c>
      <c r="H326" s="798">
        <v>252828</v>
      </c>
      <c r="I326" s="647">
        <f t="shared" si="35"/>
        <v>45.02724844167409</v>
      </c>
      <c r="J326" s="799"/>
      <c r="K326" s="798"/>
      <c r="L326" s="649"/>
      <c r="M326" s="798"/>
      <c r="N326" s="798"/>
      <c r="O326" s="649"/>
      <c r="P326" s="797"/>
      <c r="Q326" s="798"/>
      <c r="R326" s="821"/>
    </row>
    <row r="327" spans="1:18" s="801" customFormat="1" ht="12.75">
      <c r="A327" s="795"/>
      <c r="B327" s="796" t="s">
        <v>886</v>
      </c>
      <c r="C327" s="797">
        <v>6000</v>
      </c>
      <c r="D327" s="798">
        <f t="shared" si="33"/>
        <v>6000</v>
      </c>
      <c r="E327" s="798">
        <f t="shared" si="36"/>
        <v>3349</v>
      </c>
      <c r="F327" s="644">
        <f t="shared" si="37"/>
        <v>55.81666666666667</v>
      </c>
      <c r="G327" s="797">
        <v>6000</v>
      </c>
      <c r="H327" s="798">
        <v>3349</v>
      </c>
      <c r="I327" s="647">
        <f t="shared" si="35"/>
        <v>55.81666666666667</v>
      </c>
      <c r="J327" s="799"/>
      <c r="K327" s="798"/>
      <c r="L327" s="649"/>
      <c r="M327" s="798"/>
      <c r="N327" s="798"/>
      <c r="O327" s="649"/>
      <c r="P327" s="797"/>
      <c r="Q327" s="798"/>
      <c r="R327" s="821"/>
    </row>
    <row r="328" spans="1:18" s="801" customFormat="1" ht="12.75" hidden="1">
      <c r="A328" s="795"/>
      <c r="B328" s="796" t="s">
        <v>887</v>
      </c>
      <c r="C328" s="797"/>
      <c r="D328" s="798">
        <f t="shared" si="33"/>
        <v>0</v>
      </c>
      <c r="E328" s="798">
        <f t="shared" si="36"/>
        <v>0</v>
      </c>
      <c r="F328" s="644" t="e">
        <f t="shared" si="37"/>
        <v>#DIV/0!</v>
      </c>
      <c r="G328" s="797"/>
      <c r="H328" s="798"/>
      <c r="I328" s="647" t="e">
        <f t="shared" si="35"/>
        <v>#DIV/0!</v>
      </c>
      <c r="J328" s="799"/>
      <c r="K328" s="798"/>
      <c r="L328" s="649"/>
      <c r="M328" s="798"/>
      <c r="N328" s="798"/>
      <c r="O328" s="649"/>
      <c r="P328" s="797"/>
      <c r="Q328" s="798"/>
      <c r="R328" s="821"/>
    </row>
    <row r="329" spans="1:18" s="801" customFormat="1" ht="12.75">
      <c r="A329" s="795"/>
      <c r="B329" s="796" t="s">
        <v>888</v>
      </c>
      <c r="C329" s="797">
        <v>30000</v>
      </c>
      <c r="D329" s="798">
        <f t="shared" si="33"/>
        <v>130000</v>
      </c>
      <c r="E329" s="798">
        <f t="shared" si="36"/>
        <v>118296</v>
      </c>
      <c r="F329" s="644">
        <f t="shared" si="37"/>
        <v>90.99692307692308</v>
      </c>
      <c r="G329" s="797">
        <f>30000+100000</f>
        <v>130000</v>
      </c>
      <c r="H329" s="798">
        <v>118296</v>
      </c>
      <c r="I329" s="647">
        <f t="shared" si="35"/>
        <v>90.99692307692308</v>
      </c>
      <c r="J329" s="799"/>
      <c r="K329" s="798"/>
      <c r="L329" s="649"/>
      <c r="M329" s="798"/>
      <c r="N329" s="798"/>
      <c r="O329" s="649"/>
      <c r="P329" s="797"/>
      <c r="Q329" s="798"/>
      <c r="R329" s="821"/>
    </row>
    <row r="330" spans="1:18" s="801" customFormat="1" ht="12.75">
      <c r="A330" s="795"/>
      <c r="B330" s="796" t="s">
        <v>889</v>
      </c>
      <c r="C330" s="797">
        <v>4000</v>
      </c>
      <c r="D330" s="798">
        <f t="shared" si="33"/>
        <v>4000</v>
      </c>
      <c r="E330" s="798">
        <f t="shared" si="36"/>
        <v>0</v>
      </c>
      <c r="F330" s="644">
        <f t="shared" si="37"/>
        <v>0</v>
      </c>
      <c r="G330" s="797">
        <v>4000</v>
      </c>
      <c r="H330" s="798"/>
      <c r="I330" s="647">
        <f t="shared" si="35"/>
        <v>0</v>
      </c>
      <c r="J330" s="799"/>
      <c r="K330" s="798"/>
      <c r="L330" s="649"/>
      <c r="M330" s="798"/>
      <c r="N330" s="798"/>
      <c r="O330" s="649"/>
      <c r="P330" s="797"/>
      <c r="Q330" s="798"/>
      <c r="R330" s="821"/>
    </row>
    <row r="331" spans="1:18" ht="36">
      <c r="A331" s="728">
        <v>4240</v>
      </c>
      <c r="B331" s="735" t="s">
        <v>832</v>
      </c>
      <c r="C331" s="666">
        <v>10000</v>
      </c>
      <c r="D331" s="643">
        <f t="shared" si="33"/>
        <v>10000</v>
      </c>
      <c r="E331" s="667">
        <f t="shared" si="36"/>
        <v>2254</v>
      </c>
      <c r="F331" s="644">
        <f t="shared" si="37"/>
        <v>22.54</v>
      </c>
      <c r="G331" s="666">
        <v>10000</v>
      </c>
      <c r="H331" s="667">
        <v>2254</v>
      </c>
      <c r="I331" s="647">
        <f t="shared" si="35"/>
        <v>22.54</v>
      </c>
      <c r="J331" s="730"/>
      <c r="K331" s="667"/>
      <c r="L331" s="649"/>
      <c r="M331" s="667"/>
      <c r="N331" s="667"/>
      <c r="O331" s="731"/>
      <c r="P331" s="666"/>
      <c r="Q331" s="667"/>
      <c r="R331" s="737"/>
    </row>
    <row r="332" spans="1:18" ht="12.75">
      <c r="A332" s="728">
        <v>4260</v>
      </c>
      <c r="B332" s="735" t="s">
        <v>711</v>
      </c>
      <c r="C332" s="666">
        <v>404000</v>
      </c>
      <c r="D332" s="643">
        <f t="shared" si="33"/>
        <v>352300</v>
      </c>
      <c r="E332" s="667">
        <f t="shared" si="36"/>
        <v>292616</v>
      </c>
      <c r="F332" s="644">
        <f t="shared" si="37"/>
        <v>83.05875674141356</v>
      </c>
      <c r="G332" s="666">
        <f>404000-40000-6300-16000+10600</f>
        <v>352300</v>
      </c>
      <c r="H332" s="667">
        <v>292616</v>
      </c>
      <c r="I332" s="647">
        <f t="shared" si="35"/>
        <v>83.05875674141356</v>
      </c>
      <c r="J332" s="730"/>
      <c r="K332" s="667"/>
      <c r="L332" s="649"/>
      <c r="M332" s="667"/>
      <c r="N332" s="667"/>
      <c r="O332" s="731"/>
      <c r="P332" s="666"/>
      <c r="Q332" s="667"/>
      <c r="R332" s="737"/>
    </row>
    <row r="333" spans="1:18" ht="24">
      <c r="A333" s="728">
        <v>4270</v>
      </c>
      <c r="B333" s="735" t="s">
        <v>890</v>
      </c>
      <c r="C333" s="666">
        <f>SUM(C334:C335)</f>
        <v>455000</v>
      </c>
      <c r="D333" s="643">
        <f t="shared" si="33"/>
        <v>382300</v>
      </c>
      <c r="E333" s="667">
        <f t="shared" si="36"/>
        <v>188484</v>
      </c>
      <c r="F333" s="644">
        <f t="shared" si="37"/>
        <v>49.302641904263666</v>
      </c>
      <c r="G333" s="666">
        <f>SUM(G334:G335)</f>
        <v>382300</v>
      </c>
      <c r="H333" s="667">
        <f>SUM(H334:H335)</f>
        <v>188484</v>
      </c>
      <c r="I333" s="647">
        <f t="shared" si="35"/>
        <v>49.302641904263666</v>
      </c>
      <c r="J333" s="730"/>
      <c r="K333" s="667"/>
      <c r="L333" s="649"/>
      <c r="M333" s="667"/>
      <c r="N333" s="667"/>
      <c r="O333" s="731"/>
      <c r="P333" s="666"/>
      <c r="Q333" s="667"/>
      <c r="R333" s="737"/>
    </row>
    <row r="334" spans="1:18" s="801" customFormat="1" ht="12">
      <c r="A334" s="795"/>
      <c r="B334" s="796" t="s">
        <v>891</v>
      </c>
      <c r="C334" s="392">
        <v>420000</v>
      </c>
      <c r="D334" s="393">
        <f t="shared" si="33"/>
        <v>345000</v>
      </c>
      <c r="E334" s="393">
        <f t="shared" si="36"/>
        <v>160200</v>
      </c>
      <c r="F334" s="644">
        <f t="shared" si="37"/>
        <v>46.43478260869565</v>
      </c>
      <c r="G334" s="392">
        <f>420000-47000+22000+375000-375000-25000-25000</f>
        <v>345000</v>
      </c>
      <c r="H334" s="393">
        <f>160199+1</f>
        <v>160200</v>
      </c>
      <c r="I334" s="647">
        <f t="shared" si="35"/>
        <v>46.43478260869565</v>
      </c>
      <c r="J334" s="914"/>
      <c r="K334" s="393"/>
      <c r="L334" s="649"/>
      <c r="M334" s="393"/>
      <c r="N334" s="393"/>
      <c r="O334" s="649"/>
      <c r="P334" s="392"/>
      <c r="Q334" s="393"/>
      <c r="R334" s="821"/>
    </row>
    <row r="335" spans="1:18" s="801" customFormat="1" ht="12">
      <c r="A335" s="795"/>
      <c r="B335" s="796" t="s">
        <v>888</v>
      </c>
      <c r="C335" s="392">
        <v>35000</v>
      </c>
      <c r="D335" s="393">
        <f t="shared" si="33"/>
        <v>37300</v>
      </c>
      <c r="E335" s="393">
        <f t="shared" si="36"/>
        <v>28284</v>
      </c>
      <c r="F335" s="644">
        <f t="shared" si="37"/>
        <v>75.828418230563</v>
      </c>
      <c r="G335" s="392">
        <f>35000+2300</f>
        <v>37300</v>
      </c>
      <c r="H335" s="393">
        <v>28284</v>
      </c>
      <c r="I335" s="647">
        <f t="shared" si="35"/>
        <v>75.828418230563</v>
      </c>
      <c r="J335" s="914"/>
      <c r="K335" s="393"/>
      <c r="L335" s="649"/>
      <c r="M335" s="393"/>
      <c r="N335" s="393"/>
      <c r="O335" s="649"/>
      <c r="P335" s="392"/>
      <c r="Q335" s="393"/>
      <c r="R335" s="821"/>
    </row>
    <row r="336" spans="1:18" s="761" customFormat="1" ht="24">
      <c r="A336" s="829">
        <v>4280</v>
      </c>
      <c r="B336" s="865" t="s">
        <v>805</v>
      </c>
      <c r="C336" s="697">
        <v>14000</v>
      </c>
      <c r="D336" s="643">
        <f t="shared" si="33"/>
        <v>31000</v>
      </c>
      <c r="E336" s="643">
        <f t="shared" si="36"/>
        <v>11976</v>
      </c>
      <c r="F336" s="644">
        <f t="shared" si="37"/>
        <v>38.63225806451613</v>
      </c>
      <c r="G336" s="697">
        <f>14000+17000</f>
        <v>31000</v>
      </c>
      <c r="H336" s="643">
        <v>11976</v>
      </c>
      <c r="I336" s="647">
        <f t="shared" si="35"/>
        <v>38.63225806451613</v>
      </c>
      <c r="J336" s="648"/>
      <c r="K336" s="117"/>
      <c r="L336" s="649"/>
      <c r="M336" s="117"/>
      <c r="N336" s="117"/>
      <c r="O336" s="731"/>
      <c r="P336" s="116"/>
      <c r="Q336" s="117"/>
      <c r="R336" s="737"/>
    </row>
    <row r="337" spans="1:18" ht="24">
      <c r="A337" s="728">
        <v>4300</v>
      </c>
      <c r="B337" s="735" t="s">
        <v>892</v>
      </c>
      <c r="C337" s="666">
        <f>SUM(C338:C344)</f>
        <v>1141000</v>
      </c>
      <c r="D337" s="643">
        <f t="shared" si="33"/>
        <v>1126000</v>
      </c>
      <c r="E337" s="667">
        <f>H337+K337+Q337+N337</f>
        <v>642284</v>
      </c>
      <c r="F337" s="644">
        <f t="shared" si="37"/>
        <v>57.04120781527531</v>
      </c>
      <c r="G337" s="666">
        <f>G339+G341+G344+G346</f>
        <v>1126000</v>
      </c>
      <c r="H337" s="667">
        <f>SUM(H339:H346)</f>
        <v>642284</v>
      </c>
      <c r="I337" s="647">
        <f t="shared" si="35"/>
        <v>57.04120781527531</v>
      </c>
      <c r="J337" s="730"/>
      <c r="K337" s="667"/>
      <c r="L337" s="649"/>
      <c r="M337" s="667"/>
      <c r="N337" s="667"/>
      <c r="O337" s="731"/>
      <c r="P337" s="666"/>
      <c r="Q337" s="667"/>
      <c r="R337" s="737"/>
    </row>
    <row r="338" spans="1:18" s="801" customFormat="1" ht="12.75" hidden="1">
      <c r="A338" s="795"/>
      <c r="B338" s="796" t="s">
        <v>893</v>
      </c>
      <c r="C338" s="392"/>
      <c r="D338" s="643">
        <f t="shared" si="33"/>
        <v>0</v>
      </c>
      <c r="E338" s="667">
        <f>H338+K338+Q338+N338</f>
        <v>0</v>
      </c>
      <c r="F338" s="644"/>
      <c r="G338" s="392"/>
      <c r="H338" s="393"/>
      <c r="I338" s="647"/>
      <c r="J338" s="914"/>
      <c r="K338" s="393"/>
      <c r="L338" s="649"/>
      <c r="M338" s="393"/>
      <c r="N338" s="393"/>
      <c r="O338" s="649"/>
      <c r="P338" s="392"/>
      <c r="Q338" s="393"/>
      <c r="R338" s="821"/>
    </row>
    <row r="339" spans="1:18" s="801" customFormat="1" ht="12">
      <c r="A339" s="795"/>
      <c r="B339" s="796" t="s">
        <v>891</v>
      </c>
      <c r="C339" s="392">
        <v>816000</v>
      </c>
      <c r="D339" s="393">
        <f t="shared" si="33"/>
        <v>799000</v>
      </c>
      <c r="E339" s="117">
        <f aca="true" t="shared" si="38" ref="E339:E381">SUM(H339+K339+N339+Q339)</f>
        <v>486698</v>
      </c>
      <c r="F339" s="644">
        <f>E339/D339*100</f>
        <v>60.913391739674594</v>
      </c>
      <c r="G339" s="392">
        <f>816000-40000-30800-12200-12000+21000-12250+44250+25000</f>
        <v>799000</v>
      </c>
      <c r="H339" s="393">
        <v>486698</v>
      </c>
      <c r="I339" s="647">
        <f t="shared" si="35"/>
        <v>60.913391739674594</v>
      </c>
      <c r="J339" s="914"/>
      <c r="K339" s="393"/>
      <c r="L339" s="649"/>
      <c r="M339" s="393"/>
      <c r="N339" s="393"/>
      <c r="O339" s="649"/>
      <c r="P339" s="392"/>
      <c r="Q339" s="393"/>
      <c r="R339" s="821"/>
    </row>
    <row r="340" spans="1:18" s="801" customFormat="1" ht="12" hidden="1">
      <c r="A340" s="795"/>
      <c r="B340" s="796" t="s">
        <v>871</v>
      </c>
      <c r="C340" s="392"/>
      <c r="D340" s="393">
        <f t="shared" si="33"/>
        <v>0</v>
      </c>
      <c r="E340" s="117">
        <f t="shared" si="38"/>
        <v>0</v>
      </c>
      <c r="F340" s="644" t="e">
        <f>E340/D340*100</f>
        <v>#DIV/0!</v>
      </c>
      <c r="G340" s="392"/>
      <c r="H340" s="393"/>
      <c r="I340" s="647" t="e">
        <f t="shared" si="35"/>
        <v>#DIV/0!</v>
      </c>
      <c r="J340" s="914"/>
      <c r="K340" s="393"/>
      <c r="L340" s="649"/>
      <c r="M340" s="393"/>
      <c r="N340" s="393"/>
      <c r="O340" s="649"/>
      <c r="P340" s="392"/>
      <c r="Q340" s="393"/>
      <c r="R340" s="821"/>
    </row>
    <row r="341" spans="1:18" s="801" customFormat="1" ht="11.25" customHeight="1">
      <c r="A341" s="795"/>
      <c r="B341" s="796" t="s">
        <v>894</v>
      </c>
      <c r="C341" s="392">
        <v>30000</v>
      </c>
      <c r="D341" s="393">
        <f t="shared" si="33"/>
        <v>30000</v>
      </c>
      <c r="E341" s="117">
        <f t="shared" si="38"/>
        <v>2413</v>
      </c>
      <c r="F341" s="644">
        <f>E341/D341*100</f>
        <v>8.043333333333333</v>
      </c>
      <c r="G341" s="392">
        <v>30000</v>
      </c>
      <c r="H341" s="393">
        <v>2413</v>
      </c>
      <c r="I341" s="647">
        <f t="shared" si="35"/>
        <v>8.043333333333333</v>
      </c>
      <c r="J341" s="914"/>
      <c r="K341" s="393"/>
      <c r="L341" s="649"/>
      <c r="M341" s="393"/>
      <c r="N341" s="393"/>
      <c r="O341" s="649"/>
      <c r="P341" s="392"/>
      <c r="Q341" s="393"/>
      <c r="R341" s="821"/>
    </row>
    <row r="342" spans="1:18" s="801" customFormat="1" ht="24" hidden="1">
      <c r="A342" s="795"/>
      <c r="B342" s="796" t="s">
        <v>895</v>
      </c>
      <c r="C342" s="392"/>
      <c r="D342" s="393">
        <f t="shared" si="33"/>
        <v>0</v>
      </c>
      <c r="E342" s="117">
        <f t="shared" si="38"/>
        <v>0</v>
      </c>
      <c r="F342" s="644"/>
      <c r="G342" s="392"/>
      <c r="H342" s="393"/>
      <c r="I342" s="647"/>
      <c r="J342" s="914"/>
      <c r="K342" s="393"/>
      <c r="L342" s="649"/>
      <c r="M342" s="393"/>
      <c r="N342" s="393"/>
      <c r="O342" s="649"/>
      <c r="P342" s="392"/>
      <c r="Q342" s="393"/>
      <c r="R342" s="821"/>
    </row>
    <row r="343" spans="1:18" s="801" customFormat="1" ht="12" hidden="1">
      <c r="A343" s="795"/>
      <c r="B343" s="796" t="s">
        <v>874</v>
      </c>
      <c r="C343" s="392"/>
      <c r="D343" s="393">
        <f t="shared" si="33"/>
        <v>0</v>
      </c>
      <c r="E343" s="393">
        <f t="shared" si="38"/>
        <v>0</v>
      </c>
      <c r="F343" s="644" t="e">
        <f aca="true" t="shared" si="39" ref="F343:F371">E343/D343*100</f>
        <v>#DIV/0!</v>
      </c>
      <c r="G343" s="392"/>
      <c r="H343" s="393"/>
      <c r="I343" s="647" t="e">
        <f t="shared" si="35"/>
        <v>#DIV/0!</v>
      </c>
      <c r="J343" s="914"/>
      <c r="K343" s="393"/>
      <c r="L343" s="649"/>
      <c r="M343" s="393"/>
      <c r="N343" s="393"/>
      <c r="O343" s="649"/>
      <c r="P343" s="392"/>
      <c r="Q343" s="393"/>
      <c r="R343" s="821"/>
    </row>
    <row r="344" spans="1:18" s="801" customFormat="1" ht="12">
      <c r="A344" s="795"/>
      <c r="B344" s="796" t="s">
        <v>896</v>
      </c>
      <c r="C344" s="392">
        <v>295000</v>
      </c>
      <c r="D344" s="393">
        <f t="shared" si="33"/>
        <v>295000</v>
      </c>
      <c r="E344" s="393">
        <f t="shared" si="38"/>
        <v>153173</v>
      </c>
      <c r="F344" s="644">
        <f t="shared" si="39"/>
        <v>51.92305084745763</v>
      </c>
      <c r="G344" s="392">
        <v>295000</v>
      </c>
      <c r="H344" s="393">
        <v>153173</v>
      </c>
      <c r="I344" s="647">
        <f t="shared" si="35"/>
        <v>51.92305084745763</v>
      </c>
      <c r="J344" s="914"/>
      <c r="K344" s="393"/>
      <c r="L344" s="649"/>
      <c r="M344" s="393"/>
      <c r="N344" s="393"/>
      <c r="O344" s="649"/>
      <c r="P344" s="392"/>
      <c r="Q344" s="393"/>
      <c r="R344" s="821"/>
    </row>
    <row r="345" spans="1:18" s="761" customFormat="1" ht="33.75" customHeight="1" hidden="1">
      <c r="A345" s="829">
        <v>4390</v>
      </c>
      <c r="B345" s="796" t="s">
        <v>896</v>
      </c>
      <c r="C345" s="116"/>
      <c r="D345" s="393">
        <f t="shared" si="33"/>
        <v>295000</v>
      </c>
      <c r="E345" s="667">
        <f t="shared" si="38"/>
        <v>0</v>
      </c>
      <c r="F345" s="644">
        <f t="shared" si="39"/>
        <v>0</v>
      </c>
      <c r="G345" s="392">
        <v>295000</v>
      </c>
      <c r="H345" s="117"/>
      <c r="I345" s="647">
        <f t="shared" si="35"/>
        <v>0</v>
      </c>
      <c r="J345" s="307"/>
      <c r="K345" s="117"/>
      <c r="L345" s="649"/>
      <c r="M345" s="117"/>
      <c r="N345" s="117"/>
      <c r="O345" s="731"/>
      <c r="P345" s="307"/>
      <c r="Q345" s="117"/>
      <c r="R345" s="737"/>
    </row>
    <row r="346" spans="1:18" s="761" customFormat="1" ht="9.75" customHeight="1">
      <c r="A346" s="829"/>
      <c r="B346" s="796" t="s">
        <v>897</v>
      </c>
      <c r="C346" s="116"/>
      <c r="D346" s="393">
        <f t="shared" si="33"/>
        <v>2000</v>
      </c>
      <c r="E346" s="667"/>
      <c r="F346" s="644"/>
      <c r="G346" s="392">
        <v>2000</v>
      </c>
      <c r="H346" s="117"/>
      <c r="I346" s="647"/>
      <c r="J346" s="307"/>
      <c r="K346" s="117"/>
      <c r="L346" s="649"/>
      <c r="M346" s="117"/>
      <c r="N346" s="117"/>
      <c r="O346" s="731"/>
      <c r="P346" s="307"/>
      <c r="Q346" s="117"/>
      <c r="R346" s="737"/>
    </row>
    <row r="347" spans="1:18" ht="24">
      <c r="A347" s="728">
        <v>4350</v>
      </c>
      <c r="B347" s="735" t="s">
        <v>898</v>
      </c>
      <c r="C347" s="666">
        <v>7200</v>
      </c>
      <c r="D347" s="643">
        <f t="shared" si="33"/>
        <v>22925</v>
      </c>
      <c r="E347" s="667">
        <f t="shared" si="38"/>
        <v>14532</v>
      </c>
      <c r="F347" s="644">
        <f t="shared" si="39"/>
        <v>63.38931297709923</v>
      </c>
      <c r="G347" s="666">
        <f>7200+5725+10000</f>
        <v>22925</v>
      </c>
      <c r="H347" s="667">
        <v>14532</v>
      </c>
      <c r="I347" s="647">
        <f t="shared" si="35"/>
        <v>63.38931297709923</v>
      </c>
      <c r="J347" s="730"/>
      <c r="K347" s="667"/>
      <c r="L347" s="649"/>
      <c r="M347" s="667"/>
      <c r="N347" s="667"/>
      <c r="O347" s="731"/>
      <c r="P347" s="667"/>
      <c r="Q347" s="667"/>
      <c r="R347" s="737"/>
    </row>
    <row r="348" spans="1:18" ht="22.5" customHeight="1">
      <c r="A348" s="728">
        <v>4350</v>
      </c>
      <c r="B348" s="735" t="s">
        <v>899</v>
      </c>
      <c r="C348" s="666">
        <v>6000</v>
      </c>
      <c r="D348" s="643">
        <f t="shared" si="33"/>
        <v>275</v>
      </c>
      <c r="E348" s="667">
        <f t="shared" si="38"/>
        <v>275</v>
      </c>
      <c r="F348" s="644">
        <f t="shared" si="39"/>
        <v>100</v>
      </c>
      <c r="G348" s="666">
        <f>6000-5725</f>
        <v>275</v>
      </c>
      <c r="H348" s="667">
        <v>275</v>
      </c>
      <c r="I348" s="492">
        <f t="shared" si="35"/>
        <v>100</v>
      </c>
      <c r="J348" s="730"/>
      <c r="K348" s="667"/>
      <c r="L348" s="649"/>
      <c r="M348" s="667"/>
      <c r="N348" s="667"/>
      <c r="O348" s="731"/>
      <c r="P348" s="667"/>
      <c r="Q348" s="667"/>
      <c r="R348" s="737"/>
    </row>
    <row r="349" spans="1:18" ht="60">
      <c r="A349" s="874">
        <v>4360</v>
      </c>
      <c r="B349" s="875" t="s">
        <v>900</v>
      </c>
      <c r="C349" s="781">
        <v>83000</v>
      </c>
      <c r="D349" s="765">
        <f>G349+J349+P349+M349</f>
        <v>74000</v>
      </c>
      <c r="E349" s="785">
        <f>SUM(H349+K349+N349+Q349)</f>
        <v>44167</v>
      </c>
      <c r="F349" s="705">
        <f>E349/D349*100</f>
        <v>59.685135135135134</v>
      </c>
      <c r="G349" s="781">
        <f>83000-9000</f>
        <v>74000</v>
      </c>
      <c r="H349" s="785">
        <v>44167</v>
      </c>
      <c r="I349" s="707">
        <f t="shared" si="35"/>
        <v>59.685135135135134</v>
      </c>
      <c r="J349" s="782"/>
      <c r="K349" s="785"/>
      <c r="L349" s="768"/>
      <c r="M349" s="785"/>
      <c r="N349" s="785"/>
      <c r="O349" s="786"/>
      <c r="P349" s="785"/>
      <c r="Q349" s="785"/>
      <c r="R349" s="770"/>
    </row>
    <row r="350" spans="1:18" ht="60">
      <c r="A350" s="829">
        <v>4370</v>
      </c>
      <c r="B350" s="850" t="s">
        <v>901</v>
      </c>
      <c r="C350" s="666">
        <v>177000</v>
      </c>
      <c r="D350" s="643">
        <f>G350+J350+P350+M350</f>
        <v>177000</v>
      </c>
      <c r="E350" s="667">
        <f>SUM(H350+K350+N350+Q350)</f>
        <v>106365</v>
      </c>
      <c r="F350" s="644">
        <f>E350/D350*100</f>
        <v>60.09322033898306</v>
      </c>
      <c r="G350" s="666">
        <v>177000</v>
      </c>
      <c r="H350" s="667">
        <v>106365</v>
      </c>
      <c r="I350" s="647">
        <f t="shared" si="35"/>
        <v>60.09322033898306</v>
      </c>
      <c r="J350" s="730"/>
      <c r="K350" s="667"/>
      <c r="L350" s="649"/>
      <c r="M350" s="667"/>
      <c r="N350" s="667"/>
      <c r="O350" s="731"/>
      <c r="P350" s="667"/>
      <c r="Q350" s="667"/>
      <c r="R350" s="737"/>
    </row>
    <row r="351" spans="1:18" ht="48">
      <c r="A351" s="728">
        <v>4390</v>
      </c>
      <c r="B351" s="735" t="s">
        <v>902</v>
      </c>
      <c r="C351" s="666"/>
      <c r="D351" s="643">
        <f>G351+J351+P351+M351</f>
        <v>12200</v>
      </c>
      <c r="E351" s="667">
        <f>SUM(H351+K351+N351+Q351)</f>
        <v>12200</v>
      </c>
      <c r="F351" s="644">
        <f>E351/D351*100</f>
        <v>100</v>
      </c>
      <c r="G351" s="666">
        <v>12200</v>
      </c>
      <c r="H351" s="667">
        <v>12200</v>
      </c>
      <c r="I351" s="492">
        <f t="shared" si="35"/>
        <v>100</v>
      </c>
      <c r="J351" s="730"/>
      <c r="K351" s="667"/>
      <c r="L351" s="649"/>
      <c r="M351" s="667"/>
      <c r="N351" s="667"/>
      <c r="O351" s="731"/>
      <c r="P351" s="667"/>
      <c r="Q351" s="667"/>
      <c r="R351" s="737"/>
    </row>
    <row r="352" spans="1:18" ht="24">
      <c r="A352" s="728">
        <v>4400</v>
      </c>
      <c r="B352" s="735" t="s">
        <v>810</v>
      </c>
      <c r="C352" s="666">
        <v>21000</v>
      </c>
      <c r="D352" s="643">
        <f>G352+J352+P352+M352</f>
        <v>11000</v>
      </c>
      <c r="E352" s="667">
        <f>SUM(H352+K352+N352+Q352)</f>
        <v>4629</v>
      </c>
      <c r="F352" s="644">
        <f>E352/D352*100</f>
        <v>42.08181818181818</v>
      </c>
      <c r="G352" s="666">
        <f>21000-10000</f>
        <v>11000</v>
      </c>
      <c r="H352" s="667">
        <v>4629</v>
      </c>
      <c r="I352" s="647">
        <f t="shared" si="35"/>
        <v>42.08181818181818</v>
      </c>
      <c r="J352" s="730"/>
      <c r="K352" s="667"/>
      <c r="L352" s="649"/>
      <c r="M352" s="667"/>
      <c r="N352" s="667"/>
      <c r="O352" s="731"/>
      <c r="P352" s="667"/>
      <c r="Q352" s="667"/>
      <c r="R352" s="737"/>
    </row>
    <row r="353" spans="1:18" ht="24">
      <c r="A353" s="728">
        <v>4410</v>
      </c>
      <c r="B353" s="735" t="s">
        <v>689</v>
      </c>
      <c r="C353" s="666">
        <v>177000</v>
      </c>
      <c r="D353" s="643">
        <f t="shared" si="33"/>
        <v>177000</v>
      </c>
      <c r="E353" s="667">
        <f t="shared" si="38"/>
        <v>134593</v>
      </c>
      <c r="F353" s="644">
        <f t="shared" si="39"/>
        <v>76.0412429378531</v>
      </c>
      <c r="G353" s="666">
        <v>177000</v>
      </c>
      <c r="H353" s="667">
        <v>134593</v>
      </c>
      <c r="I353" s="647">
        <f t="shared" si="35"/>
        <v>76.0412429378531</v>
      </c>
      <c r="J353" s="730"/>
      <c r="K353" s="667"/>
      <c r="L353" s="649"/>
      <c r="M353" s="667"/>
      <c r="N353" s="667"/>
      <c r="O353" s="731"/>
      <c r="P353" s="667"/>
      <c r="Q353" s="667"/>
      <c r="R353" s="737"/>
    </row>
    <row r="354" spans="1:18" ht="24">
      <c r="A354" s="728">
        <v>4420</v>
      </c>
      <c r="B354" s="735" t="s">
        <v>903</v>
      </c>
      <c r="C354" s="666">
        <v>90000</v>
      </c>
      <c r="D354" s="643">
        <f aca="true" t="shared" si="40" ref="D354:E440">G354+J354+P354+M354</f>
        <v>90000</v>
      </c>
      <c r="E354" s="667">
        <f t="shared" si="38"/>
        <v>52566</v>
      </c>
      <c r="F354" s="644">
        <f t="shared" si="39"/>
        <v>58.40666666666666</v>
      </c>
      <c r="G354" s="666">
        <v>90000</v>
      </c>
      <c r="H354" s="667">
        <v>52566</v>
      </c>
      <c r="I354" s="647">
        <f t="shared" si="35"/>
        <v>58.40666666666666</v>
      </c>
      <c r="J354" s="730"/>
      <c r="K354" s="667"/>
      <c r="L354" s="649"/>
      <c r="M354" s="667"/>
      <c r="N354" s="667"/>
      <c r="O354" s="731"/>
      <c r="P354" s="667"/>
      <c r="Q354" s="667"/>
      <c r="R354" s="737"/>
    </row>
    <row r="355" spans="1:18" ht="24" hidden="1">
      <c r="A355" s="728">
        <v>4430</v>
      </c>
      <c r="B355" s="735" t="s">
        <v>904</v>
      </c>
      <c r="C355" s="666"/>
      <c r="D355" s="643">
        <f>G355+J355+P355+M355</f>
        <v>0</v>
      </c>
      <c r="E355" s="667">
        <f>SUM(H355+K355+N355+Q355)</f>
        <v>0</v>
      </c>
      <c r="F355" s="644" t="e">
        <f>E355/D355*100</f>
        <v>#DIV/0!</v>
      </c>
      <c r="G355" s="666">
        <f>1000-1000</f>
        <v>0</v>
      </c>
      <c r="H355" s="667"/>
      <c r="I355" s="647" t="e">
        <f t="shared" si="35"/>
        <v>#DIV/0!</v>
      </c>
      <c r="J355" s="730"/>
      <c r="K355" s="667"/>
      <c r="L355" s="649"/>
      <c r="M355" s="667"/>
      <c r="N355" s="667"/>
      <c r="O355" s="731"/>
      <c r="P355" s="667"/>
      <c r="Q355" s="667"/>
      <c r="R355" s="737"/>
    </row>
    <row r="356" spans="1:18" ht="24">
      <c r="A356" s="728">
        <v>4430</v>
      </c>
      <c r="B356" s="735" t="s">
        <v>905</v>
      </c>
      <c r="C356" s="666">
        <v>117000</v>
      </c>
      <c r="D356" s="643">
        <f t="shared" si="40"/>
        <v>130800</v>
      </c>
      <c r="E356" s="667">
        <f t="shared" si="38"/>
        <v>93646</v>
      </c>
      <c r="F356" s="644">
        <f t="shared" si="39"/>
        <v>71.59480122324159</v>
      </c>
      <c r="G356" s="666">
        <f>117000-5000+5000+10000+3800</f>
        <v>130800</v>
      </c>
      <c r="H356" s="667">
        <f>93645+1</f>
        <v>93646</v>
      </c>
      <c r="I356" s="647">
        <f t="shared" si="35"/>
        <v>71.59480122324159</v>
      </c>
      <c r="J356" s="730"/>
      <c r="K356" s="667"/>
      <c r="L356" s="649"/>
      <c r="M356" s="667"/>
      <c r="N356" s="667"/>
      <c r="O356" s="731"/>
      <c r="P356" s="667"/>
      <c r="Q356" s="667"/>
      <c r="R356" s="737"/>
    </row>
    <row r="357" spans="1:18" ht="24" hidden="1">
      <c r="A357" s="728">
        <v>4430</v>
      </c>
      <c r="B357" s="735" t="s">
        <v>906</v>
      </c>
      <c r="C357" s="666"/>
      <c r="D357" s="643">
        <f t="shared" si="40"/>
        <v>0</v>
      </c>
      <c r="E357" s="667">
        <f>SUM(H357+K357+N357+Q357)</f>
        <v>0</v>
      </c>
      <c r="F357" s="644" t="e">
        <f t="shared" si="39"/>
        <v>#DIV/0!</v>
      </c>
      <c r="G357" s="666"/>
      <c r="H357" s="667"/>
      <c r="I357" s="647" t="e">
        <f aca="true" t="shared" si="41" ref="I357:I369">H357/G357*100</f>
        <v>#DIV/0!</v>
      </c>
      <c r="J357" s="730"/>
      <c r="K357" s="667"/>
      <c r="L357" s="649"/>
      <c r="M357" s="667"/>
      <c r="N357" s="667"/>
      <c r="O357" s="731"/>
      <c r="P357" s="667"/>
      <c r="Q357" s="667"/>
      <c r="R357" s="737"/>
    </row>
    <row r="358" spans="1:18" ht="14.25" customHeight="1">
      <c r="A358" s="728">
        <v>4440</v>
      </c>
      <c r="B358" s="735" t="s">
        <v>719</v>
      </c>
      <c r="C358" s="666">
        <v>292000</v>
      </c>
      <c r="D358" s="643">
        <f t="shared" si="40"/>
        <v>292000</v>
      </c>
      <c r="E358" s="667">
        <f t="shared" si="38"/>
        <v>292000</v>
      </c>
      <c r="F358" s="644">
        <f t="shared" si="39"/>
        <v>100</v>
      </c>
      <c r="G358" s="666">
        <v>292000</v>
      </c>
      <c r="H358" s="667">
        <v>292000</v>
      </c>
      <c r="I358" s="492">
        <f t="shared" si="41"/>
        <v>100</v>
      </c>
      <c r="J358" s="730"/>
      <c r="K358" s="667"/>
      <c r="L358" s="649"/>
      <c r="M358" s="667"/>
      <c r="N358" s="667"/>
      <c r="O358" s="731"/>
      <c r="P358" s="667"/>
      <c r="Q358" s="667"/>
      <c r="R358" s="737"/>
    </row>
    <row r="359" spans="1:18" ht="12.75" customHeight="1" hidden="1">
      <c r="A359" s="728">
        <v>4580</v>
      </c>
      <c r="B359" s="735" t="s">
        <v>412</v>
      </c>
      <c r="C359" s="666"/>
      <c r="D359" s="643">
        <f t="shared" si="40"/>
        <v>0</v>
      </c>
      <c r="E359" s="667">
        <f t="shared" si="38"/>
        <v>0</v>
      </c>
      <c r="F359" s="644" t="e">
        <f t="shared" si="39"/>
        <v>#DIV/0!</v>
      </c>
      <c r="G359" s="666"/>
      <c r="H359" s="667"/>
      <c r="I359" s="647" t="e">
        <f t="shared" si="41"/>
        <v>#DIV/0!</v>
      </c>
      <c r="J359" s="730"/>
      <c r="K359" s="667"/>
      <c r="L359" s="649"/>
      <c r="M359" s="667"/>
      <c r="N359" s="667"/>
      <c r="O359" s="731"/>
      <c r="P359" s="667"/>
      <c r="Q359" s="667"/>
      <c r="R359" s="737"/>
    </row>
    <row r="360" spans="1:18" ht="24" hidden="1">
      <c r="A360" s="728">
        <v>4610</v>
      </c>
      <c r="B360" s="735" t="s">
        <v>907</v>
      </c>
      <c r="C360" s="666"/>
      <c r="D360" s="643">
        <f t="shared" si="40"/>
        <v>0</v>
      </c>
      <c r="E360" s="667">
        <f t="shared" si="38"/>
        <v>0</v>
      </c>
      <c r="F360" s="644" t="e">
        <f t="shared" si="39"/>
        <v>#DIV/0!</v>
      </c>
      <c r="G360" s="666"/>
      <c r="H360" s="667"/>
      <c r="I360" s="647" t="e">
        <f t="shared" si="41"/>
        <v>#DIV/0!</v>
      </c>
      <c r="J360" s="730"/>
      <c r="K360" s="667"/>
      <c r="L360" s="649"/>
      <c r="M360" s="667"/>
      <c r="N360" s="667"/>
      <c r="O360" s="731"/>
      <c r="P360" s="667"/>
      <c r="Q360" s="667"/>
      <c r="R360" s="737"/>
    </row>
    <row r="361" spans="1:18" ht="24">
      <c r="A361" s="728">
        <v>4610</v>
      </c>
      <c r="B361" s="735" t="s">
        <v>908</v>
      </c>
      <c r="C361" s="666">
        <v>500</v>
      </c>
      <c r="D361" s="643">
        <f t="shared" si="40"/>
        <v>500</v>
      </c>
      <c r="E361" s="667">
        <f>SUM(H361+K361+N361+Q361)</f>
        <v>0</v>
      </c>
      <c r="F361" s="644">
        <f>E361/D361*100</f>
        <v>0</v>
      </c>
      <c r="G361" s="666">
        <v>500</v>
      </c>
      <c r="H361" s="667"/>
      <c r="I361" s="647">
        <f t="shared" si="41"/>
        <v>0</v>
      </c>
      <c r="J361" s="730"/>
      <c r="K361" s="667"/>
      <c r="L361" s="649"/>
      <c r="M361" s="667"/>
      <c r="N361" s="667"/>
      <c r="O361" s="731"/>
      <c r="P361" s="667"/>
      <c r="Q361" s="667"/>
      <c r="R361" s="737"/>
    </row>
    <row r="362" spans="1:18" ht="24" hidden="1">
      <c r="A362" s="728">
        <v>4610</v>
      </c>
      <c r="B362" s="735" t="s">
        <v>909</v>
      </c>
      <c r="C362" s="666"/>
      <c r="D362" s="643">
        <f t="shared" si="40"/>
        <v>0</v>
      </c>
      <c r="E362" s="667">
        <f t="shared" si="38"/>
        <v>0</v>
      </c>
      <c r="F362" s="644" t="e">
        <f t="shared" si="39"/>
        <v>#DIV/0!</v>
      </c>
      <c r="G362" s="666"/>
      <c r="H362" s="667"/>
      <c r="I362" s="647" t="e">
        <f t="shared" si="41"/>
        <v>#DIV/0!</v>
      </c>
      <c r="J362" s="730"/>
      <c r="K362" s="667"/>
      <c r="L362" s="649"/>
      <c r="M362" s="667"/>
      <c r="N362" s="667"/>
      <c r="O362" s="731"/>
      <c r="P362" s="667"/>
      <c r="Q362" s="667"/>
      <c r="R362" s="737"/>
    </row>
    <row r="363" spans="1:18" ht="36">
      <c r="A363" s="829">
        <v>4700</v>
      </c>
      <c r="B363" s="850" t="s">
        <v>813</v>
      </c>
      <c r="C363" s="666">
        <v>120000</v>
      </c>
      <c r="D363" s="643">
        <f t="shared" si="40"/>
        <v>120000</v>
      </c>
      <c r="E363" s="667">
        <f>SUM(H363+K363+N363+Q363)</f>
        <v>87777</v>
      </c>
      <c r="F363" s="644">
        <f>E363/D363*100</f>
        <v>73.1475</v>
      </c>
      <c r="G363" s="666">
        <v>120000</v>
      </c>
      <c r="H363" s="667">
        <v>87777</v>
      </c>
      <c r="I363" s="647">
        <f t="shared" si="41"/>
        <v>73.1475</v>
      </c>
      <c r="J363" s="730"/>
      <c r="K363" s="667"/>
      <c r="L363" s="649"/>
      <c r="M363" s="667"/>
      <c r="N363" s="667"/>
      <c r="O363" s="731"/>
      <c r="P363" s="667"/>
      <c r="Q363" s="667"/>
      <c r="R363" s="737"/>
    </row>
    <row r="364" spans="1:18" ht="60">
      <c r="A364" s="829">
        <v>4740</v>
      </c>
      <c r="B364" s="850" t="s">
        <v>728</v>
      </c>
      <c r="C364" s="666">
        <v>21000</v>
      </c>
      <c r="D364" s="643">
        <f t="shared" si="40"/>
        <v>71000</v>
      </c>
      <c r="E364" s="667">
        <f>SUM(H364+K364+N364+Q364)</f>
        <v>25320</v>
      </c>
      <c r="F364" s="644">
        <f>E364/D364*100</f>
        <v>35.66197183098592</v>
      </c>
      <c r="G364" s="666">
        <f>21000+50000</f>
        <v>71000</v>
      </c>
      <c r="H364" s="667">
        <v>25320</v>
      </c>
      <c r="I364" s="647">
        <f t="shared" si="41"/>
        <v>35.66197183098592</v>
      </c>
      <c r="J364" s="730"/>
      <c r="K364" s="667"/>
      <c r="L364" s="649"/>
      <c r="M364" s="667"/>
      <c r="N364" s="667"/>
      <c r="O364" s="731"/>
      <c r="P364" s="667"/>
      <c r="Q364" s="667"/>
      <c r="R364" s="737"/>
    </row>
    <row r="365" spans="1:18" ht="48">
      <c r="A365" s="829">
        <v>4750</v>
      </c>
      <c r="B365" s="850" t="s">
        <v>910</v>
      </c>
      <c r="C365" s="666">
        <f>40000+130000</f>
        <v>170000</v>
      </c>
      <c r="D365" s="643">
        <f t="shared" si="40"/>
        <v>235000</v>
      </c>
      <c r="E365" s="667">
        <f>SUM(H365+K365+N365+Q365)</f>
        <v>120808</v>
      </c>
      <c r="F365" s="644">
        <f>E365/D365*100</f>
        <v>51.40765957446809</v>
      </c>
      <c r="G365" s="666">
        <f>40000+130000+65000</f>
        <v>235000</v>
      </c>
      <c r="H365" s="667">
        <v>120808</v>
      </c>
      <c r="I365" s="647">
        <f t="shared" si="41"/>
        <v>51.40765957446809</v>
      </c>
      <c r="J365" s="730"/>
      <c r="K365" s="667"/>
      <c r="L365" s="649"/>
      <c r="M365" s="667"/>
      <c r="N365" s="667"/>
      <c r="O365" s="731"/>
      <c r="P365" s="667"/>
      <c r="Q365" s="667"/>
      <c r="R365" s="737"/>
    </row>
    <row r="366" spans="1:18" ht="24">
      <c r="A366" s="728">
        <v>6050</v>
      </c>
      <c r="B366" s="735" t="s">
        <v>911</v>
      </c>
      <c r="C366" s="666">
        <v>620000</v>
      </c>
      <c r="D366" s="643">
        <f>G366+J366+P366+M366</f>
        <v>1035000</v>
      </c>
      <c r="E366" s="667">
        <f>SUM(H366+K366+N366+Q366)</f>
        <v>688540</v>
      </c>
      <c r="F366" s="644">
        <f>E366/D366*100</f>
        <v>66.5256038647343</v>
      </c>
      <c r="G366" s="666">
        <f>620000+200000+25000-25000+375000-160000</f>
        <v>1035000</v>
      </c>
      <c r="H366" s="667">
        <v>688540</v>
      </c>
      <c r="I366" s="647">
        <f t="shared" si="41"/>
        <v>66.5256038647343</v>
      </c>
      <c r="J366" s="730"/>
      <c r="K366" s="667"/>
      <c r="L366" s="649"/>
      <c r="M366" s="667"/>
      <c r="N366" s="667"/>
      <c r="O366" s="731"/>
      <c r="P366" s="667"/>
      <c r="Q366" s="667"/>
      <c r="R366" s="737"/>
    </row>
    <row r="367" spans="1:18" ht="36">
      <c r="A367" s="728">
        <v>6060</v>
      </c>
      <c r="B367" s="735" t="s">
        <v>912</v>
      </c>
      <c r="C367" s="666">
        <f>SUM(C368:C370)</f>
        <v>905000</v>
      </c>
      <c r="D367" s="643">
        <f t="shared" si="40"/>
        <v>878625</v>
      </c>
      <c r="E367" s="667">
        <f t="shared" si="38"/>
        <v>482179</v>
      </c>
      <c r="F367" s="644">
        <f t="shared" si="39"/>
        <v>54.87881633233746</v>
      </c>
      <c r="G367" s="666">
        <f>SUM(G368:G370)</f>
        <v>878625</v>
      </c>
      <c r="H367" s="667">
        <f>SUM(H368:H370)</f>
        <v>482179</v>
      </c>
      <c r="I367" s="647">
        <f t="shared" si="41"/>
        <v>54.87881633233746</v>
      </c>
      <c r="J367" s="730"/>
      <c r="K367" s="667"/>
      <c r="L367" s="649"/>
      <c r="M367" s="667"/>
      <c r="N367" s="667"/>
      <c r="O367" s="731"/>
      <c r="P367" s="667"/>
      <c r="Q367" s="667"/>
      <c r="R367" s="737"/>
    </row>
    <row r="368" spans="1:18" s="801" customFormat="1" ht="12.75">
      <c r="A368" s="795"/>
      <c r="B368" s="796" t="s">
        <v>891</v>
      </c>
      <c r="C368" s="797">
        <v>200000</v>
      </c>
      <c r="D368" s="798">
        <f>G368+J368+P368+M368</f>
        <v>273625</v>
      </c>
      <c r="E368" s="798">
        <f>SUM(H368+K368+N368+Q368)</f>
        <v>55620</v>
      </c>
      <c r="F368" s="644">
        <f>E368/D368*100</f>
        <v>20.327089995431706</v>
      </c>
      <c r="G368" s="797">
        <f>200000-7000+80625</f>
        <v>273625</v>
      </c>
      <c r="H368" s="798">
        <v>55620</v>
      </c>
      <c r="I368" s="647">
        <f t="shared" si="41"/>
        <v>20.327089995431706</v>
      </c>
      <c r="J368" s="799"/>
      <c r="K368" s="798"/>
      <c r="L368" s="649"/>
      <c r="M368" s="798"/>
      <c r="N368" s="798"/>
      <c r="O368" s="649"/>
      <c r="P368" s="799"/>
      <c r="Q368" s="798"/>
      <c r="R368" s="821"/>
    </row>
    <row r="369" spans="1:18" s="801" customFormat="1" ht="12.75" hidden="1">
      <c r="A369" s="795"/>
      <c r="B369" s="796" t="s">
        <v>871</v>
      </c>
      <c r="C369" s="797"/>
      <c r="D369" s="798">
        <f>G369+J369+P369+M369</f>
        <v>0</v>
      </c>
      <c r="E369" s="798">
        <f>SUM(H369+K369+N369+Q369)</f>
        <v>0</v>
      </c>
      <c r="F369" s="644" t="e">
        <f>E369/D369*100</f>
        <v>#DIV/0!</v>
      </c>
      <c r="G369" s="797"/>
      <c r="H369" s="798"/>
      <c r="I369" s="647" t="e">
        <f t="shared" si="41"/>
        <v>#DIV/0!</v>
      </c>
      <c r="J369" s="799"/>
      <c r="K369" s="798"/>
      <c r="L369" s="649"/>
      <c r="M369" s="798"/>
      <c r="N369" s="798"/>
      <c r="O369" s="649"/>
      <c r="P369" s="799"/>
      <c r="Q369" s="798"/>
      <c r="R369" s="821"/>
    </row>
    <row r="370" spans="1:18" s="801" customFormat="1" ht="12.75">
      <c r="A370" s="809"/>
      <c r="B370" s="810" t="s">
        <v>888</v>
      </c>
      <c r="C370" s="811">
        <v>705000</v>
      </c>
      <c r="D370" s="812">
        <f>G370+J370+P370+M370</f>
        <v>605000</v>
      </c>
      <c r="E370" s="812">
        <f>SUM(H370+K370+N370+Q370)</f>
        <v>426559</v>
      </c>
      <c r="F370" s="705">
        <f>E370/D370*100</f>
        <v>70.50561983471074</v>
      </c>
      <c r="G370" s="811">
        <f>705000-100000</f>
        <v>605000</v>
      </c>
      <c r="H370" s="812">
        <v>426559</v>
      </c>
      <c r="I370" s="707">
        <f>H370/G370*100</f>
        <v>70.50561983471074</v>
      </c>
      <c r="J370" s="813"/>
      <c r="K370" s="812"/>
      <c r="L370" s="768"/>
      <c r="M370" s="812"/>
      <c r="N370" s="812"/>
      <c r="O370" s="768"/>
      <c r="P370" s="813"/>
      <c r="Q370" s="812"/>
      <c r="R370" s="915"/>
    </row>
    <row r="371" spans="1:18" s="917" customFormat="1" ht="16.5" customHeight="1">
      <c r="A371" s="916">
        <v>75045</v>
      </c>
      <c r="B371" s="854" t="s">
        <v>913</v>
      </c>
      <c r="C371" s="726">
        <f>SUM(C372:C385)</f>
        <v>45000</v>
      </c>
      <c r="D371" s="674">
        <f t="shared" si="40"/>
        <v>41361</v>
      </c>
      <c r="E371" s="674">
        <f>H371+K371+Q371+N371</f>
        <v>38361</v>
      </c>
      <c r="F371" s="658">
        <f t="shared" si="39"/>
        <v>92.74679045477625</v>
      </c>
      <c r="G371" s="726"/>
      <c r="H371" s="657"/>
      <c r="I371" s="317"/>
      <c r="J371" s="662"/>
      <c r="K371" s="657"/>
      <c r="L371" s="663"/>
      <c r="M371" s="657">
        <f>SUM(M372:M385)</f>
        <v>3000</v>
      </c>
      <c r="N371" s="657">
        <f>SUM(N372:N385)</f>
        <v>0</v>
      </c>
      <c r="O371" s="897">
        <f>N371/M371*100</f>
        <v>0</v>
      </c>
      <c r="P371" s="662">
        <f>SUM(P372:P385)</f>
        <v>38361</v>
      </c>
      <c r="Q371" s="657">
        <f>SUM(Q372:Q385)</f>
        <v>38361</v>
      </c>
      <c r="R371" s="890">
        <f aca="true" t="shared" si="42" ref="R371:R381">Q371/P371*100</f>
        <v>100</v>
      </c>
    </row>
    <row r="372" spans="1:18" s="917" customFormat="1" ht="24" customHeight="1" hidden="1">
      <c r="A372" s="918">
        <v>3030</v>
      </c>
      <c r="B372" s="735" t="s">
        <v>695</v>
      </c>
      <c r="C372" s="697"/>
      <c r="D372" s="643">
        <f t="shared" si="40"/>
        <v>0</v>
      </c>
      <c r="E372" s="667">
        <f t="shared" si="38"/>
        <v>0</v>
      </c>
      <c r="F372" s="644"/>
      <c r="G372" s="846"/>
      <c r="H372" s="847"/>
      <c r="I372" s="731"/>
      <c r="J372" s="848"/>
      <c r="K372" s="847"/>
      <c r="L372" s="751"/>
      <c r="M372" s="847"/>
      <c r="N372" s="847"/>
      <c r="O372" s="731"/>
      <c r="P372" s="889"/>
      <c r="Q372" s="667"/>
      <c r="R372" s="492"/>
    </row>
    <row r="373" spans="1:18" s="917" customFormat="1" ht="23.25" customHeight="1">
      <c r="A373" s="918">
        <v>4010</v>
      </c>
      <c r="B373" s="735" t="s">
        <v>697</v>
      </c>
      <c r="C373" s="666">
        <v>9500</v>
      </c>
      <c r="D373" s="643">
        <f t="shared" si="40"/>
        <v>10261</v>
      </c>
      <c r="E373" s="667">
        <f t="shared" si="38"/>
        <v>10261</v>
      </c>
      <c r="F373" s="644">
        <f aca="true" t="shared" si="43" ref="F373:F436">E373/D373*100</f>
        <v>100</v>
      </c>
      <c r="G373" s="666"/>
      <c r="H373" s="667"/>
      <c r="I373" s="731"/>
      <c r="J373" s="730"/>
      <c r="K373" s="667"/>
      <c r="L373" s="649"/>
      <c r="M373" s="667"/>
      <c r="N373" s="667"/>
      <c r="O373" s="731"/>
      <c r="P373" s="794">
        <f>9500+800-38-1</f>
        <v>10261</v>
      </c>
      <c r="Q373" s="667">
        <v>10261</v>
      </c>
      <c r="R373" s="492">
        <f t="shared" si="42"/>
        <v>100</v>
      </c>
    </row>
    <row r="374" spans="1:18" s="917" customFormat="1" ht="24" customHeight="1">
      <c r="A374" s="918">
        <v>4110</v>
      </c>
      <c r="B374" s="735" t="s">
        <v>703</v>
      </c>
      <c r="C374" s="666">
        <v>2000</v>
      </c>
      <c r="D374" s="643">
        <f t="shared" si="40"/>
        <v>1559</v>
      </c>
      <c r="E374" s="667">
        <f t="shared" si="38"/>
        <v>1559</v>
      </c>
      <c r="F374" s="644">
        <f t="shared" si="43"/>
        <v>100</v>
      </c>
      <c r="G374" s="666"/>
      <c r="H374" s="667"/>
      <c r="I374" s="731"/>
      <c r="J374" s="730"/>
      <c r="K374" s="667"/>
      <c r="L374" s="649"/>
      <c r="M374" s="667"/>
      <c r="N374" s="667"/>
      <c r="O374" s="731"/>
      <c r="P374" s="794">
        <f>2000-400-40-1</f>
        <v>1559</v>
      </c>
      <c r="Q374" s="667">
        <v>1559</v>
      </c>
      <c r="R374" s="492">
        <f t="shared" si="42"/>
        <v>100</v>
      </c>
    </row>
    <row r="375" spans="1:18" s="917" customFormat="1" ht="12" customHeight="1">
      <c r="A375" s="918">
        <v>4120</v>
      </c>
      <c r="B375" s="735" t="s">
        <v>851</v>
      </c>
      <c r="C375" s="666">
        <v>300</v>
      </c>
      <c r="D375" s="643">
        <f t="shared" si="40"/>
        <v>251</v>
      </c>
      <c r="E375" s="667">
        <f t="shared" si="38"/>
        <v>251</v>
      </c>
      <c r="F375" s="644">
        <f t="shared" si="43"/>
        <v>100</v>
      </c>
      <c r="G375" s="666"/>
      <c r="H375" s="667"/>
      <c r="I375" s="731"/>
      <c r="J375" s="730"/>
      <c r="K375" s="667"/>
      <c r="L375" s="649"/>
      <c r="M375" s="667"/>
      <c r="N375" s="667"/>
      <c r="O375" s="731"/>
      <c r="P375" s="794">
        <f>300-48-1</f>
        <v>251</v>
      </c>
      <c r="Q375" s="667">
        <v>251</v>
      </c>
      <c r="R375" s="492">
        <f t="shared" si="42"/>
        <v>100</v>
      </c>
    </row>
    <row r="376" spans="1:18" s="917" customFormat="1" ht="24">
      <c r="A376" s="918">
        <v>4170</v>
      </c>
      <c r="B376" s="735" t="s">
        <v>742</v>
      </c>
      <c r="C376" s="666">
        <v>10500</v>
      </c>
      <c r="D376" s="643">
        <f t="shared" si="40"/>
        <v>10774</v>
      </c>
      <c r="E376" s="667">
        <f t="shared" si="38"/>
        <v>10660</v>
      </c>
      <c r="F376" s="644">
        <f t="shared" si="43"/>
        <v>98.94189715982921</v>
      </c>
      <c r="G376" s="666"/>
      <c r="H376" s="667"/>
      <c r="I376" s="731"/>
      <c r="J376" s="730"/>
      <c r="K376" s="667"/>
      <c r="L376" s="649"/>
      <c r="M376" s="667">
        <v>114</v>
      </c>
      <c r="N376" s="667"/>
      <c r="O376" s="396">
        <f>N376/M376*100</f>
        <v>0</v>
      </c>
      <c r="P376" s="794">
        <f>10500+200-40</f>
        <v>10660</v>
      </c>
      <c r="Q376" s="667">
        <v>10660</v>
      </c>
      <c r="R376" s="492">
        <f t="shared" si="42"/>
        <v>100</v>
      </c>
    </row>
    <row r="377" spans="1:18" s="917" customFormat="1" ht="24">
      <c r="A377" s="918">
        <v>4170</v>
      </c>
      <c r="B377" s="735" t="s">
        <v>914</v>
      </c>
      <c r="C377" s="666"/>
      <c r="D377" s="643">
        <f>G377+J377+P377+M377</f>
        <v>750</v>
      </c>
      <c r="E377" s="667">
        <f>SUM(H377+K377+N377+Q377)</f>
        <v>750</v>
      </c>
      <c r="F377" s="644">
        <f>E377/D377*100</f>
        <v>100</v>
      </c>
      <c r="G377" s="666"/>
      <c r="H377" s="667"/>
      <c r="I377" s="731"/>
      <c r="J377" s="730"/>
      <c r="K377" s="667"/>
      <c r="L377" s="649"/>
      <c r="M377" s="667"/>
      <c r="N377" s="667"/>
      <c r="O377" s="647"/>
      <c r="P377" s="794">
        <f>650+100</f>
        <v>750</v>
      </c>
      <c r="Q377" s="667">
        <f>636+114</f>
        <v>750</v>
      </c>
      <c r="R377" s="492">
        <f t="shared" si="42"/>
        <v>100</v>
      </c>
    </row>
    <row r="378" spans="1:18" s="917" customFormat="1" ht="25.5" customHeight="1">
      <c r="A378" s="918">
        <v>4210</v>
      </c>
      <c r="B378" s="735" t="s">
        <v>707</v>
      </c>
      <c r="C378" s="666">
        <v>4500</v>
      </c>
      <c r="D378" s="643">
        <f t="shared" si="40"/>
        <v>6317</v>
      </c>
      <c r="E378" s="667">
        <f t="shared" si="38"/>
        <v>6317</v>
      </c>
      <c r="F378" s="644">
        <f t="shared" si="43"/>
        <v>100</v>
      </c>
      <c r="G378" s="666"/>
      <c r="H378" s="667"/>
      <c r="I378" s="731"/>
      <c r="J378" s="730"/>
      <c r="K378" s="667"/>
      <c r="L378" s="649"/>
      <c r="M378" s="667"/>
      <c r="N378" s="667"/>
      <c r="O378" s="647"/>
      <c r="P378" s="794">
        <f>4500+2426-510-99</f>
        <v>6317</v>
      </c>
      <c r="Q378" s="667">
        <v>6317</v>
      </c>
      <c r="R378" s="492">
        <f t="shared" si="42"/>
        <v>100</v>
      </c>
    </row>
    <row r="379" spans="1:18" s="917" customFormat="1" ht="16.5" customHeight="1" hidden="1">
      <c r="A379" s="918">
        <v>4270</v>
      </c>
      <c r="B379" s="735" t="s">
        <v>713</v>
      </c>
      <c r="C379" s="666"/>
      <c r="D379" s="643">
        <f t="shared" si="40"/>
        <v>0</v>
      </c>
      <c r="E379" s="667">
        <f t="shared" si="38"/>
        <v>0</v>
      </c>
      <c r="F379" s="644" t="e">
        <f t="shared" si="43"/>
        <v>#DIV/0!</v>
      </c>
      <c r="G379" s="666"/>
      <c r="H379" s="667"/>
      <c r="I379" s="731"/>
      <c r="J379" s="730"/>
      <c r="K379" s="667"/>
      <c r="L379" s="649"/>
      <c r="M379" s="667"/>
      <c r="N379" s="667"/>
      <c r="O379" s="647" t="e">
        <f>N379/M379*100</f>
        <v>#DIV/0!</v>
      </c>
      <c r="P379" s="794"/>
      <c r="Q379" s="667"/>
      <c r="R379" s="492" t="e">
        <f t="shared" si="42"/>
        <v>#DIV/0!</v>
      </c>
    </row>
    <row r="380" spans="1:18" s="917" customFormat="1" ht="36">
      <c r="A380" s="918">
        <v>4300</v>
      </c>
      <c r="B380" s="735" t="s">
        <v>915</v>
      </c>
      <c r="C380" s="666">
        <v>8000</v>
      </c>
      <c r="D380" s="643">
        <f t="shared" si="40"/>
        <v>3715</v>
      </c>
      <c r="E380" s="667">
        <f t="shared" si="38"/>
        <v>3715</v>
      </c>
      <c r="F380" s="644">
        <f t="shared" si="43"/>
        <v>100</v>
      </c>
      <c r="G380" s="666"/>
      <c r="H380" s="667"/>
      <c r="I380" s="731"/>
      <c r="J380" s="730"/>
      <c r="K380" s="667"/>
      <c r="L380" s="649"/>
      <c r="M380" s="667"/>
      <c r="N380" s="667"/>
      <c r="O380" s="647"/>
      <c r="P380" s="794">
        <f>7350-3535-100</f>
        <v>3715</v>
      </c>
      <c r="Q380" s="667">
        <v>3715</v>
      </c>
      <c r="R380" s="492">
        <f t="shared" si="42"/>
        <v>100</v>
      </c>
    </row>
    <row r="381" spans="1:18" s="917" customFormat="1" ht="24">
      <c r="A381" s="918">
        <v>4300</v>
      </c>
      <c r="B381" s="735" t="s">
        <v>733</v>
      </c>
      <c r="C381" s="666">
        <v>9800</v>
      </c>
      <c r="D381" s="643">
        <f t="shared" si="40"/>
        <v>7224</v>
      </c>
      <c r="E381" s="667">
        <f t="shared" si="38"/>
        <v>4338</v>
      </c>
      <c r="F381" s="644">
        <f t="shared" si="43"/>
        <v>60.04983388704319</v>
      </c>
      <c r="G381" s="666"/>
      <c r="H381" s="667"/>
      <c r="I381" s="731"/>
      <c r="J381" s="730"/>
      <c r="K381" s="730"/>
      <c r="L381" s="649"/>
      <c r="M381" s="667">
        <f>3000-114</f>
        <v>2886</v>
      </c>
      <c r="N381" s="667"/>
      <c r="O381" s="647">
        <f>N381/M381*100</f>
        <v>0</v>
      </c>
      <c r="P381" s="900">
        <f>6800-200-200-2060-2</f>
        <v>4338</v>
      </c>
      <c r="Q381" s="667">
        <v>4338</v>
      </c>
      <c r="R381" s="492">
        <f t="shared" si="42"/>
        <v>100</v>
      </c>
    </row>
    <row r="382" spans="1:18" s="917" customFormat="1" ht="48">
      <c r="A382" s="918">
        <v>4370</v>
      </c>
      <c r="B382" s="850" t="s">
        <v>916</v>
      </c>
      <c r="C382" s="666">
        <v>200</v>
      </c>
      <c r="D382" s="643">
        <f>G382+J382+P382+M382</f>
        <v>0</v>
      </c>
      <c r="E382" s="667">
        <f>SUM(H382+K382+N382+Q382)</f>
        <v>0</v>
      </c>
      <c r="F382" s="644" t="e">
        <f>E382/D382*100</f>
        <v>#DIV/0!</v>
      </c>
      <c r="G382" s="666"/>
      <c r="H382" s="667"/>
      <c r="I382" s="731"/>
      <c r="J382" s="730"/>
      <c r="K382" s="730"/>
      <c r="L382" s="649"/>
      <c r="M382" s="667"/>
      <c r="N382" s="667"/>
      <c r="O382" s="647"/>
      <c r="P382" s="900">
        <f>200-200</f>
        <v>0</v>
      </c>
      <c r="Q382" s="667"/>
      <c r="R382" s="647"/>
    </row>
    <row r="383" spans="1:18" s="917" customFormat="1" ht="60">
      <c r="A383" s="829">
        <v>4740</v>
      </c>
      <c r="B383" s="850" t="s">
        <v>728</v>
      </c>
      <c r="C383" s="666"/>
      <c r="D383" s="643">
        <f>G383+J383+P383+M383</f>
        <v>120</v>
      </c>
      <c r="E383" s="667">
        <f>SUM(H383+K383+N383+Q383)</f>
        <v>120</v>
      </c>
      <c r="F383" s="644">
        <f>E383/D383*100</f>
        <v>100</v>
      </c>
      <c r="G383" s="666"/>
      <c r="H383" s="667"/>
      <c r="I383" s="731"/>
      <c r="J383" s="730"/>
      <c r="K383" s="730"/>
      <c r="L383" s="649"/>
      <c r="M383" s="667"/>
      <c r="N383" s="667"/>
      <c r="O383" s="647"/>
      <c r="P383" s="900">
        <v>120</v>
      </c>
      <c r="Q383" s="667">
        <v>120</v>
      </c>
      <c r="R383" s="492">
        <f>Q383/P383*100</f>
        <v>100</v>
      </c>
    </row>
    <row r="384" spans="1:18" s="917" customFormat="1" ht="36">
      <c r="A384" s="829">
        <v>4750</v>
      </c>
      <c r="B384" s="850" t="s">
        <v>814</v>
      </c>
      <c r="C384" s="666"/>
      <c r="D384" s="643">
        <f>G384+J384+P384+M384</f>
        <v>390</v>
      </c>
      <c r="E384" s="667">
        <f>SUM(H384+K384+N384+Q384)</f>
        <v>390</v>
      </c>
      <c r="F384" s="644">
        <f>E384/D384*100</f>
        <v>100</v>
      </c>
      <c r="G384" s="666"/>
      <c r="H384" s="667"/>
      <c r="I384" s="731"/>
      <c r="J384" s="730"/>
      <c r="K384" s="730"/>
      <c r="L384" s="649"/>
      <c r="M384" s="667"/>
      <c r="N384" s="667"/>
      <c r="O384" s="647"/>
      <c r="P384" s="900">
        <v>390</v>
      </c>
      <c r="Q384" s="667">
        <v>390</v>
      </c>
      <c r="R384" s="492">
        <f>Q384/P384*100</f>
        <v>100</v>
      </c>
    </row>
    <row r="385" spans="1:18" s="917" customFormat="1" ht="14.25" customHeight="1">
      <c r="A385" s="919">
        <v>4410</v>
      </c>
      <c r="B385" s="780" t="s">
        <v>689</v>
      </c>
      <c r="C385" s="781">
        <v>200</v>
      </c>
      <c r="D385" s="643">
        <f>G385+J385+P385+M385</f>
        <v>0</v>
      </c>
      <c r="E385" s="667">
        <f>SUM(H385+K385+N385+Q385)</f>
        <v>0</v>
      </c>
      <c r="F385" s="644"/>
      <c r="G385" s="781"/>
      <c r="H385" s="785"/>
      <c r="I385" s="786"/>
      <c r="J385" s="782"/>
      <c r="K385" s="782"/>
      <c r="L385" s="768"/>
      <c r="M385" s="785"/>
      <c r="N385" s="785"/>
      <c r="O385" s="707"/>
      <c r="P385" s="920">
        <f>200-200</f>
        <v>0</v>
      </c>
      <c r="Q385" s="785"/>
      <c r="R385" s="647"/>
    </row>
    <row r="386" spans="1:18" s="922" customFormat="1" ht="27.75" customHeight="1">
      <c r="A386" s="921">
        <v>75075</v>
      </c>
      <c r="B386" s="856" t="s">
        <v>917</v>
      </c>
      <c r="C386" s="673">
        <f>SUM(C387:C398)+C407+C414</f>
        <v>1131000</v>
      </c>
      <c r="D386" s="674">
        <f t="shared" si="40"/>
        <v>1582440</v>
      </c>
      <c r="E386" s="674">
        <f t="shared" si="40"/>
        <v>1403024</v>
      </c>
      <c r="F386" s="658">
        <f t="shared" si="43"/>
        <v>88.66206617628472</v>
      </c>
      <c r="G386" s="673">
        <f>SUM(G387:G398)+G407+G414</f>
        <v>1582440</v>
      </c>
      <c r="H386" s="674">
        <f>SUM(H387:H398)+H407+H414</f>
        <v>1403024</v>
      </c>
      <c r="I386" s="665">
        <f aca="true" t="shared" si="44" ref="I386:I445">H386/G386*100</f>
        <v>88.66206617628472</v>
      </c>
      <c r="J386" s="677"/>
      <c r="K386" s="677"/>
      <c r="L386" s="665"/>
      <c r="M386" s="674"/>
      <c r="N386" s="674"/>
      <c r="O386" s="827"/>
      <c r="P386" s="674"/>
      <c r="Q386" s="674"/>
      <c r="R386" s="791"/>
    </row>
    <row r="387" spans="1:18" s="923" customFormat="1" ht="72" hidden="1">
      <c r="A387" s="918">
        <v>2820</v>
      </c>
      <c r="B387" s="735" t="s">
        <v>918</v>
      </c>
      <c r="C387" s="684"/>
      <c r="D387" s="685">
        <f t="shared" si="40"/>
        <v>0</v>
      </c>
      <c r="E387" s="685">
        <f t="shared" si="40"/>
        <v>0</v>
      </c>
      <c r="F387" s="644" t="e">
        <f t="shared" si="43"/>
        <v>#DIV/0!</v>
      </c>
      <c r="G387" s="684"/>
      <c r="H387" s="685"/>
      <c r="I387" s="647" t="e">
        <f t="shared" si="44"/>
        <v>#DIV/0!</v>
      </c>
      <c r="J387" s="689"/>
      <c r="K387" s="689"/>
      <c r="L387" s="652"/>
      <c r="M387" s="685"/>
      <c r="N387" s="685"/>
      <c r="O387" s="779"/>
      <c r="P387" s="685"/>
      <c r="Q387" s="685"/>
      <c r="R387" s="652"/>
    </row>
    <row r="388" spans="1:18" s="923" customFormat="1" ht="24">
      <c r="A388" s="918">
        <v>4170</v>
      </c>
      <c r="B388" s="735" t="s">
        <v>919</v>
      </c>
      <c r="C388" s="697"/>
      <c r="D388" s="643">
        <f>G388+J388+P388+M388</f>
        <v>1350</v>
      </c>
      <c r="E388" s="643">
        <f>H388+K388+Q388+N388</f>
        <v>850</v>
      </c>
      <c r="F388" s="644">
        <f>E388/D388*100</f>
        <v>62.96296296296296</v>
      </c>
      <c r="G388" s="697">
        <f>600+750</f>
        <v>1350</v>
      </c>
      <c r="H388" s="643">
        <v>850</v>
      </c>
      <c r="I388" s="647">
        <f t="shared" si="44"/>
        <v>62.96296296296296</v>
      </c>
      <c r="J388" s="648"/>
      <c r="K388" s="648"/>
      <c r="L388" s="647"/>
      <c r="M388" s="643"/>
      <c r="N388" s="643"/>
      <c r="O388" s="731"/>
      <c r="P388" s="643"/>
      <c r="Q388" s="643"/>
      <c r="R388" s="647"/>
    </row>
    <row r="389" spans="1:18" s="923" customFormat="1" ht="24" customHeight="1">
      <c r="A389" s="918">
        <v>4210</v>
      </c>
      <c r="B389" s="735" t="s">
        <v>920</v>
      </c>
      <c r="C389" s="697">
        <v>30000</v>
      </c>
      <c r="D389" s="643">
        <f>G389+J389+P389+M389</f>
        <v>76700</v>
      </c>
      <c r="E389" s="643">
        <f>H389+K389+Q389+N389</f>
        <v>13186</v>
      </c>
      <c r="F389" s="644">
        <f>E389/D389*100</f>
        <v>17.19165580182529</v>
      </c>
      <c r="G389" s="697">
        <f>30000-10000+200-1000+7500+50000</f>
        <v>76700</v>
      </c>
      <c r="H389" s="643">
        <v>13186</v>
      </c>
      <c r="I389" s="647">
        <f t="shared" si="44"/>
        <v>17.19165580182529</v>
      </c>
      <c r="J389" s="648"/>
      <c r="K389" s="648"/>
      <c r="L389" s="647"/>
      <c r="M389" s="643"/>
      <c r="N389" s="643"/>
      <c r="O389" s="731"/>
      <c r="P389" s="643"/>
      <c r="Q389" s="643"/>
      <c r="R389" s="647"/>
    </row>
    <row r="390" spans="1:18" s="923" customFormat="1" ht="24" customHeight="1">
      <c r="A390" s="918">
        <v>4210</v>
      </c>
      <c r="B390" s="735" t="s">
        <v>921</v>
      </c>
      <c r="C390" s="697">
        <v>6000</v>
      </c>
      <c r="D390" s="643">
        <f>G390+J390+P390+M390</f>
        <v>5300</v>
      </c>
      <c r="E390" s="643">
        <f t="shared" si="40"/>
        <v>1957</v>
      </c>
      <c r="F390" s="644">
        <f>E390/D390*100</f>
        <v>36.924528301886795</v>
      </c>
      <c r="G390" s="697">
        <f>6000-700</f>
        <v>5300</v>
      </c>
      <c r="H390" s="643">
        <v>1957</v>
      </c>
      <c r="I390" s="647">
        <f t="shared" si="44"/>
        <v>36.924528301886795</v>
      </c>
      <c r="J390" s="648"/>
      <c r="K390" s="648"/>
      <c r="L390" s="647"/>
      <c r="M390" s="643"/>
      <c r="N390" s="643"/>
      <c r="O390" s="731"/>
      <c r="P390" s="643"/>
      <c r="Q390" s="643"/>
      <c r="R390" s="647"/>
    </row>
    <row r="391" spans="1:18" s="923" customFormat="1" ht="24" customHeight="1">
      <c r="A391" s="918">
        <v>4260</v>
      </c>
      <c r="B391" s="735" t="s">
        <v>922</v>
      </c>
      <c r="C391" s="697"/>
      <c r="D391" s="643">
        <f>G391+J391+P391+M391</f>
        <v>1464</v>
      </c>
      <c r="E391" s="643">
        <f>H391+K391+Q391+N391</f>
        <v>1098</v>
      </c>
      <c r="F391" s="644">
        <f>E391/D391*100</f>
        <v>75</v>
      </c>
      <c r="G391" s="697">
        <v>1464</v>
      </c>
      <c r="H391" s="643">
        <v>1098</v>
      </c>
      <c r="I391" s="647">
        <f t="shared" si="44"/>
        <v>75</v>
      </c>
      <c r="J391" s="648"/>
      <c r="K391" s="648"/>
      <c r="L391" s="647"/>
      <c r="M391" s="643"/>
      <c r="N391" s="643"/>
      <c r="O391" s="731"/>
      <c r="P391" s="643"/>
      <c r="Q391" s="643"/>
      <c r="R391" s="647"/>
    </row>
    <row r="392" spans="1:18" s="923" customFormat="1" ht="24">
      <c r="A392" s="919">
        <v>4300</v>
      </c>
      <c r="B392" s="780" t="s">
        <v>923</v>
      </c>
      <c r="C392" s="764">
        <v>290000</v>
      </c>
      <c r="D392" s="765">
        <f t="shared" si="40"/>
        <v>409836</v>
      </c>
      <c r="E392" s="765">
        <f t="shared" si="40"/>
        <v>332094</v>
      </c>
      <c r="F392" s="705">
        <f t="shared" si="43"/>
        <v>81.03094896495183</v>
      </c>
      <c r="G392" s="764">
        <f>290000+50000-1464-20000+81000+800+3500+6000</f>
        <v>409836</v>
      </c>
      <c r="H392" s="765">
        <v>332094</v>
      </c>
      <c r="I392" s="707">
        <f t="shared" si="44"/>
        <v>81.03094896495183</v>
      </c>
      <c r="J392" s="767"/>
      <c r="K392" s="765"/>
      <c r="L392" s="707"/>
      <c r="M392" s="765"/>
      <c r="N392" s="765"/>
      <c r="O392" s="786"/>
      <c r="P392" s="765"/>
      <c r="Q392" s="765"/>
      <c r="R392" s="707"/>
    </row>
    <row r="393" spans="1:18" s="923" customFormat="1" ht="24">
      <c r="A393" s="918">
        <v>4300</v>
      </c>
      <c r="B393" s="735" t="s">
        <v>924</v>
      </c>
      <c r="C393" s="697"/>
      <c r="D393" s="643">
        <f>G393+J393+P393+M393</f>
        <v>38000</v>
      </c>
      <c r="E393" s="643">
        <f>H393+K393+Q393+N393</f>
        <v>21764</v>
      </c>
      <c r="F393" s="644">
        <f>E393/D393*100</f>
        <v>57.27368421052632</v>
      </c>
      <c r="G393" s="697">
        <f>18000+20000</f>
        <v>38000</v>
      </c>
      <c r="H393" s="643">
        <v>21764</v>
      </c>
      <c r="I393" s="647">
        <f t="shared" si="44"/>
        <v>57.27368421052632</v>
      </c>
      <c r="J393" s="648"/>
      <c r="K393" s="643"/>
      <c r="L393" s="647"/>
      <c r="M393" s="643"/>
      <c r="N393" s="643"/>
      <c r="O393" s="731"/>
      <c r="P393" s="643"/>
      <c r="Q393" s="643"/>
      <c r="R393" s="647"/>
    </row>
    <row r="394" spans="1:18" s="923" customFormat="1" ht="24">
      <c r="A394" s="918">
        <v>4300</v>
      </c>
      <c r="B394" s="735" t="s">
        <v>925</v>
      </c>
      <c r="C394" s="697">
        <v>30000</v>
      </c>
      <c r="D394" s="643">
        <f>G394+J394+P394+M394</f>
        <v>29350</v>
      </c>
      <c r="E394" s="643">
        <f t="shared" si="40"/>
        <v>29146</v>
      </c>
      <c r="F394" s="644">
        <f>E394/D394*100</f>
        <v>99.30494037478705</v>
      </c>
      <c r="G394" s="697">
        <f>30000-600-750+700</f>
        <v>29350</v>
      </c>
      <c r="H394" s="643">
        <v>29146</v>
      </c>
      <c r="I394" s="647">
        <f t="shared" si="44"/>
        <v>99.30494037478705</v>
      </c>
      <c r="J394" s="648"/>
      <c r="K394" s="643"/>
      <c r="L394" s="647"/>
      <c r="M394" s="643"/>
      <c r="N394" s="643"/>
      <c r="O394" s="731"/>
      <c r="P394" s="643"/>
      <c r="Q394" s="643"/>
      <c r="R394" s="647"/>
    </row>
    <row r="395" spans="1:18" s="917" customFormat="1" ht="24">
      <c r="A395" s="918">
        <v>4300</v>
      </c>
      <c r="B395" s="735" t="s">
        <v>926</v>
      </c>
      <c r="C395" s="666">
        <v>750000</v>
      </c>
      <c r="D395" s="643">
        <f t="shared" si="40"/>
        <v>950000</v>
      </c>
      <c r="E395" s="643">
        <f t="shared" si="40"/>
        <v>949934</v>
      </c>
      <c r="F395" s="644">
        <f t="shared" si="43"/>
        <v>99.99305263157895</v>
      </c>
      <c r="G395" s="666">
        <f>750000+200000</f>
        <v>950000</v>
      </c>
      <c r="H395" s="667">
        <v>949934</v>
      </c>
      <c r="I395" s="492">
        <f t="shared" si="44"/>
        <v>99.99305263157895</v>
      </c>
      <c r="J395" s="730"/>
      <c r="K395" s="667"/>
      <c r="L395" s="647"/>
      <c r="M395" s="667"/>
      <c r="N395" s="667"/>
      <c r="O395" s="731"/>
      <c r="P395" s="667"/>
      <c r="Q395" s="667"/>
      <c r="R395" s="647"/>
    </row>
    <row r="396" spans="1:18" s="923" customFormat="1" ht="24">
      <c r="A396" s="924">
        <v>4350</v>
      </c>
      <c r="B396" s="865" t="s">
        <v>927</v>
      </c>
      <c r="C396" s="697">
        <v>25000</v>
      </c>
      <c r="D396" s="643">
        <f t="shared" si="40"/>
        <v>33000</v>
      </c>
      <c r="E396" s="643">
        <f t="shared" si="40"/>
        <v>15616</v>
      </c>
      <c r="F396" s="644">
        <f t="shared" si="43"/>
        <v>47.32121212121212</v>
      </c>
      <c r="G396" s="697">
        <f>25000+5000+3000</f>
        <v>33000</v>
      </c>
      <c r="H396" s="643">
        <v>15616</v>
      </c>
      <c r="I396" s="647">
        <f t="shared" si="44"/>
        <v>47.32121212121212</v>
      </c>
      <c r="J396" s="648"/>
      <c r="K396" s="643"/>
      <c r="L396" s="647"/>
      <c r="M396" s="643"/>
      <c r="N396" s="643"/>
      <c r="O396" s="731"/>
      <c r="P396" s="643"/>
      <c r="Q396" s="643"/>
      <c r="R396" s="647"/>
    </row>
    <row r="397" spans="1:18" s="923" customFormat="1" ht="36" hidden="1">
      <c r="A397" s="924">
        <v>6060</v>
      </c>
      <c r="B397" s="865" t="s">
        <v>856</v>
      </c>
      <c r="C397" s="697"/>
      <c r="D397" s="643">
        <f>G397+J397+P397+M397</f>
        <v>0</v>
      </c>
      <c r="E397" s="643">
        <f>H397+K397+Q397+N397</f>
        <v>0</v>
      </c>
      <c r="F397" s="644" t="e">
        <f>E397/D397*100</f>
        <v>#DIV/0!</v>
      </c>
      <c r="G397" s="697"/>
      <c r="H397" s="643"/>
      <c r="I397" s="647" t="e">
        <f t="shared" si="44"/>
        <v>#DIV/0!</v>
      </c>
      <c r="J397" s="648"/>
      <c r="K397" s="643"/>
      <c r="L397" s="647"/>
      <c r="M397" s="643"/>
      <c r="N397" s="643"/>
      <c r="O397" s="731"/>
      <c r="P397" s="643"/>
      <c r="Q397" s="643"/>
      <c r="R397" s="647"/>
    </row>
    <row r="398" spans="1:18" s="922" customFormat="1" ht="48">
      <c r="A398" s="925"/>
      <c r="B398" s="926" t="s">
        <v>928</v>
      </c>
      <c r="C398" s="748">
        <f>SUM(C399:C406)</f>
        <v>0</v>
      </c>
      <c r="D398" s="749">
        <f t="shared" si="40"/>
        <v>37440</v>
      </c>
      <c r="E398" s="749">
        <f t="shared" si="40"/>
        <v>37379</v>
      </c>
      <c r="F398" s="644">
        <f t="shared" si="43"/>
        <v>99.83707264957265</v>
      </c>
      <c r="G398" s="748">
        <f>SUM(G399:G406)</f>
        <v>37440</v>
      </c>
      <c r="H398" s="773">
        <f>SUM(H399:H406)</f>
        <v>37379</v>
      </c>
      <c r="I398" s="492">
        <f t="shared" si="44"/>
        <v>99.83707264957265</v>
      </c>
      <c r="J398" s="750"/>
      <c r="K398" s="749"/>
      <c r="L398" s="754"/>
      <c r="M398" s="749"/>
      <c r="N398" s="749"/>
      <c r="O398" s="774"/>
      <c r="P398" s="749"/>
      <c r="Q398" s="749"/>
      <c r="R398" s="927"/>
    </row>
    <row r="399" spans="1:18" s="917" customFormat="1" ht="24">
      <c r="A399" s="918">
        <v>4110</v>
      </c>
      <c r="B399" s="735" t="s">
        <v>802</v>
      </c>
      <c r="C399" s="666"/>
      <c r="D399" s="643">
        <f t="shared" si="40"/>
        <v>335</v>
      </c>
      <c r="E399" s="643">
        <f t="shared" si="40"/>
        <v>334</v>
      </c>
      <c r="F399" s="644">
        <f t="shared" si="43"/>
        <v>99.70149253731343</v>
      </c>
      <c r="G399" s="666">
        <v>335</v>
      </c>
      <c r="H399" s="667">
        <v>334</v>
      </c>
      <c r="I399" s="492">
        <f t="shared" si="44"/>
        <v>99.70149253731343</v>
      </c>
      <c r="J399" s="730"/>
      <c r="K399" s="667"/>
      <c r="L399" s="647"/>
      <c r="M399" s="667"/>
      <c r="N399" s="667"/>
      <c r="O399" s="731"/>
      <c r="P399" s="667"/>
      <c r="Q399" s="667"/>
      <c r="R399" s="647"/>
    </row>
    <row r="400" spans="1:18" s="917" customFormat="1" ht="12.75">
      <c r="A400" s="918">
        <v>4120</v>
      </c>
      <c r="B400" s="735" t="s">
        <v>847</v>
      </c>
      <c r="C400" s="666"/>
      <c r="D400" s="643">
        <f t="shared" si="40"/>
        <v>54</v>
      </c>
      <c r="E400" s="643">
        <f t="shared" si="40"/>
        <v>54</v>
      </c>
      <c r="F400" s="644">
        <f t="shared" si="43"/>
        <v>100</v>
      </c>
      <c r="G400" s="666">
        <v>54</v>
      </c>
      <c r="H400" s="667">
        <v>54</v>
      </c>
      <c r="I400" s="492">
        <f t="shared" si="44"/>
        <v>100</v>
      </c>
      <c r="J400" s="730"/>
      <c r="K400" s="667"/>
      <c r="L400" s="647"/>
      <c r="M400" s="667"/>
      <c r="N400" s="667"/>
      <c r="O400" s="731"/>
      <c r="P400" s="667"/>
      <c r="Q400" s="667"/>
      <c r="R400" s="647"/>
    </row>
    <row r="401" spans="1:18" s="917" customFormat="1" ht="24">
      <c r="A401" s="918">
        <v>4178</v>
      </c>
      <c r="B401" s="735" t="s">
        <v>929</v>
      </c>
      <c r="C401" s="666"/>
      <c r="D401" s="643">
        <f t="shared" si="40"/>
        <v>1650</v>
      </c>
      <c r="E401" s="643">
        <f t="shared" si="40"/>
        <v>1650</v>
      </c>
      <c r="F401" s="644">
        <f t="shared" si="43"/>
        <v>100</v>
      </c>
      <c r="G401" s="666">
        <v>1650</v>
      </c>
      <c r="H401" s="667">
        <v>1650</v>
      </c>
      <c r="I401" s="492">
        <f t="shared" si="44"/>
        <v>100</v>
      </c>
      <c r="J401" s="730"/>
      <c r="K401" s="667"/>
      <c r="L401" s="647"/>
      <c r="M401" s="667"/>
      <c r="N401" s="667"/>
      <c r="O401" s="731"/>
      <c r="P401" s="667"/>
      <c r="Q401" s="667"/>
      <c r="R401" s="647"/>
    </row>
    <row r="402" spans="1:18" s="917" customFormat="1" ht="24">
      <c r="A402" s="918">
        <v>4179</v>
      </c>
      <c r="B402" s="735" t="s">
        <v>929</v>
      </c>
      <c r="C402" s="666"/>
      <c r="D402" s="643">
        <f t="shared" si="40"/>
        <v>550</v>
      </c>
      <c r="E402" s="643">
        <f t="shared" si="40"/>
        <v>550</v>
      </c>
      <c r="F402" s="644">
        <f t="shared" si="43"/>
        <v>100</v>
      </c>
      <c r="G402" s="666">
        <v>550</v>
      </c>
      <c r="H402" s="667">
        <v>550</v>
      </c>
      <c r="I402" s="492">
        <f t="shared" si="44"/>
        <v>100</v>
      </c>
      <c r="J402" s="730"/>
      <c r="K402" s="667"/>
      <c r="L402" s="647"/>
      <c r="M402" s="667"/>
      <c r="N402" s="667"/>
      <c r="O402" s="731"/>
      <c r="P402" s="667"/>
      <c r="Q402" s="667"/>
      <c r="R402" s="647"/>
    </row>
    <row r="403" spans="1:18" s="917" customFormat="1" ht="19.5" customHeight="1">
      <c r="A403" s="918">
        <v>4308</v>
      </c>
      <c r="B403" s="735" t="s">
        <v>715</v>
      </c>
      <c r="C403" s="666"/>
      <c r="D403" s="643">
        <f t="shared" si="40"/>
        <v>23309</v>
      </c>
      <c r="E403" s="643">
        <f t="shared" si="40"/>
        <v>23301</v>
      </c>
      <c r="F403" s="644">
        <f t="shared" si="43"/>
        <v>99.96567849328586</v>
      </c>
      <c r="G403" s="666">
        <f>21113+2196</f>
        <v>23309</v>
      </c>
      <c r="H403" s="667">
        <v>23301</v>
      </c>
      <c r="I403" s="492">
        <f t="shared" si="44"/>
        <v>99.96567849328586</v>
      </c>
      <c r="J403" s="730"/>
      <c r="K403" s="667"/>
      <c r="L403" s="647"/>
      <c r="M403" s="667"/>
      <c r="N403" s="667"/>
      <c r="O403" s="731"/>
      <c r="P403" s="667"/>
      <c r="Q403" s="667"/>
      <c r="R403" s="647"/>
    </row>
    <row r="404" spans="1:18" s="917" customFormat="1" ht="19.5" customHeight="1">
      <c r="A404" s="918">
        <v>4309</v>
      </c>
      <c r="B404" s="735" t="s">
        <v>715</v>
      </c>
      <c r="C404" s="666"/>
      <c r="D404" s="643">
        <f>G404+J404+P404+M404</f>
        <v>7770</v>
      </c>
      <c r="E404" s="643">
        <f>H404+K404+Q404+N404</f>
        <v>7767</v>
      </c>
      <c r="F404" s="644">
        <f t="shared" si="43"/>
        <v>99.96138996138995</v>
      </c>
      <c r="G404" s="666">
        <f>7038+732</f>
        <v>7770</v>
      </c>
      <c r="H404" s="667">
        <v>7767</v>
      </c>
      <c r="I404" s="492">
        <f t="shared" si="44"/>
        <v>99.96138996138995</v>
      </c>
      <c r="J404" s="730"/>
      <c r="K404" s="667"/>
      <c r="L404" s="647"/>
      <c r="M404" s="667"/>
      <c r="N404" s="667"/>
      <c r="O404" s="731"/>
      <c r="P404" s="667"/>
      <c r="Q404" s="667"/>
      <c r="R404" s="647"/>
    </row>
    <row r="405" spans="1:18" s="917" customFormat="1" ht="27.75" customHeight="1">
      <c r="A405" s="918">
        <v>4388</v>
      </c>
      <c r="B405" s="735" t="s">
        <v>825</v>
      </c>
      <c r="C405" s="666"/>
      <c r="D405" s="643">
        <f>G405+J405+P405+M405</f>
        <v>2829</v>
      </c>
      <c r="E405" s="643">
        <f>H405+K405+Q405+N405</f>
        <v>2792</v>
      </c>
      <c r="F405" s="644">
        <f t="shared" si="43"/>
        <v>98.69211735595617</v>
      </c>
      <c r="G405" s="666">
        <f>5025-2196</f>
        <v>2829</v>
      </c>
      <c r="H405" s="667">
        <v>2792</v>
      </c>
      <c r="I405" s="492">
        <f t="shared" si="44"/>
        <v>98.69211735595617</v>
      </c>
      <c r="J405" s="730"/>
      <c r="K405" s="667"/>
      <c r="L405" s="647"/>
      <c r="M405" s="667"/>
      <c r="N405" s="667"/>
      <c r="O405" s="731"/>
      <c r="P405" s="667"/>
      <c r="Q405" s="667"/>
      <c r="R405" s="647"/>
    </row>
    <row r="406" spans="1:18" s="917" customFormat="1" ht="27.75" customHeight="1">
      <c r="A406" s="918">
        <v>4389</v>
      </c>
      <c r="B406" s="735" t="s">
        <v>825</v>
      </c>
      <c r="C406" s="666"/>
      <c r="D406" s="643">
        <f t="shared" si="40"/>
        <v>943</v>
      </c>
      <c r="E406" s="643">
        <f t="shared" si="40"/>
        <v>931</v>
      </c>
      <c r="F406" s="644">
        <f t="shared" si="43"/>
        <v>98.72746553552491</v>
      </c>
      <c r="G406" s="666">
        <f>1675-732</f>
        <v>943</v>
      </c>
      <c r="H406" s="667">
        <v>931</v>
      </c>
      <c r="I406" s="492">
        <f t="shared" si="44"/>
        <v>98.72746553552491</v>
      </c>
      <c r="J406" s="730"/>
      <c r="K406" s="667"/>
      <c r="L406" s="647"/>
      <c r="M406" s="667"/>
      <c r="N406" s="667"/>
      <c r="O406" s="731"/>
      <c r="P406" s="667"/>
      <c r="Q406" s="667"/>
      <c r="R406" s="647"/>
    </row>
    <row r="407" spans="1:18" s="922" customFormat="1" ht="48" hidden="1">
      <c r="A407" s="746"/>
      <c r="B407" s="926" t="s">
        <v>930</v>
      </c>
      <c r="C407" s="748">
        <f>SUM(C408:C413)</f>
        <v>0</v>
      </c>
      <c r="D407" s="749">
        <f t="shared" si="40"/>
        <v>0</v>
      </c>
      <c r="E407" s="749">
        <f t="shared" si="40"/>
        <v>0</v>
      </c>
      <c r="F407" s="644" t="e">
        <f t="shared" si="43"/>
        <v>#DIV/0!</v>
      </c>
      <c r="G407" s="748">
        <f>SUM(G408:G413)</f>
        <v>0</v>
      </c>
      <c r="H407" s="749">
        <f>SUM(H408:H413)</f>
        <v>0</v>
      </c>
      <c r="I407" s="647" t="e">
        <f t="shared" si="44"/>
        <v>#DIV/0!</v>
      </c>
      <c r="J407" s="750"/>
      <c r="K407" s="749"/>
      <c r="L407" s="754"/>
      <c r="M407" s="749"/>
      <c r="N407" s="749"/>
      <c r="O407" s="774"/>
      <c r="P407" s="749"/>
      <c r="Q407" s="749"/>
      <c r="R407" s="754"/>
    </row>
    <row r="408" spans="1:18" s="923" customFormat="1" ht="24" hidden="1">
      <c r="A408" s="829">
        <v>4112</v>
      </c>
      <c r="B408" s="735" t="s">
        <v>703</v>
      </c>
      <c r="C408" s="697"/>
      <c r="D408" s="643">
        <f t="shared" si="40"/>
        <v>0</v>
      </c>
      <c r="E408" s="643">
        <f t="shared" si="40"/>
        <v>0</v>
      </c>
      <c r="F408" s="644" t="e">
        <f t="shared" si="43"/>
        <v>#DIV/0!</v>
      </c>
      <c r="G408" s="697"/>
      <c r="H408" s="643"/>
      <c r="I408" s="647" t="e">
        <f t="shared" si="44"/>
        <v>#DIV/0!</v>
      </c>
      <c r="J408" s="648"/>
      <c r="K408" s="643"/>
      <c r="L408" s="647"/>
      <c r="M408" s="643"/>
      <c r="N408" s="643"/>
      <c r="O408" s="731"/>
      <c r="P408" s="643"/>
      <c r="Q408" s="643"/>
      <c r="R408" s="647"/>
    </row>
    <row r="409" spans="1:18" s="923" customFormat="1" ht="12.75" hidden="1">
      <c r="A409" s="829">
        <v>4122</v>
      </c>
      <c r="B409" s="735" t="s">
        <v>847</v>
      </c>
      <c r="C409" s="697"/>
      <c r="D409" s="643">
        <f t="shared" si="40"/>
        <v>0</v>
      </c>
      <c r="E409" s="643">
        <f t="shared" si="40"/>
        <v>0</v>
      </c>
      <c r="F409" s="644" t="e">
        <f t="shared" si="43"/>
        <v>#DIV/0!</v>
      </c>
      <c r="G409" s="697"/>
      <c r="H409" s="643"/>
      <c r="I409" s="647" t="e">
        <f t="shared" si="44"/>
        <v>#DIV/0!</v>
      </c>
      <c r="J409" s="648"/>
      <c r="K409" s="643"/>
      <c r="L409" s="647"/>
      <c r="M409" s="643"/>
      <c r="N409" s="643"/>
      <c r="O409" s="731"/>
      <c r="P409" s="643"/>
      <c r="Q409" s="643"/>
      <c r="R409" s="647"/>
    </row>
    <row r="410" spans="1:18" s="923" customFormat="1" ht="24" hidden="1">
      <c r="A410" s="918">
        <v>4171</v>
      </c>
      <c r="B410" s="735" t="s">
        <v>742</v>
      </c>
      <c r="C410" s="697"/>
      <c r="D410" s="643">
        <f>G410+J410+P410+M410</f>
        <v>0</v>
      </c>
      <c r="E410" s="643">
        <f>H410+K410+Q410+N410</f>
        <v>0</v>
      </c>
      <c r="F410" s="644" t="e">
        <f>E410/D410*100</f>
        <v>#DIV/0!</v>
      </c>
      <c r="G410" s="697"/>
      <c r="H410" s="643"/>
      <c r="I410" s="647" t="e">
        <f t="shared" si="44"/>
        <v>#DIV/0!</v>
      </c>
      <c r="J410" s="648"/>
      <c r="K410" s="643"/>
      <c r="L410" s="647"/>
      <c r="M410" s="643"/>
      <c r="N410" s="643"/>
      <c r="O410" s="731"/>
      <c r="P410" s="643"/>
      <c r="Q410" s="643"/>
      <c r="R410" s="647"/>
    </row>
    <row r="411" spans="1:18" s="923" customFormat="1" ht="24" hidden="1">
      <c r="A411" s="918">
        <v>4172</v>
      </c>
      <c r="B411" s="735" t="s">
        <v>742</v>
      </c>
      <c r="C411" s="697"/>
      <c r="D411" s="643">
        <f>G411+J411+P411+M411</f>
        <v>0</v>
      </c>
      <c r="E411" s="643">
        <f>H411+K411+Q411+N411</f>
        <v>0</v>
      </c>
      <c r="F411" s="644" t="e">
        <f>E411/D411*100</f>
        <v>#DIV/0!</v>
      </c>
      <c r="G411" s="697"/>
      <c r="H411" s="643"/>
      <c r="I411" s="647" t="e">
        <f t="shared" si="44"/>
        <v>#DIV/0!</v>
      </c>
      <c r="J411" s="648"/>
      <c r="K411" s="643"/>
      <c r="L411" s="647"/>
      <c r="M411" s="643"/>
      <c r="N411" s="643"/>
      <c r="O411" s="731"/>
      <c r="P411" s="643"/>
      <c r="Q411" s="643"/>
      <c r="R411" s="647"/>
    </row>
    <row r="412" spans="1:18" s="922" customFormat="1" ht="24" hidden="1">
      <c r="A412" s="918">
        <v>4301</v>
      </c>
      <c r="B412" s="735" t="s">
        <v>715</v>
      </c>
      <c r="C412" s="697"/>
      <c r="D412" s="643">
        <f t="shared" si="40"/>
        <v>0</v>
      </c>
      <c r="E412" s="643">
        <f t="shared" si="40"/>
        <v>0</v>
      </c>
      <c r="F412" s="644" t="e">
        <f t="shared" si="43"/>
        <v>#DIV/0!</v>
      </c>
      <c r="G412" s="697"/>
      <c r="H412" s="643"/>
      <c r="I412" s="647" t="e">
        <f t="shared" si="44"/>
        <v>#DIV/0!</v>
      </c>
      <c r="J412" s="750"/>
      <c r="K412" s="749"/>
      <c r="L412" s="754"/>
      <c r="M412" s="749"/>
      <c r="N412" s="749"/>
      <c r="O412" s="774"/>
      <c r="P412" s="749"/>
      <c r="Q412" s="749"/>
      <c r="R412" s="754"/>
    </row>
    <row r="413" spans="1:18" s="922" customFormat="1" ht="24" hidden="1">
      <c r="A413" s="918">
        <v>4302</v>
      </c>
      <c r="B413" s="735" t="s">
        <v>715</v>
      </c>
      <c r="C413" s="697"/>
      <c r="D413" s="643">
        <f t="shared" si="40"/>
        <v>0</v>
      </c>
      <c r="E413" s="643">
        <f t="shared" si="40"/>
        <v>0</v>
      </c>
      <c r="F413" s="644" t="e">
        <f t="shared" si="43"/>
        <v>#DIV/0!</v>
      </c>
      <c r="G413" s="697"/>
      <c r="H413" s="643"/>
      <c r="I413" s="647" t="e">
        <f t="shared" si="44"/>
        <v>#DIV/0!</v>
      </c>
      <c r="J413" s="750"/>
      <c r="K413" s="749"/>
      <c r="L413" s="754"/>
      <c r="M413" s="749"/>
      <c r="N413" s="749"/>
      <c r="O413" s="774"/>
      <c r="P413" s="749"/>
      <c r="Q413" s="749"/>
      <c r="R413" s="754"/>
    </row>
    <row r="414" spans="1:18" s="922" customFormat="1" ht="36" hidden="1">
      <c r="A414" s="746"/>
      <c r="B414" s="926" t="s">
        <v>931</v>
      </c>
      <c r="C414" s="748">
        <f>SUM(C415:C422)</f>
        <v>0</v>
      </c>
      <c r="D414" s="749">
        <f t="shared" si="40"/>
        <v>0</v>
      </c>
      <c r="E414" s="749">
        <f t="shared" si="40"/>
        <v>0</v>
      </c>
      <c r="F414" s="644" t="e">
        <f t="shared" si="43"/>
        <v>#DIV/0!</v>
      </c>
      <c r="G414" s="748">
        <f>SUM(G415:G422)</f>
        <v>0</v>
      </c>
      <c r="H414" s="749">
        <f>SUM(H415:H422)</f>
        <v>0</v>
      </c>
      <c r="I414" s="647" t="e">
        <f t="shared" si="44"/>
        <v>#DIV/0!</v>
      </c>
      <c r="J414" s="750"/>
      <c r="K414" s="749"/>
      <c r="L414" s="754"/>
      <c r="M414" s="749"/>
      <c r="N414" s="749"/>
      <c r="O414" s="774"/>
      <c r="P414" s="749"/>
      <c r="Q414" s="749"/>
      <c r="R414" s="754"/>
    </row>
    <row r="415" spans="1:18" s="923" customFormat="1" ht="24" hidden="1">
      <c r="A415" s="829">
        <v>4112</v>
      </c>
      <c r="B415" s="735" t="s">
        <v>703</v>
      </c>
      <c r="C415" s="697"/>
      <c r="D415" s="643">
        <f t="shared" si="40"/>
        <v>0</v>
      </c>
      <c r="E415" s="643">
        <f t="shared" si="40"/>
        <v>0</v>
      </c>
      <c r="F415" s="644" t="e">
        <f t="shared" si="43"/>
        <v>#DIV/0!</v>
      </c>
      <c r="G415" s="697"/>
      <c r="H415" s="643"/>
      <c r="I415" s="647" t="e">
        <f t="shared" si="44"/>
        <v>#DIV/0!</v>
      </c>
      <c r="J415" s="648"/>
      <c r="K415" s="643"/>
      <c r="L415" s="647"/>
      <c r="M415" s="643"/>
      <c r="N415" s="643"/>
      <c r="O415" s="731"/>
      <c r="P415" s="643"/>
      <c r="Q415" s="643"/>
      <c r="R415" s="647"/>
    </row>
    <row r="416" spans="1:18" s="923" customFormat="1" ht="12.75" hidden="1">
      <c r="A416" s="829">
        <v>4122</v>
      </c>
      <c r="B416" s="735" t="s">
        <v>932</v>
      </c>
      <c r="C416" s="697"/>
      <c r="D416" s="643">
        <f t="shared" si="40"/>
        <v>0</v>
      </c>
      <c r="E416" s="643">
        <f t="shared" si="40"/>
        <v>0</v>
      </c>
      <c r="F416" s="644" t="e">
        <f>E416/D416*100</f>
        <v>#DIV/0!</v>
      </c>
      <c r="G416" s="697"/>
      <c r="H416" s="643"/>
      <c r="I416" s="647" t="e">
        <f t="shared" si="44"/>
        <v>#DIV/0!</v>
      </c>
      <c r="J416" s="648"/>
      <c r="K416" s="643"/>
      <c r="L416" s="647"/>
      <c r="M416" s="643"/>
      <c r="N416" s="643"/>
      <c r="O416" s="731"/>
      <c r="P416" s="643"/>
      <c r="Q416" s="643"/>
      <c r="R416" s="647"/>
    </row>
    <row r="417" spans="1:18" s="923" customFormat="1" ht="24" hidden="1">
      <c r="A417" s="918">
        <v>4171</v>
      </c>
      <c r="B417" s="735" t="s">
        <v>742</v>
      </c>
      <c r="C417" s="697"/>
      <c r="D417" s="643">
        <f t="shared" si="40"/>
        <v>0</v>
      </c>
      <c r="E417" s="643">
        <f t="shared" si="40"/>
        <v>0</v>
      </c>
      <c r="F417" s="644" t="e">
        <f>E417/D417*100</f>
        <v>#DIV/0!</v>
      </c>
      <c r="G417" s="697"/>
      <c r="H417" s="643"/>
      <c r="I417" s="647" t="e">
        <f t="shared" si="44"/>
        <v>#DIV/0!</v>
      </c>
      <c r="J417" s="648"/>
      <c r="K417" s="643"/>
      <c r="L417" s="647"/>
      <c r="M417" s="643"/>
      <c r="N417" s="643"/>
      <c r="O417" s="731"/>
      <c r="P417" s="643"/>
      <c r="Q417" s="643"/>
      <c r="R417" s="647"/>
    </row>
    <row r="418" spans="1:18" s="923" customFormat="1" ht="24" hidden="1">
      <c r="A418" s="918">
        <v>4172</v>
      </c>
      <c r="B418" s="735" t="s">
        <v>742</v>
      </c>
      <c r="C418" s="697"/>
      <c r="D418" s="643">
        <f t="shared" si="40"/>
        <v>0</v>
      </c>
      <c r="E418" s="643">
        <f t="shared" si="40"/>
        <v>0</v>
      </c>
      <c r="F418" s="644" t="e">
        <f>E418/D418*100</f>
        <v>#DIV/0!</v>
      </c>
      <c r="G418" s="697"/>
      <c r="H418" s="643"/>
      <c r="I418" s="647" t="e">
        <f t="shared" si="44"/>
        <v>#DIV/0!</v>
      </c>
      <c r="J418" s="648"/>
      <c r="K418" s="643"/>
      <c r="L418" s="647"/>
      <c r="M418" s="643"/>
      <c r="N418" s="643"/>
      <c r="O418" s="731"/>
      <c r="P418" s="643"/>
      <c r="Q418" s="643"/>
      <c r="R418" s="647"/>
    </row>
    <row r="419" spans="1:18" s="923" customFormat="1" ht="24" hidden="1">
      <c r="A419" s="829">
        <v>4211</v>
      </c>
      <c r="B419" s="735" t="s">
        <v>707</v>
      </c>
      <c r="C419" s="697"/>
      <c r="D419" s="643">
        <f t="shared" si="40"/>
        <v>0</v>
      </c>
      <c r="E419" s="643">
        <f t="shared" si="40"/>
        <v>0</v>
      </c>
      <c r="F419" s="644" t="e">
        <f t="shared" si="43"/>
        <v>#DIV/0!</v>
      </c>
      <c r="G419" s="697"/>
      <c r="H419" s="643"/>
      <c r="I419" s="647" t="e">
        <f t="shared" si="44"/>
        <v>#DIV/0!</v>
      </c>
      <c r="J419" s="648"/>
      <c r="K419" s="643"/>
      <c r="L419" s="647"/>
      <c r="M419" s="643"/>
      <c r="N419" s="643"/>
      <c r="O419" s="731"/>
      <c r="P419" s="643"/>
      <c r="Q419" s="643"/>
      <c r="R419" s="647"/>
    </row>
    <row r="420" spans="1:18" s="917" customFormat="1" ht="24" hidden="1">
      <c r="A420" s="728">
        <v>4212</v>
      </c>
      <c r="B420" s="735" t="s">
        <v>707</v>
      </c>
      <c r="C420" s="666"/>
      <c r="D420" s="643">
        <f t="shared" si="40"/>
        <v>0</v>
      </c>
      <c r="E420" s="643">
        <f t="shared" si="40"/>
        <v>0</v>
      </c>
      <c r="F420" s="644" t="e">
        <f t="shared" si="43"/>
        <v>#DIV/0!</v>
      </c>
      <c r="G420" s="666"/>
      <c r="H420" s="667"/>
      <c r="I420" s="647" t="e">
        <f t="shared" si="44"/>
        <v>#DIV/0!</v>
      </c>
      <c r="J420" s="730"/>
      <c r="K420" s="667"/>
      <c r="L420" s="647"/>
      <c r="M420" s="667"/>
      <c r="N420" s="667"/>
      <c r="O420" s="731"/>
      <c r="P420" s="667"/>
      <c r="Q420" s="667"/>
      <c r="R420" s="647"/>
    </row>
    <row r="421" spans="1:18" s="917" customFormat="1" ht="24" hidden="1">
      <c r="A421" s="918">
        <v>4301</v>
      </c>
      <c r="B421" s="735" t="s">
        <v>715</v>
      </c>
      <c r="C421" s="666"/>
      <c r="D421" s="643">
        <f t="shared" si="40"/>
        <v>0</v>
      </c>
      <c r="E421" s="643">
        <f t="shared" si="40"/>
        <v>0</v>
      </c>
      <c r="F421" s="644" t="e">
        <f t="shared" si="43"/>
        <v>#DIV/0!</v>
      </c>
      <c r="G421" s="666"/>
      <c r="H421" s="667"/>
      <c r="I421" s="647" t="e">
        <f t="shared" si="44"/>
        <v>#DIV/0!</v>
      </c>
      <c r="J421" s="730"/>
      <c r="K421" s="667"/>
      <c r="L421" s="647"/>
      <c r="M421" s="667"/>
      <c r="N421" s="667"/>
      <c r="O421" s="731"/>
      <c r="P421" s="667"/>
      <c r="Q421" s="667"/>
      <c r="R421" s="647"/>
    </row>
    <row r="422" spans="1:18" s="917" customFormat="1" ht="24" hidden="1">
      <c r="A422" s="918">
        <v>4302</v>
      </c>
      <c r="B422" s="735" t="s">
        <v>715</v>
      </c>
      <c r="C422" s="781"/>
      <c r="D422" s="643">
        <f t="shared" si="40"/>
        <v>0</v>
      </c>
      <c r="E422" s="643">
        <f t="shared" si="40"/>
        <v>0</v>
      </c>
      <c r="F422" s="644" t="e">
        <f t="shared" si="43"/>
        <v>#DIV/0!</v>
      </c>
      <c r="G422" s="781"/>
      <c r="H422" s="785"/>
      <c r="I422" s="647" t="e">
        <f t="shared" si="44"/>
        <v>#DIV/0!</v>
      </c>
      <c r="J422" s="782"/>
      <c r="K422" s="785"/>
      <c r="L422" s="707"/>
      <c r="M422" s="785"/>
      <c r="N422" s="785"/>
      <c r="O422" s="786"/>
      <c r="P422" s="785"/>
      <c r="Q422" s="785"/>
      <c r="R422" s="707"/>
    </row>
    <row r="423" spans="1:18" ht="24">
      <c r="A423" s="724">
        <v>75095</v>
      </c>
      <c r="B423" s="854" t="s">
        <v>933</v>
      </c>
      <c r="C423" s="726">
        <f>SUM(C424:C435)</f>
        <v>137610</v>
      </c>
      <c r="D423" s="674">
        <f t="shared" si="40"/>
        <v>135910</v>
      </c>
      <c r="E423" s="657">
        <f>SUM(E424:E435)</f>
        <v>75335</v>
      </c>
      <c r="F423" s="658">
        <f t="shared" si="43"/>
        <v>55.43006401294974</v>
      </c>
      <c r="G423" s="726">
        <f>SUM(G424:G435)</f>
        <v>135910</v>
      </c>
      <c r="H423" s="657">
        <f>SUM(H424:H435)</f>
        <v>75335</v>
      </c>
      <c r="I423" s="665">
        <f t="shared" si="44"/>
        <v>55.43006401294974</v>
      </c>
      <c r="J423" s="662"/>
      <c r="K423" s="657"/>
      <c r="L423" s="663"/>
      <c r="M423" s="657"/>
      <c r="N423" s="657"/>
      <c r="O423" s="317"/>
      <c r="P423" s="657"/>
      <c r="Q423" s="657"/>
      <c r="R423" s="665"/>
    </row>
    <row r="424" spans="1:18" ht="36" hidden="1">
      <c r="A424" s="728">
        <v>3020</v>
      </c>
      <c r="B424" s="735" t="s">
        <v>934</v>
      </c>
      <c r="C424" s="666"/>
      <c r="D424" s="643">
        <f t="shared" si="40"/>
        <v>0</v>
      </c>
      <c r="E424" s="667">
        <f aca="true" t="shared" si="45" ref="E424:E431">SUM(H424+K424+N424+Q424)</f>
        <v>0</v>
      </c>
      <c r="F424" s="644" t="e">
        <f t="shared" si="43"/>
        <v>#DIV/0!</v>
      </c>
      <c r="G424" s="670"/>
      <c r="H424" s="686"/>
      <c r="I424" s="647" t="e">
        <f t="shared" si="44"/>
        <v>#DIV/0!</v>
      </c>
      <c r="J424" s="730"/>
      <c r="K424" s="667"/>
      <c r="L424" s="649"/>
      <c r="M424" s="667"/>
      <c r="N424" s="667"/>
      <c r="O424" s="731"/>
      <c r="P424" s="667"/>
      <c r="Q424" s="667"/>
      <c r="R424" s="737"/>
    </row>
    <row r="425" spans="1:18" ht="24">
      <c r="A425" s="728">
        <v>4110</v>
      </c>
      <c r="B425" s="735" t="s">
        <v>703</v>
      </c>
      <c r="C425" s="666">
        <v>2050</v>
      </c>
      <c r="D425" s="643">
        <f t="shared" si="40"/>
        <v>2293</v>
      </c>
      <c r="E425" s="667">
        <f t="shared" si="45"/>
        <v>1234</v>
      </c>
      <c r="F425" s="644">
        <f t="shared" si="43"/>
        <v>53.81596162232882</v>
      </c>
      <c r="G425" s="666">
        <f>2050+113+130</f>
        <v>2293</v>
      </c>
      <c r="H425" s="667">
        <v>1234</v>
      </c>
      <c r="I425" s="647">
        <f t="shared" si="44"/>
        <v>53.81596162232882</v>
      </c>
      <c r="J425" s="730"/>
      <c r="K425" s="667"/>
      <c r="L425" s="649"/>
      <c r="M425" s="667"/>
      <c r="N425" s="667"/>
      <c r="O425" s="731"/>
      <c r="P425" s="667"/>
      <c r="Q425" s="667"/>
      <c r="R425" s="737"/>
    </row>
    <row r="426" spans="1:18" ht="12.75" hidden="1">
      <c r="A426" s="728">
        <v>4120</v>
      </c>
      <c r="B426" s="735" t="s">
        <v>847</v>
      </c>
      <c r="C426" s="666"/>
      <c r="D426" s="643">
        <f>G426+J426+P426+M426</f>
        <v>0</v>
      </c>
      <c r="E426" s="667">
        <f>SUM(H426+K426+N426+Q426)</f>
        <v>0</v>
      </c>
      <c r="F426" s="644" t="e">
        <f>E426/D426*100</f>
        <v>#DIV/0!</v>
      </c>
      <c r="G426" s="666"/>
      <c r="H426" s="667"/>
      <c r="I426" s="647" t="e">
        <f t="shared" si="44"/>
        <v>#DIV/0!</v>
      </c>
      <c r="J426" s="730"/>
      <c r="K426" s="667"/>
      <c r="L426" s="649"/>
      <c r="M426" s="667"/>
      <c r="N426" s="667"/>
      <c r="O426" s="731"/>
      <c r="P426" s="667"/>
      <c r="Q426" s="667"/>
      <c r="R426" s="737"/>
    </row>
    <row r="427" spans="1:18" ht="24">
      <c r="A427" s="728">
        <v>4170</v>
      </c>
      <c r="B427" s="735" t="s">
        <v>742</v>
      </c>
      <c r="C427" s="666">
        <v>36300</v>
      </c>
      <c r="D427" s="643">
        <f t="shared" si="40"/>
        <v>36057</v>
      </c>
      <c r="E427" s="667">
        <f t="shared" si="45"/>
        <v>23743</v>
      </c>
      <c r="F427" s="644">
        <f t="shared" si="43"/>
        <v>65.84851762487173</v>
      </c>
      <c r="G427" s="666">
        <f>36300-113-130</f>
        <v>36057</v>
      </c>
      <c r="H427" s="667">
        <v>23743</v>
      </c>
      <c r="I427" s="647">
        <f t="shared" si="44"/>
        <v>65.84851762487173</v>
      </c>
      <c r="J427" s="730"/>
      <c r="K427" s="667"/>
      <c r="L427" s="649"/>
      <c r="M427" s="667"/>
      <c r="N427" s="667"/>
      <c r="O427" s="731"/>
      <c r="P427" s="667"/>
      <c r="Q427" s="667"/>
      <c r="R427" s="737"/>
    </row>
    <row r="428" spans="1:18" ht="24">
      <c r="A428" s="728">
        <v>4210</v>
      </c>
      <c r="B428" s="735" t="s">
        <v>707</v>
      </c>
      <c r="C428" s="666">
        <v>27815</v>
      </c>
      <c r="D428" s="643">
        <f t="shared" si="40"/>
        <v>25495</v>
      </c>
      <c r="E428" s="667">
        <f t="shared" si="45"/>
        <v>7550</v>
      </c>
      <c r="F428" s="644">
        <f t="shared" si="43"/>
        <v>29.613649735242202</v>
      </c>
      <c r="G428" s="666">
        <f>27815-100-130-400+300-290-700-1000</f>
        <v>25495</v>
      </c>
      <c r="H428" s="667">
        <v>7550</v>
      </c>
      <c r="I428" s="647">
        <f t="shared" si="44"/>
        <v>29.613649735242202</v>
      </c>
      <c r="J428" s="730"/>
      <c r="K428" s="667"/>
      <c r="L428" s="649"/>
      <c r="M428" s="667"/>
      <c r="N428" s="667"/>
      <c r="O428" s="731"/>
      <c r="P428" s="667"/>
      <c r="Q428" s="667"/>
      <c r="R428" s="737"/>
    </row>
    <row r="429" spans="1:18" ht="12.75">
      <c r="A429" s="728">
        <v>4260</v>
      </c>
      <c r="B429" s="735" t="s">
        <v>711</v>
      </c>
      <c r="C429" s="666">
        <v>5550</v>
      </c>
      <c r="D429" s="643">
        <f t="shared" si="40"/>
        <v>11700</v>
      </c>
      <c r="E429" s="667">
        <f t="shared" si="45"/>
        <v>7399</v>
      </c>
      <c r="F429" s="644">
        <f t="shared" si="43"/>
        <v>63.23931623931623</v>
      </c>
      <c r="G429" s="666">
        <f>5550+4000+1150+1000</f>
        <v>11700</v>
      </c>
      <c r="H429" s="667">
        <v>7399</v>
      </c>
      <c r="I429" s="647">
        <f t="shared" si="44"/>
        <v>63.23931623931623</v>
      </c>
      <c r="J429" s="730"/>
      <c r="K429" s="667"/>
      <c r="L429" s="649"/>
      <c r="M429" s="667"/>
      <c r="N429" s="667"/>
      <c r="O429" s="731"/>
      <c r="P429" s="667"/>
      <c r="Q429" s="667"/>
      <c r="R429" s="737"/>
    </row>
    <row r="430" spans="1:18" ht="24" hidden="1">
      <c r="A430" s="728">
        <v>4270</v>
      </c>
      <c r="B430" s="735" t="s">
        <v>713</v>
      </c>
      <c r="C430" s="666"/>
      <c r="D430" s="643">
        <f t="shared" si="40"/>
        <v>0</v>
      </c>
      <c r="E430" s="667">
        <f t="shared" si="45"/>
        <v>0</v>
      </c>
      <c r="F430" s="644" t="e">
        <f t="shared" si="43"/>
        <v>#DIV/0!</v>
      </c>
      <c r="G430" s="666"/>
      <c r="H430" s="667"/>
      <c r="I430" s="647" t="e">
        <f t="shared" si="44"/>
        <v>#DIV/0!</v>
      </c>
      <c r="J430" s="730"/>
      <c r="K430" s="667"/>
      <c r="L430" s="649"/>
      <c r="M430" s="667"/>
      <c r="N430" s="667"/>
      <c r="O430" s="731"/>
      <c r="P430" s="667"/>
      <c r="Q430" s="667"/>
      <c r="R430" s="737"/>
    </row>
    <row r="431" spans="1:18" ht="24">
      <c r="A431" s="728">
        <v>4300</v>
      </c>
      <c r="B431" s="735" t="s">
        <v>935</v>
      </c>
      <c r="C431" s="666">
        <v>16550</v>
      </c>
      <c r="D431" s="643">
        <f t="shared" si="40"/>
        <v>19295</v>
      </c>
      <c r="E431" s="667">
        <f t="shared" si="45"/>
        <v>9123</v>
      </c>
      <c r="F431" s="644">
        <f t="shared" si="43"/>
        <v>47.28167919150039</v>
      </c>
      <c r="G431" s="666">
        <f>16550-50+1300+475+400+900-300+700-700+20</f>
        <v>19295</v>
      </c>
      <c r="H431" s="667">
        <v>9123</v>
      </c>
      <c r="I431" s="647">
        <f t="shared" si="44"/>
        <v>47.28167919150039</v>
      </c>
      <c r="J431" s="730"/>
      <c r="K431" s="667"/>
      <c r="L431" s="649"/>
      <c r="M431" s="667"/>
      <c r="N431" s="667"/>
      <c r="O431" s="731"/>
      <c r="P431" s="667"/>
      <c r="Q431" s="667"/>
      <c r="R431" s="737"/>
    </row>
    <row r="432" spans="1:18" ht="48">
      <c r="A432" s="762">
        <v>4370</v>
      </c>
      <c r="B432" s="780" t="s">
        <v>809</v>
      </c>
      <c r="C432" s="781">
        <v>5430</v>
      </c>
      <c r="D432" s="765">
        <f t="shared" si="40"/>
        <v>5430</v>
      </c>
      <c r="E432" s="785">
        <f>SUM(H432+K432+N432+Q432)</f>
        <v>3479</v>
      </c>
      <c r="F432" s="705">
        <f>E432/D432*100</f>
        <v>64.06998158379373</v>
      </c>
      <c r="G432" s="781">
        <v>5430</v>
      </c>
      <c r="H432" s="785">
        <v>3479</v>
      </c>
      <c r="I432" s="707">
        <f t="shared" si="44"/>
        <v>64.06998158379373</v>
      </c>
      <c r="J432" s="782"/>
      <c r="K432" s="785"/>
      <c r="L432" s="768"/>
      <c r="M432" s="785"/>
      <c r="N432" s="785"/>
      <c r="O432" s="786"/>
      <c r="P432" s="785"/>
      <c r="Q432" s="785"/>
      <c r="R432" s="770"/>
    </row>
    <row r="433" spans="1:18" ht="24">
      <c r="A433" s="829">
        <v>4400</v>
      </c>
      <c r="B433" s="850" t="s">
        <v>810</v>
      </c>
      <c r="C433" s="666">
        <v>42355</v>
      </c>
      <c r="D433" s="643">
        <f t="shared" si="40"/>
        <v>33920</v>
      </c>
      <c r="E433" s="667">
        <f>SUM(H433+K433+N433+Q433)</f>
        <v>22752</v>
      </c>
      <c r="F433" s="644">
        <f t="shared" si="43"/>
        <v>67.0754716981132</v>
      </c>
      <c r="G433" s="666">
        <f>42355+100-5300-1625-1900+290</f>
        <v>33920</v>
      </c>
      <c r="H433" s="643">
        <f>22751+1</f>
        <v>22752</v>
      </c>
      <c r="I433" s="647">
        <f t="shared" si="44"/>
        <v>67.0754716981132</v>
      </c>
      <c r="J433" s="730"/>
      <c r="K433" s="667"/>
      <c r="L433" s="649"/>
      <c r="M433" s="667"/>
      <c r="N433" s="667"/>
      <c r="O433" s="731"/>
      <c r="P433" s="667"/>
      <c r="Q433" s="667"/>
      <c r="R433" s="737"/>
    </row>
    <row r="434" spans="1:18" ht="36">
      <c r="A434" s="829">
        <v>4750</v>
      </c>
      <c r="B434" s="865" t="s">
        <v>936</v>
      </c>
      <c r="C434" s="666">
        <v>1200</v>
      </c>
      <c r="D434" s="643">
        <f t="shared" si="40"/>
        <v>1330</v>
      </c>
      <c r="E434" s="667">
        <f>SUM(H434+K434+N434+Q434)</f>
        <v>55</v>
      </c>
      <c r="F434" s="644">
        <f>E434/D434*100</f>
        <v>4.135338345864661</v>
      </c>
      <c r="G434" s="666">
        <f>1200+130</f>
        <v>1330</v>
      </c>
      <c r="H434" s="643">
        <v>55</v>
      </c>
      <c r="I434" s="647">
        <f t="shared" si="44"/>
        <v>4.135338345864661</v>
      </c>
      <c r="J434" s="730"/>
      <c r="K434" s="667"/>
      <c r="L434" s="649"/>
      <c r="M434" s="667"/>
      <c r="N434" s="667"/>
      <c r="O434" s="731"/>
      <c r="P434" s="667"/>
      <c r="Q434" s="667"/>
      <c r="R434" s="737"/>
    </row>
    <row r="435" spans="1:18" ht="60">
      <c r="A435" s="762">
        <v>4740</v>
      </c>
      <c r="B435" s="780" t="s">
        <v>728</v>
      </c>
      <c r="C435" s="781">
        <v>360</v>
      </c>
      <c r="D435" s="765">
        <f t="shared" si="40"/>
        <v>390</v>
      </c>
      <c r="E435" s="785">
        <f>SUM(H435+K435+N435+Q435)</f>
        <v>0</v>
      </c>
      <c r="F435" s="705">
        <f t="shared" si="43"/>
        <v>0</v>
      </c>
      <c r="G435" s="781">
        <f>360+50-20</f>
        <v>390</v>
      </c>
      <c r="H435" s="785">
        <f>2-2</f>
        <v>0</v>
      </c>
      <c r="I435" s="707">
        <f t="shared" si="44"/>
        <v>0</v>
      </c>
      <c r="J435" s="782"/>
      <c r="K435" s="785"/>
      <c r="L435" s="768"/>
      <c r="M435" s="785"/>
      <c r="N435" s="785"/>
      <c r="O435" s="786"/>
      <c r="P435" s="785"/>
      <c r="Q435" s="785"/>
      <c r="R435" s="770"/>
    </row>
    <row r="436" spans="1:18" ht="12.75" customHeight="1">
      <c r="A436" s="724">
        <v>75095</v>
      </c>
      <c r="B436" s="854" t="s">
        <v>311</v>
      </c>
      <c r="C436" s="726">
        <f>SUM(C437:C449)</f>
        <v>2911500</v>
      </c>
      <c r="D436" s="674">
        <f t="shared" si="40"/>
        <v>3008200</v>
      </c>
      <c r="E436" s="674">
        <f>H436+K436+Q436+N436</f>
        <v>1252774</v>
      </c>
      <c r="F436" s="658">
        <f t="shared" si="43"/>
        <v>41.645302838906986</v>
      </c>
      <c r="G436" s="673">
        <f>SUM(G438:G452)</f>
        <v>3008200</v>
      </c>
      <c r="H436" s="674">
        <f>SUM(H438:H452)</f>
        <v>1252774</v>
      </c>
      <c r="I436" s="665">
        <f t="shared" si="44"/>
        <v>41.645302838906986</v>
      </c>
      <c r="J436" s="662"/>
      <c r="K436" s="657"/>
      <c r="L436" s="663"/>
      <c r="M436" s="657"/>
      <c r="N436" s="657"/>
      <c r="O436" s="317"/>
      <c r="P436" s="657"/>
      <c r="Q436" s="657"/>
      <c r="R436" s="842"/>
    </row>
    <row r="437" spans="1:18" ht="48" hidden="1">
      <c r="A437" s="728">
        <v>3040</v>
      </c>
      <c r="B437" s="735" t="s">
        <v>937</v>
      </c>
      <c r="C437" s="666"/>
      <c r="D437" s="643">
        <f t="shared" si="40"/>
        <v>0</v>
      </c>
      <c r="E437" s="667">
        <f aca="true" t="shared" si="46" ref="E437:E460">SUM(H437+K437+N437+Q437)</f>
        <v>0</v>
      </c>
      <c r="F437" s="644" t="e">
        <f aca="true" t="shared" si="47" ref="F437:F447">E437/D437*100</f>
        <v>#DIV/0!</v>
      </c>
      <c r="G437" s="666"/>
      <c r="H437" s="643"/>
      <c r="I437" s="647" t="e">
        <f t="shared" si="44"/>
        <v>#DIV/0!</v>
      </c>
      <c r="J437" s="730"/>
      <c r="K437" s="667"/>
      <c r="L437" s="649"/>
      <c r="M437" s="667"/>
      <c r="N437" s="667"/>
      <c r="O437" s="731"/>
      <c r="P437" s="667"/>
      <c r="Q437" s="667"/>
      <c r="R437" s="737"/>
    </row>
    <row r="438" spans="1:18" ht="24">
      <c r="A438" s="728">
        <v>4110</v>
      </c>
      <c r="B438" s="735" t="s">
        <v>938</v>
      </c>
      <c r="C438" s="666">
        <v>4000</v>
      </c>
      <c r="D438" s="643">
        <f t="shared" si="40"/>
        <v>4000</v>
      </c>
      <c r="E438" s="667">
        <f t="shared" si="46"/>
        <v>0</v>
      </c>
      <c r="F438" s="644">
        <f t="shared" si="47"/>
        <v>0</v>
      </c>
      <c r="G438" s="666">
        <v>4000</v>
      </c>
      <c r="H438" s="643"/>
      <c r="I438" s="647">
        <f t="shared" si="44"/>
        <v>0</v>
      </c>
      <c r="J438" s="730"/>
      <c r="K438" s="667"/>
      <c r="L438" s="649"/>
      <c r="M438" s="667"/>
      <c r="N438" s="667"/>
      <c r="O438" s="731"/>
      <c r="P438" s="667"/>
      <c r="Q438" s="667"/>
      <c r="R438" s="737"/>
    </row>
    <row r="439" spans="1:18" ht="12.75">
      <c r="A439" s="728">
        <v>4120</v>
      </c>
      <c r="B439" s="735" t="s">
        <v>939</v>
      </c>
      <c r="C439" s="666">
        <v>2500</v>
      </c>
      <c r="D439" s="643">
        <f t="shared" si="40"/>
        <v>2500</v>
      </c>
      <c r="E439" s="667">
        <f t="shared" si="46"/>
        <v>0</v>
      </c>
      <c r="F439" s="644">
        <f t="shared" si="47"/>
        <v>0</v>
      </c>
      <c r="G439" s="666">
        <v>2500</v>
      </c>
      <c r="H439" s="643"/>
      <c r="I439" s="647">
        <f t="shared" si="44"/>
        <v>0</v>
      </c>
      <c r="J439" s="730"/>
      <c r="K439" s="667"/>
      <c r="L439" s="649"/>
      <c r="M439" s="667"/>
      <c r="N439" s="667"/>
      <c r="O439" s="731"/>
      <c r="P439" s="667"/>
      <c r="Q439" s="667"/>
      <c r="R439" s="737"/>
    </row>
    <row r="440" spans="1:18" ht="24">
      <c r="A440" s="728">
        <v>4170</v>
      </c>
      <c r="B440" s="735" t="s">
        <v>940</v>
      </c>
      <c r="C440" s="666">
        <v>10000</v>
      </c>
      <c r="D440" s="643">
        <f t="shared" si="40"/>
        <v>10000</v>
      </c>
      <c r="E440" s="667">
        <f t="shared" si="46"/>
        <v>4532</v>
      </c>
      <c r="F440" s="644">
        <f t="shared" si="47"/>
        <v>45.32</v>
      </c>
      <c r="G440" s="666">
        <v>10000</v>
      </c>
      <c r="H440" s="643">
        <v>4532</v>
      </c>
      <c r="I440" s="647">
        <f t="shared" si="44"/>
        <v>45.32</v>
      </c>
      <c r="J440" s="730"/>
      <c r="K440" s="667"/>
      <c r="L440" s="649"/>
      <c r="M440" s="667"/>
      <c r="N440" s="667"/>
      <c r="O440" s="731"/>
      <c r="P440" s="667"/>
      <c r="Q440" s="667"/>
      <c r="R440" s="737"/>
    </row>
    <row r="441" spans="1:18" ht="24">
      <c r="A441" s="728">
        <v>4210</v>
      </c>
      <c r="B441" s="735" t="s">
        <v>941</v>
      </c>
      <c r="C441" s="666">
        <v>9000</v>
      </c>
      <c r="D441" s="643">
        <f aca="true" t="shared" si="48" ref="D441:D515">G441+J441+P441+M441</f>
        <v>9000</v>
      </c>
      <c r="E441" s="667">
        <f t="shared" si="46"/>
        <v>3068</v>
      </c>
      <c r="F441" s="644">
        <f t="shared" si="47"/>
        <v>34.08888888888889</v>
      </c>
      <c r="G441" s="666">
        <v>9000</v>
      </c>
      <c r="H441" s="643">
        <v>3068</v>
      </c>
      <c r="I441" s="647">
        <f t="shared" si="44"/>
        <v>34.08888888888889</v>
      </c>
      <c r="J441" s="730"/>
      <c r="K441" s="667"/>
      <c r="L441" s="649"/>
      <c r="M441" s="667"/>
      <c r="N441" s="667"/>
      <c r="O441" s="731"/>
      <c r="P441" s="667"/>
      <c r="Q441" s="667"/>
      <c r="R441" s="737"/>
    </row>
    <row r="442" spans="1:18" ht="24">
      <c r="A442" s="728">
        <v>4300</v>
      </c>
      <c r="B442" s="735" t="s">
        <v>942</v>
      </c>
      <c r="C442" s="666">
        <v>150000</v>
      </c>
      <c r="D442" s="643">
        <f t="shared" si="48"/>
        <v>105000</v>
      </c>
      <c r="E442" s="667">
        <f>SUM(H442+K442+N442+Q442)</f>
        <v>64603</v>
      </c>
      <c r="F442" s="644">
        <f t="shared" si="47"/>
        <v>61.526666666666664</v>
      </c>
      <c r="G442" s="666">
        <f>150000-18000-20000-7000</f>
        <v>105000</v>
      </c>
      <c r="H442" s="643">
        <v>64603</v>
      </c>
      <c r="I442" s="647">
        <f t="shared" si="44"/>
        <v>61.526666666666664</v>
      </c>
      <c r="J442" s="730"/>
      <c r="K442" s="667"/>
      <c r="L442" s="649"/>
      <c r="M442" s="667"/>
      <c r="N442" s="667"/>
      <c r="O442" s="731"/>
      <c r="P442" s="667"/>
      <c r="Q442" s="667"/>
      <c r="R442" s="737"/>
    </row>
    <row r="443" spans="1:18" ht="24">
      <c r="A443" s="924">
        <v>4350</v>
      </c>
      <c r="B443" s="865" t="s">
        <v>943</v>
      </c>
      <c r="C443" s="666">
        <v>3000</v>
      </c>
      <c r="D443" s="643">
        <f t="shared" si="48"/>
        <v>3000</v>
      </c>
      <c r="E443" s="667">
        <f>SUM(H443+K443+N443+Q443)</f>
        <v>950</v>
      </c>
      <c r="F443" s="644">
        <f t="shared" si="47"/>
        <v>31.666666666666664</v>
      </c>
      <c r="G443" s="666">
        <v>3000</v>
      </c>
      <c r="H443" s="643">
        <v>950</v>
      </c>
      <c r="I443" s="647">
        <f t="shared" si="44"/>
        <v>31.666666666666664</v>
      </c>
      <c r="J443" s="730"/>
      <c r="K443" s="667"/>
      <c r="L443" s="649"/>
      <c r="M443" s="667"/>
      <c r="N443" s="667"/>
      <c r="O443" s="731"/>
      <c r="P443" s="667"/>
      <c r="Q443" s="667"/>
      <c r="R443" s="737"/>
    </row>
    <row r="444" spans="1:18" ht="36">
      <c r="A444" s="728">
        <v>4380</v>
      </c>
      <c r="B444" s="735" t="s">
        <v>944</v>
      </c>
      <c r="C444" s="666">
        <v>35000</v>
      </c>
      <c r="D444" s="643">
        <f t="shared" si="48"/>
        <v>35000</v>
      </c>
      <c r="E444" s="667">
        <f>SUM(H444+K444+N444+Q444)</f>
        <v>12020</v>
      </c>
      <c r="F444" s="644">
        <f t="shared" si="47"/>
        <v>34.34285714285714</v>
      </c>
      <c r="G444" s="666">
        <v>35000</v>
      </c>
      <c r="H444" s="643">
        <v>12020</v>
      </c>
      <c r="I444" s="647">
        <f t="shared" si="44"/>
        <v>34.34285714285714</v>
      </c>
      <c r="J444" s="730"/>
      <c r="K444" s="667"/>
      <c r="L444" s="649"/>
      <c r="M444" s="667"/>
      <c r="N444" s="667"/>
      <c r="O444" s="731"/>
      <c r="P444" s="667"/>
      <c r="Q444" s="667"/>
      <c r="R444" s="737"/>
    </row>
    <row r="445" spans="1:18" ht="48">
      <c r="A445" s="728">
        <v>4390</v>
      </c>
      <c r="B445" s="865" t="s">
        <v>945</v>
      </c>
      <c r="C445" s="666"/>
      <c r="D445" s="643">
        <f t="shared" si="48"/>
        <v>200000</v>
      </c>
      <c r="E445" s="667">
        <f>SUM(H445+K445+N445+Q445)</f>
        <v>98069</v>
      </c>
      <c r="F445" s="644">
        <f t="shared" si="47"/>
        <v>49.034499999999994</v>
      </c>
      <c r="G445" s="666">
        <v>200000</v>
      </c>
      <c r="H445" s="643">
        <f>98068+1</f>
        <v>98069</v>
      </c>
      <c r="I445" s="647">
        <f t="shared" si="44"/>
        <v>49.034499999999994</v>
      </c>
      <c r="J445" s="730"/>
      <c r="K445" s="667"/>
      <c r="L445" s="649"/>
      <c r="M445" s="667"/>
      <c r="N445" s="667"/>
      <c r="O445" s="731"/>
      <c r="P445" s="667"/>
      <c r="Q445" s="667"/>
      <c r="R445" s="737"/>
    </row>
    <row r="446" spans="1:18" ht="24">
      <c r="A446" s="728">
        <v>4430</v>
      </c>
      <c r="B446" s="735" t="s">
        <v>946</v>
      </c>
      <c r="C446" s="666">
        <v>1656000</v>
      </c>
      <c r="D446" s="643">
        <f t="shared" si="48"/>
        <v>1724700</v>
      </c>
      <c r="E446" s="667">
        <f t="shared" si="46"/>
        <v>289744</v>
      </c>
      <c r="F446" s="644">
        <f t="shared" si="47"/>
        <v>16.799675305850293</v>
      </c>
      <c r="G446" s="666">
        <f>1656000+68700</f>
        <v>1724700</v>
      </c>
      <c r="H446" s="643">
        <v>289744</v>
      </c>
      <c r="I446" s="647">
        <f>H446/G446*100</f>
        <v>16.799675305850293</v>
      </c>
      <c r="J446" s="730"/>
      <c r="K446" s="667"/>
      <c r="L446" s="649"/>
      <c r="M446" s="667"/>
      <c r="N446" s="667"/>
      <c r="O446" s="731"/>
      <c r="P446" s="667"/>
      <c r="Q446" s="667"/>
      <c r="R446" s="737"/>
    </row>
    <row r="447" spans="1:18" ht="60">
      <c r="A447" s="728">
        <v>2819</v>
      </c>
      <c r="B447" s="735" t="s">
        <v>947</v>
      </c>
      <c r="C447" s="666">
        <v>250000</v>
      </c>
      <c r="D447" s="643">
        <f t="shared" si="48"/>
        <v>250000</v>
      </c>
      <c r="E447" s="667">
        <f>SUM(H447+K447+N447+Q447)</f>
        <v>250000</v>
      </c>
      <c r="F447" s="644">
        <f t="shared" si="47"/>
        <v>100</v>
      </c>
      <c r="G447" s="794">
        <v>250000</v>
      </c>
      <c r="H447" s="643">
        <v>250000</v>
      </c>
      <c r="I447" s="492">
        <f>H447/G447*100</f>
        <v>100</v>
      </c>
      <c r="J447" s="730"/>
      <c r="K447" s="667"/>
      <c r="L447" s="649"/>
      <c r="M447" s="730"/>
      <c r="N447" s="730"/>
      <c r="O447" s="731"/>
      <c r="P447" s="667"/>
      <c r="Q447" s="667"/>
      <c r="R447" s="737"/>
    </row>
    <row r="448" spans="1:18" ht="60">
      <c r="A448" s="762">
        <v>2810</v>
      </c>
      <c r="B448" s="780" t="s">
        <v>947</v>
      </c>
      <c r="C448" s="781"/>
      <c r="D448" s="765">
        <f>G448+J448+P448+M448</f>
        <v>610000</v>
      </c>
      <c r="E448" s="785">
        <f>SUM(H448+K448+N448+Q448)</f>
        <v>526000</v>
      </c>
      <c r="F448" s="705">
        <f>E448/D448*100</f>
        <v>86.22950819672131</v>
      </c>
      <c r="G448" s="907">
        <v>610000</v>
      </c>
      <c r="H448" s="765">
        <v>526000</v>
      </c>
      <c r="I448" s="707">
        <f>H448/G448*100</f>
        <v>86.22950819672131</v>
      </c>
      <c r="J448" s="782"/>
      <c r="K448" s="785"/>
      <c r="L448" s="768"/>
      <c r="M448" s="782"/>
      <c r="N448" s="782"/>
      <c r="O448" s="786"/>
      <c r="P448" s="785"/>
      <c r="Q448" s="785"/>
      <c r="R448" s="770"/>
    </row>
    <row r="449" spans="1:18" ht="72">
      <c r="A449" s="728">
        <v>2820</v>
      </c>
      <c r="B449" s="735" t="s">
        <v>918</v>
      </c>
      <c r="C449" s="666">
        <v>792000</v>
      </c>
      <c r="D449" s="643">
        <f t="shared" si="48"/>
        <v>0</v>
      </c>
      <c r="E449" s="667">
        <f t="shared" si="46"/>
        <v>0</v>
      </c>
      <c r="F449" s="644"/>
      <c r="G449" s="794">
        <f>792000-182000-610000</f>
        <v>0</v>
      </c>
      <c r="H449" s="667"/>
      <c r="I449" s="647"/>
      <c r="J449" s="730"/>
      <c r="K449" s="667"/>
      <c r="L449" s="649"/>
      <c r="M449" s="666"/>
      <c r="N449" s="730"/>
      <c r="O449" s="731"/>
      <c r="P449" s="667"/>
      <c r="Q449" s="667"/>
      <c r="R449" s="737"/>
    </row>
    <row r="450" spans="1:18" s="801" customFormat="1" ht="12.75" customHeight="1" hidden="1">
      <c r="A450" s="795"/>
      <c r="B450" s="796" t="s">
        <v>948</v>
      </c>
      <c r="C450" s="392"/>
      <c r="D450" s="643">
        <f t="shared" si="48"/>
        <v>0</v>
      </c>
      <c r="E450" s="667">
        <f t="shared" si="46"/>
        <v>0</v>
      </c>
      <c r="F450" s="644" t="e">
        <f aca="true" t="shared" si="49" ref="F450:F513">E450/D450*100</f>
        <v>#DIV/0!</v>
      </c>
      <c r="G450" s="392"/>
      <c r="H450" s="393"/>
      <c r="I450" s="647" t="e">
        <f>H450/G450*100</f>
        <v>#DIV/0!</v>
      </c>
      <c r="J450" s="914"/>
      <c r="K450" s="393"/>
      <c r="L450" s="649"/>
      <c r="M450" s="392"/>
      <c r="N450" s="914"/>
      <c r="O450" s="649"/>
      <c r="P450" s="393"/>
      <c r="Q450" s="393"/>
      <c r="R450" s="821"/>
    </row>
    <row r="451" spans="1:18" s="801" customFormat="1" ht="15" customHeight="1" hidden="1">
      <c r="A451" s="795"/>
      <c r="B451" s="796" t="s">
        <v>949</v>
      </c>
      <c r="C451" s="392"/>
      <c r="D451" s="643">
        <f t="shared" si="48"/>
        <v>0</v>
      </c>
      <c r="E451" s="667">
        <f t="shared" si="46"/>
        <v>0</v>
      </c>
      <c r="F451" s="644" t="e">
        <f t="shared" si="49"/>
        <v>#DIV/0!</v>
      </c>
      <c r="G451" s="392"/>
      <c r="H451" s="393"/>
      <c r="I451" s="647" t="e">
        <f>H451/G451*100</f>
        <v>#DIV/0!</v>
      </c>
      <c r="J451" s="914"/>
      <c r="K451" s="393"/>
      <c r="L451" s="649"/>
      <c r="M451" s="392"/>
      <c r="N451" s="914"/>
      <c r="O451" s="649"/>
      <c r="P451" s="393"/>
      <c r="Q451" s="393"/>
      <c r="R451" s="821"/>
    </row>
    <row r="452" spans="1:18" s="938" customFormat="1" ht="18" customHeight="1">
      <c r="A452" s="928"/>
      <c r="B452" s="929" t="s">
        <v>950</v>
      </c>
      <c r="C452" s="930"/>
      <c r="D452" s="931">
        <f t="shared" si="48"/>
        <v>55000</v>
      </c>
      <c r="E452" s="931">
        <f t="shared" si="46"/>
        <v>3788</v>
      </c>
      <c r="F452" s="932"/>
      <c r="G452" s="930">
        <f>SUM(G453:G460)</f>
        <v>55000</v>
      </c>
      <c r="H452" s="933">
        <f>SUM(H453:H460)</f>
        <v>3788</v>
      </c>
      <c r="I452" s="934"/>
      <c r="J452" s="935"/>
      <c r="K452" s="935"/>
      <c r="L452" s="936"/>
      <c r="M452" s="930"/>
      <c r="N452" s="935"/>
      <c r="O452" s="936"/>
      <c r="P452" s="933"/>
      <c r="Q452" s="933"/>
      <c r="R452" s="937"/>
    </row>
    <row r="453" spans="1:18" ht="25.5" customHeight="1">
      <c r="A453" s="728">
        <v>4110</v>
      </c>
      <c r="B453" s="735" t="s">
        <v>951</v>
      </c>
      <c r="C453" s="142"/>
      <c r="D453" s="643">
        <f t="shared" si="48"/>
        <v>1240</v>
      </c>
      <c r="E453" s="667">
        <f t="shared" si="46"/>
        <v>0</v>
      </c>
      <c r="F453" s="939"/>
      <c r="G453" s="142">
        <v>1240</v>
      </c>
      <c r="H453" s="143"/>
      <c r="I453" s="940"/>
      <c r="J453" s="941"/>
      <c r="K453" s="941"/>
      <c r="L453" s="942"/>
      <c r="M453" s="142"/>
      <c r="N453" s="941"/>
      <c r="O453" s="942"/>
      <c r="P453" s="143"/>
      <c r="Q453" s="143"/>
      <c r="R453" s="943"/>
    </row>
    <row r="454" spans="1:18" ht="18" customHeight="1">
      <c r="A454" s="728">
        <v>4120</v>
      </c>
      <c r="B454" s="735" t="s">
        <v>952</v>
      </c>
      <c r="C454" s="142"/>
      <c r="D454" s="643">
        <f t="shared" si="48"/>
        <v>177</v>
      </c>
      <c r="E454" s="667">
        <f t="shared" si="46"/>
        <v>0</v>
      </c>
      <c r="F454" s="939"/>
      <c r="G454" s="142">
        <v>177</v>
      </c>
      <c r="H454" s="143"/>
      <c r="I454" s="940"/>
      <c r="J454" s="941"/>
      <c r="K454" s="941"/>
      <c r="L454" s="942"/>
      <c r="M454" s="142"/>
      <c r="N454" s="941"/>
      <c r="O454" s="942"/>
      <c r="P454" s="143"/>
      <c r="Q454" s="143"/>
      <c r="R454" s="943"/>
    </row>
    <row r="455" spans="1:18" ht="25.5" customHeight="1">
      <c r="A455" s="728">
        <v>4170</v>
      </c>
      <c r="B455" s="735" t="s">
        <v>953</v>
      </c>
      <c r="C455" s="142"/>
      <c r="D455" s="643">
        <f t="shared" si="48"/>
        <v>7208</v>
      </c>
      <c r="E455" s="667">
        <f t="shared" si="46"/>
        <v>0</v>
      </c>
      <c r="F455" s="939"/>
      <c r="G455" s="142">
        <v>7208</v>
      </c>
      <c r="H455" s="143"/>
      <c r="I455" s="940"/>
      <c r="J455" s="941"/>
      <c r="K455" s="941"/>
      <c r="L455" s="942"/>
      <c r="M455" s="142"/>
      <c r="N455" s="941"/>
      <c r="O455" s="942"/>
      <c r="P455" s="143"/>
      <c r="Q455" s="143"/>
      <c r="R455" s="943"/>
    </row>
    <row r="456" spans="1:18" ht="25.5" customHeight="1">
      <c r="A456" s="728">
        <v>4210</v>
      </c>
      <c r="B456" s="735" t="s">
        <v>954</v>
      </c>
      <c r="C456" s="142"/>
      <c r="D456" s="643">
        <f t="shared" si="48"/>
        <v>11700</v>
      </c>
      <c r="E456" s="667">
        <f t="shared" si="46"/>
        <v>0</v>
      </c>
      <c r="F456" s="939"/>
      <c r="G456" s="142">
        <v>11700</v>
      </c>
      <c r="H456" s="143"/>
      <c r="I456" s="940"/>
      <c r="J456" s="941"/>
      <c r="K456" s="941"/>
      <c r="L456" s="942"/>
      <c r="M456" s="142"/>
      <c r="N456" s="941"/>
      <c r="O456" s="942"/>
      <c r="P456" s="143"/>
      <c r="Q456" s="143"/>
      <c r="R456" s="943"/>
    </row>
    <row r="457" spans="1:18" ht="25.5" customHeight="1">
      <c r="A457" s="728">
        <v>4300</v>
      </c>
      <c r="B457" s="735" t="s">
        <v>955</v>
      </c>
      <c r="C457" s="142"/>
      <c r="D457" s="643">
        <f t="shared" si="48"/>
        <v>28575</v>
      </c>
      <c r="E457" s="667">
        <f t="shared" si="46"/>
        <v>2984</v>
      </c>
      <c r="F457" s="939"/>
      <c r="G457" s="142">
        <v>28575</v>
      </c>
      <c r="H457" s="143">
        <v>2984</v>
      </c>
      <c r="I457" s="940"/>
      <c r="J457" s="941"/>
      <c r="K457" s="941"/>
      <c r="L457" s="942"/>
      <c r="M457" s="142"/>
      <c r="N457" s="941"/>
      <c r="O457" s="942"/>
      <c r="P457" s="143"/>
      <c r="Q457" s="143"/>
      <c r="R457" s="943"/>
    </row>
    <row r="458" spans="1:18" ht="52.5" customHeight="1">
      <c r="A458" s="728">
        <v>4370</v>
      </c>
      <c r="B458" s="850" t="s">
        <v>956</v>
      </c>
      <c r="C458" s="142"/>
      <c r="D458" s="643">
        <f t="shared" si="48"/>
        <v>100</v>
      </c>
      <c r="E458" s="667">
        <f t="shared" si="46"/>
        <v>0</v>
      </c>
      <c r="F458" s="939"/>
      <c r="G458" s="142">
        <v>100</v>
      </c>
      <c r="H458" s="143"/>
      <c r="I458" s="940"/>
      <c r="J458" s="941"/>
      <c r="K458" s="941"/>
      <c r="L458" s="942"/>
      <c r="M458" s="142"/>
      <c r="N458" s="941"/>
      <c r="O458" s="942"/>
      <c r="P458" s="143"/>
      <c r="Q458" s="143"/>
      <c r="R458" s="943"/>
    </row>
    <row r="459" spans="1:18" ht="49.5" customHeight="1">
      <c r="A459" s="728">
        <v>4740</v>
      </c>
      <c r="B459" s="850" t="s">
        <v>957</v>
      </c>
      <c r="C459" s="142"/>
      <c r="D459" s="643">
        <f t="shared" si="48"/>
        <v>4000</v>
      </c>
      <c r="E459" s="667">
        <f t="shared" si="46"/>
        <v>346</v>
      </c>
      <c r="F459" s="939"/>
      <c r="G459" s="142">
        <v>4000</v>
      </c>
      <c r="H459" s="143">
        <v>346</v>
      </c>
      <c r="I459" s="940"/>
      <c r="J459" s="941"/>
      <c r="K459" s="941"/>
      <c r="L459" s="942"/>
      <c r="M459" s="142"/>
      <c r="N459" s="941"/>
      <c r="O459" s="942"/>
      <c r="P459" s="143"/>
      <c r="Q459" s="143"/>
      <c r="R459" s="943"/>
    </row>
    <row r="460" spans="1:18" ht="37.5" customHeight="1" thickBot="1">
      <c r="A460" s="728">
        <v>4750</v>
      </c>
      <c r="B460" s="850" t="s">
        <v>958</v>
      </c>
      <c r="C460" s="142"/>
      <c r="D460" s="701">
        <f t="shared" si="48"/>
        <v>2000</v>
      </c>
      <c r="E460" s="902">
        <f t="shared" si="46"/>
        <v>458</v>
      </c>
      <c r="F460" s="939"/>
      <c r="G460" s="142">
        <v>2000</v>
      </c>
      <c r="H460" s="143">
        <v>458</v>
      </c>
      <c r="I460" s="940"/>
      <c r="J460" s="941"/>
      <c r="K460" s="941"/>
      <c r="L460" s="942"/>
      <c r="M460" s="142"/>
      <c r="N460" s="941"/>
      <c r="O460" s="942"/>
      <c r="P460" s="143"/>
      <c r="Q460" s="143"/>
      <c r="R460" s="943"/>
    </row>
    <row r="461" spans="1:18" s="723" customFormat="1" ht="81.75" customHeight="1" thickBot="1" thickTop="1">
      <c r="A461" s="718">
        <v>751</v>
      </c>
      <c r="B461" s="719" t="s">
        <v>405</v>
      </c>
      <c r="C461" s="720">
        <f>C462+C488</f>
        <v>17910</v>
      </c>
      <c r="D461" s="618">
        <f t="shared" si="48"/>
        <v>15917</v>
      </c>
      <c r="E461" s="623">
        <f>H461+K461+Q461+N461</f>
        <v>7941</v>
      </c>
      <c r="F461" s="619">
        <f t="shared" si="49"/>
        <v>49.89005465854118</v>
      </c>
      <c r="G461" s="720"/>
      <c r="H461" s="623"/>
      <c r="I461" s="722"/>
      <c r="J461" s="623">
        <f>SUM(J462+J488)+J476+J469</f>
        <v>15917</v>
      </c>
      <c r="K461" s="622">
        <f>K462+K488+K476+K469</f>
        <v>7941</v>
      </c>
      <c r="L461" s="621">
        <f aca="true" t="shared" si="50" ref="L461:L493">K461/J461*100</f>
        <v>49.89005465854118</v>
      </c>
      <c r="M461" s="720"/>
      <c r="N461" s="622"/>
      <c r="O461" s="722"/>
      <c r="P461" s="623"/>
      <c r="Q461" s="623"/>
      <c r="R461" s="853"/>
    </row>
    <row r="462" spans="1:18" s="723" customFormat="1" ht="48.75" thickTop="1">
      <c r="A462" s="867">
        <v>75101</v>
      </c>
      <c r="B462" s="868" t="s">
        <v>407</v>
      </c>
      <c r="C462" s="869">
        <f>SUM(C463:C468)</f>
        <v>17910</v>
      </c>
      <c r="D462" s="727">
        <f t="shared" si="48"/>
        <v>15917</v>
      </c>
      <c r="E462" s="871">
        <f>SUM(E463:E468)</f>
        <v>7941</v>
      </c>
      <c r="F462" s="705">
        <f t="shared" si="49"/>
        <v>49.89005465854118</v>
      </c>
      <c r="G462" s="869"/>
      <c r="H462" s="871"/>
      <c r="I462" s="786"/>
      <c r="J462" s="871">
        <f>SUM(J463:J468)</f>
        <v>15917</v>
      </c>
      <c r="K462" s="871">
        <f>SUM(K463:K468)</f>
        <v>7941</v>
      </c>
      <c r="L462" s="766">
        <f t="shared" si="50"/>
        <v>49.89005465854118</v>
      </c>
      <c r="M462" s="869"/>
      <c r="N462" s="872"/>
      <c r="O462" s="786"/>
      <c r="P462" s="871"/>
      <c r="Q462" s="871"/>
      <c r="R462" s="770"/>
    </row>
    <row r="463" spans="1:18" s="761" customFormat="1" ht="24">
      <c r="A463" s="944">
        <v>4110</v>
      </c>
      <c r="B463" s="892" t="s">
        <v>703</v>
      </c>
      <c r="C463" s="945">
        <v>2320</v>
      </c>
      <c r="D463" s="894">
        <f t="shared" si="48"/>
        <v>2012</v>
      </c>
      <c r="E463" s="895">
        <f aca="true" t="shared" si="51" ref="E463:E499">SUM(H463+K463+N463+Q463)</f>
        <v>1025</v>
      </c>
      <c r="F463" s="658">
        <f t="shared" si="49"/>
        <v>50.94433399602386</v>
      </c>
      <c r="G463" s="945"/>
      <c r="H463" s="894"/>
      <c r="I463" s="317"/>
      <c r="J463" s="946">
        <f>2320-308</f>
        <v>2012</v>
      </c>
      <c r="K463" s="894">
        <v>1025</v>
      </c>
      <c r="L463" s="890">
        <f t="shared" si="50"/>
        <v>50.94433399602386</v>
      </c>
      <c r="M463" s="945"/>
      <c r="N463" s="947"/>
      <c r="O463" s="317"/>
      <c r="P463" s="894"/>
      <c r="Q463" s="894"/>
      <c r="R463" s="842"/>
    </row>
    <row r="464" spans="1:18" s="761" customFormat="1" ht="12.75">
      <c r="A464" s="829">
        <v>4120</v>
      </c>
      <c r="B464" s="735" t="s">
        <v>959</v>
      </c>
      <c r="C464" s="697">
        <v>330</v>
      </c>
      <c r="D464" s="643">
        <f t="shared" si="48"/>
        <v>286</v>
      </c>
      <c r="E464" s="667">
        <f t="shared" si="51"/>
        <v>166</v>
      </c>
      <c r="F464" s="644">
        <f t="shared" si="49"/>
        <v>58.04195804195804</v>
      </c>
      <c r="G464" s="697"/>
      <c r="H464" s="643"/>
      <c r="I464" s="731"/>
      <c r="J464" s="948">
        <f>330-44</f>
        <v>286</v>
      </c>
      <c r="K464" s="643">
        <f>165+1</f>
        <v>166</v>
      </c>
      <c r="L464" s="492">
        <f t="shared" si="50"/>
        <v>58.04195804195804</v>
      </c>
      <c r="M464" s="697"/>
      <c r="N464" s="648"/>
      <c r="O464" s="731"/>
      <c r="P464" s="643"/>
      <c r="Q464" s="643"/>
      <c r="R464" s="737"/>
    </row>
    <row r="465" spans="1:18" s="761" customFormat="1" ht="24">
      <c r="A465" s="829">
        <v>4170</v>
      </c>
      <c r="B465" s="735" t="s">
        <v>742</v>
      </c>
      <c r="C465" s="697">
        <v>13500</v>
      </c>
      <c r="D465" s="643">
        <f t="shared" si="48"/>
        <v>11700</v>
      </c>
      <c r="E465" s="667">
        <f t="shared" si="51"/>
        <v>6750</v>
      </c>
      <c r="F465" s="644">
        <f t="shared" si="49"/>
        <v>57.692307692307686</v>
      </c>
      <c r="G465" s="697"/>
      <c r="H465" s="643"/>
      <c r="I465" s="731"/>
      <c r="J465" s="948">
        <f>13500-1800</f>
        <v>11700</v>
      </c>
      <c r="K465" s="643">
        <f>6750+1-1</f>
        <v>6750</v>
      </c>
      <c r="L465" s="492">
        <f t="shared" si="50"/>
        <v>57.692307692307686</v>
      </c>
      <c r="M465" s="697"/>
      <c r="N465" s="648"/>
      <c r="O465" s="731"/>
      <c r="P465" s="643"/>
      <c r="Q465" s="643"/>
      <c r="R465" s="737"/>
    </row>
    <row r="466" spans="1:18" s="761" customFormat="1" ht="24.75" thickBot="1">
      <c r="A466" s="728">
        <v>4210</v>
      </c>
      <c r="B466" s="735" t="s">
        <v>960</v>
      </c>
      <c r="C466" s="697">
        <v>1760</v>
      </c>
      <c r="D466" s="643">
        <f t="shared" si="48"/>
        <v>1919</v>
      </c>
      <c r="E466" s="667">
        <f t="shared" si="51"/>
        <v>0</v>
      </c>
      <c r="F466" s="644">
        <f t="shared" si="49"/>
        <v>0</v>
      </c>
      <c r="G466" s="697"/>
      <c r="H466" s="643"/>
      <c r="I466" s="731"/>
      <c r="J466" s="948">
        <f>1760+159</f>
        <v>1919</v>
      </c>
      <c r="K466" s="643"/>
      <c r="L466" s="492">
        <f t="shared" si="50"/>
        <v>0</v>
      </c>
      <c r="M466" s="697"/>
      <c r="N466" s="648"/>
      <c r="O466" s="731"/>
      <c r="P466" s="643"/>
      <c r="Q466" s="643"/>
      <c r="R466" s="737"/>
    </row>
    <row r="467" spans="1:18" s="761" customFormat="1" ht="60.75" hidden="1" thickBot="1">
      <c r="A467" s="829">
        <v>4740</v>
      </c>
      <c r="B467" s="850" t="s">
        <v>728</v>
      </c>
      <c r="C467" s="697"/>
      <c r="D467" s="643">
        <f>G467+J467+P467+M467</f>
        <v>0</v>
      </c>
      <c r="E467" s="667">
        <f>SUM(H467+K467+N467+Q467)</f>
        <v>0</v>
      </c>
      <c r="F467" s="644" t="e">
        <f>E467/D467*100</f>
        <v>#DIV/0!</v>
      </c>
      <c r="G467" s="697"/>
      <c r="H467" s="643"/>
      <c r="I467" s="731"/>
      <c r="J467" s="948"/>
      <c r="K467" s="643"/>
      <c r="L467" s="492" t="e">
        <f t="shared" si="50"/>
        <v>#DIV/0!</v>
      </c>
      <c r="M467" s="697"/>
      <c r="N467" s="648"/>
      <c r="O467" s="731"/>
      <c r="P467" s="643"/>
      <c r="Q467" s="643"/>
      <c r="R467" s="737"/>
    </row>
    <row r="468" spans="1:18" s="723" customFormat="1" ht="36.75" hidden="1" thickBot="1">
      <c r="A468" s="829">
        <v>4750</v>
      </c>
      <c r="B468" s="850" t="s">
        <v>814</v>
      </c>
      <c r="C468" s="666"/>
      <c r="D468" s="643">
        <f t="shared" si="48"/>
        <v>0</v>
      </c>
      <c r="E468" s="667">
        <f t="shared" si="51"/>
        <v>0</v>
      </c>
      <c r="F468" s="644" t="e">
        <f t="shared" si="49"/>
        <v>#DIV/0!</v>
      </c>
      <c r="G468" s="666"/>
      <c r="H468" s="667"/>
      <c r="I468" s="731"/>
      <c r="J468" s="794"/>
      <c r="K468" s="667"/>
      <c r="L468" s="492" t="e">
        <f t="shared" si="50"/>
        <v>#DIV/0!</v>
      </c>
      <c r="M468" s="666"/>
      <c r="N468" s="730"/>
      <c r="O468" s="731"/>
      <c r="P468" s="667"/>
      <c r="Q468" s="667"/>
      <c r="R468" s="737"/>
    </row>
    <row r="469" spans="1:18" s="723" customFormat="1" ht="36.75" hidden="1" thickBot="1">
      <c r="A469" s="787">
        <v>75107</v>
      </c>
      <c r="B469" s="856" t="s">
        <v>961</v>
      </c>
      <c r="C469" s="673"/>
      <c r="D469" s="674">
        <f t="shared" si="48"/>
        <v>0</v>
      </c>
      <c r="E469" s="674">
        <f t="shared" si="51"/>
        <v>0</v>
      </c>
      <c r="F469" s="890" t="e">
        <f t="shared" si="49"/>
        <v>#DIV/0!</v>
      </c>
      <c r="G469" s="673"/>
      <c r="H469" s="674"/>
      <c r="I469" s="317"/>
      <c r="J469" s="901">
        <f>SUM(J470:J475)</f>
        <v>0</v>
      </c>
      <c r="K469" s="674">
        <f>SUM(K470:K475)</f>
        <v>0</v>
      </c>
      <c r="L469" s="890" t="e">
        <f t="shared" si="50"/>
        <v>#DIV/0!</v>
      </c>
      <c r="M469" s="673"/>
      <c r="N469" s="677"/>
      <c r="O469" s="827"/>
      <c r="P469" s="677"/>
      <c r="Q469" s="674"/>
      <c r="R469" s="828"/>
    </row>
    <row r="470" spans="1:18" s="723" customFormat="1" ht="24.75" hidden="1" thickBot="1">
      <c r="A470" s="829">
        <v>3030</v>
      </c>
      <c r="B470" s="865" t="s">
        <v>695</v>
      </c>
      <c r="C470" s="666"/>
      <c r="D470" s="643">
        <f t="shared" si="48"/>
        <v>0</v>
      </c>
      <c r="E470" s="667">
        <f t="shared" si="51"/>
        <v>0</v>
      </c>
      <c r="F470" s="644" t="e">
        <f t="shared" si="49"/>
        <v>#DIV/0!</v>
      </c>
      <c r="G470" s="666"/>
      <c r="H470" s="667"/>
      <c r="I470" s="731"/>
      <c r="J470" s="900"/>
      <c r="K470" s="667"/>
      <c r="L470" s="492" t="e">
        <f t="shared" si="50"/>
        <v>#DIV/0!</v>
      </c>
      <c r="M470" s="666"/>
      <c r="N470" s="730"/>
      <c r="O470" s="731"/>
      <c r="P470" s="730"/>
      <c r="Q470" s="667"/>
      <c r="R470" s="737"/>
    </row>
    <row r="471" spans="1:18" s="723" customFormat="1" ht="24.75" hidden="1" thickBot="1">
      <c r="A471" s="829">
        <v>4110</v>
      </c>
      <c r="B471" s="865" t="s">
        <v>703</v>
      </c>
      <c r="C471" s="666"/>
      <c r="D471" s="643">
        <f t="shared" si="48"/>
        <v>0</v>
      </c>
      <c r="E471" s="667">
        <f t="shared" si="51"/>
        <v>0</v>
      </c>
      <c r="F471" s="644" t="e">
        <f t="shared" si="49"/>
        <v>#DIV/0!</v>
      </c>
      <c r="G471" s="666"/>
      <c r="H471" s="667"/>
      <c r="I471" s="731"/>
      <c r="J471" s="900"/>
      <c r="K471" s="667"/>
      <c r="L471" s="492" t="e">
        <f t="shared" si="50"/>
        <v>#DIV/0!</v>
      </c>
      <c r="M471" s="666"/>
      <c r="N471" s="730"/>
      <c r="O471" s="731"/>
      <c r="P471" s="730"/>
      <c r="Q471" s="667"/>
      <c r="R471" s="737"/>
    </row>
    <row r="472" spans="1:18" s="723" customFormat="1" ht="13.5" hidden="1" thickBot="1">
      <c r="A472" s="829">
        <v>4120</v>
      </c>
      <c r="B472" s="865" t="s">
        <v>847</v>
      </c>
      <c r="C472" s="666"/>
      <c r="D472" s="643">
        <f t="shared" si="48"/>
        <v>0</v>
      </c>
      <c r="E472" s="667">
        <f t="shared" si="51"/>
        <v>0</v>
      </c>
      <c r="F472" s="644" t="e">
        <f t="shared" si="49"/>
        <v>#DIV/0!</v>
      </c>
      <c r="G472" s="666"/>
      <c r="H472" s="667"/>
      <c r="I472" s="731"/>
      <c r="J472" s="900"/>
      <c r="K472" s="667"/>
      <c r="L472" s="492" t="e">
        <f t="shared" si="50"/>
        <v>#DIV/0!</v>
      </c>
      <c r="M472" s="666"/>
      <c r="N472" s="730"/>
      <c r="O472" s="731"/>
      <c r="P472" s="730"/>
      <c r="Q472" s="667"/>
      <c r="R472" s="737"/>
    </row>
    <row r="473" spans="1:18" s="723" customFormat="1" ht="24.75" hidden="1" thickBot="1">
      <c r="A473" s="728">
        <v>4170</v>
      </c>
      <c r="B473" s="735" t="s">
        <v>742</v>
      </c>
      <c r="C473" s="666"/>
      <c r="D473" s="643">
        <f t="shared" si="48"/>
        <v>0</v>
      </c>
      <c r="E473" s="667">
        <f t="shared" si="51"/>
        <v>0</v>
      </c>
      <c r="F473" s="644" t="e">
        <f t="shared" si="49"/>
        <v>#DIV/0!</v>
      </c>
      <c r="G473" s="666"/>
      <c r="H473" s="667"/>
      <c r="I473" s="731"/>
      <c r="J473" s="900"/>
      <c r="K473" s="667"/>
      <c r="L473" s="492" t="e">
        <f t="shared" si="50"/>
        <v>#DIV/0!</v>
      </c>
      <c r="M473" s="666"/>
      <c r="N473" s="730"/>
      <c r="O473" s="731"/>
      <c r="P473" s="730"/>
      <c r="Q473" s="667"/>
      <c r="R473" s="737"/>
    </row>
    <row r="474" spans="1:18" s="723" customFormat="1" ht="24.75" hidden="1" thickBot="1">
      <c r="A474" s="728">
        <v>4210</v>
      </c>
      <c r="B474" s="735" t="s">
        <v>707</v>
      </c>
      <c r="C474" s="666"/>
      <c r="D474" s="643">
        <f t="shared" si="48"/>
        <v>0</v>
      </c>
      <c r="E474" s="667">
        <f t="shared" si="51"/>
        <v>0</v>
      </c>
      <c r="F474" s="644" t="e">
        <f t="shared" si="49"/>
        <v>#DIV/0!</v>
      </c>
      <c r="G474" s="666"/>
      <c r="H474" s="667"/>
      <c r="I474" s="731"/>
      <c r="J474" s="900"/>
      <c r="K474" s="667"/>
      <c r="L474" s="492" t="e">
        <f t="shared" si="50"/>
        <v>#DIV/0!</v>
      </c>
      <c r="M474" s="666"/>
      <c r="N474" s="730"/>
      <c r="O474" s="731"/>
      <c r="P474" s="730"/>
      <c r="Q474" s="667"/>
      <c r="R474" s="737"/>
    </row>
    <row r="475" spans="1:18" s="723" customFormat="1" ht="24.75" hidden="1" thickBot="1">
      <c r="A475" s="728">
        <v>4300</v>
      </c>
      <c r="B475" s="735" t="s">
        <v>715</v>
      </c>
      <c r="C475" s="666"/>
      <c r="D475" s="643">
        <f t="shared" si="48"/>
        <v>0</v>
      </c>
      <c r="E475" s="667">
        <f t="shared" si="51"/>
        <v>0</v>
      </c>
      <c r="F475" s="644" t="e">
        <f t="shared" si="49"/>
        <v>#DIV/0!</v>
      </c>
      <c r="G475" s="666"/>
      <c r="H475" s="667"/>
      <c r="I475" s="731"/>
      <c r="J475" s="900"/>
      <c r="K475" s="667"/>
      <c r="L475" s="492" t="e">
        <f t="shared" si="50"/>
        <v>#DIV/0!</v>
      </c>
      <c r="M475" s="666"/>
      <c r="N475" s="730"/>
      <c r="O475" s="731"/>
      <c r="P475" s="730"/>
      <c r="Q475" s="667"/>
      <c r="R475" s="737"/>
    </row>
    <row r="476" spans="1:18" s="775" customFormat="1" ht="24.75" hidden="1" thickBot="1">
      <c r="A476" s="787">
        <v>75108</v>
      </c>
      <c r="B476" s="856" t="s">
        <v>962</v>
      </c>
      <c r="C476" s="673"/>
      <c r="D476" s="674">
        <f t="shared" si="48"/>
        <v>0</v>
      </c>
      <c r="E476" s="674">
        <f t="shared" si="51"/>
        <v>0</v>
      </c>
      <c r="F476" s="675" t="e">
        <f t="shared" si="49"/>
        <v>#DIV/0!</v>
      </c>
      <c r="G476" s="673"/>
      <c r="H476" s="674"/>
      <c r="I476" s="317"/>
      <c r="J476" s="949">
        <f>SUM(J477:J487)</f>
        <v>0</v>
      </c>
      <c r="K476" s="674">
        <f>SUM(K477:K487)</f>
        <v>0</v>
      </c>
      <c r="L476" s="890" t="e">
        <f t="shared" si="50"/>
        <v>#DIV/0!</v>
      </c>
      <c r="M476" s="673"/>
      <c r="N476" s="677"/>
      <c r="O476" s="827"/>
      <c r="P476" s="677"/>
      <c r="Q476" s="674"/>
      <c r="R476" s="828"/>
    </row>
    <row r="477" spans="1:18" s="761" customFormat="1" ht="35.25" customHeight="1" hidden="1">
      <c r="A477" s="829">
        <v>3020</v>
      </c>
      <c r="B477" s="865" t="s">
        <v>963</v>
      </c>
      <c r="C477" s="697"/>
      <c r="D477" s="643">
        <f t="shared" si="48"/>
        <v>0</v>
      </c>
      <c r="E477" s="667">
        <f t="shared" si="51"/>
        <v>0</v>
      </c>
      <c r="F477" s="644" t="e">
        <f t="shared" si="49"/>
        <v>#DIV/0!</v>
      </c>
      <c r="G477" s="697"/>
      <c r="H477" s="643"/>
      <c r="I477" s="731"/>
      <c r="J477" s="643"/>
      <c r="K477" s="648">
        <v>0</v>
      </c>
      <c r="L477" s="492" t="e">
        <f t="shared" si="50"/>
        <v>#DIV/0!</v>
      </c>
      <c r="M477" s="697"/>
      <c r="N477" s="648"/>
      <c r="O477" s="731"/>
      <c r="P477" s="648"/>
      <c r="Q477" s="643"/>
      <c r="R477" s="737"/>
    </row>
    <row r="478" spans="1:18" s="761" customFormat="1" ht="24.75" customHeight="1" hidden="1">
      <c r="A478" s="829">
        <v>3030</v>
      </c>
      <c r="B478" s="865" t="s">
        <v>695</v>
      </c>
      <c r="C478" s="697"/>
      <c r="D478" s="643">
        <f t="shared" si="48"/>
        <v>0</v>
      </c>
      <c r="E478" s="667">
        <f t="shared" si="51"/>
        <v>0</v>
      </c>
      <c r="F478" s="644" t="e">
        <f t="shared" si="49"/>
        <v>#DIV/0!</v>
      </c>
      <c r="G478" s="697"/>
      <c r="H478" s="643"/>
      <c r="I478" s="731"/>
      <c r="J478" s="643"/>
      <c r="K478" s="648"/>
      <c r="L478" s="492" t="e">
        <f t="shared" si="50"/>
        <v>#DIV/0!</v>
      </c>
      <c r="M478" s="697"/>
      <c r="N478" s="648"/>
      <c r="O478" s="731"/>
      <c r="P478" s="648"/>
      <c r="Q478" s="643"/>
      <c r="R478" s="737"/>
    </row>
    <row r="479" spans="1:18" s="761" customFormat="1" ht="24.75" customHeight="1" hidden="1">
      <c r="A479" s="829">
        <v>4110</v>
      </c>
      <c r="B479" s="865" t="s">
        <v>703</v>
      </c>
      <c r="C479" s="697"/>
      <c r="D479" s="643">
        <f t="shared" si="48"/>
        <v>0</v>
      </c>
      <c r="E479" s="667">
        <f t="shared" si="51"/>
        <v>0</v>
      </c>
      <c r="F479" s="644" t="e">
        <f t="shared" si="49"/>
        <v>#DIV/0!</v>
      </c>
      <c r="G479" s="697"/>
      <c r="H479" s="643"/>
      <c r="I479" s="731"/>
      <c r="J479" s="643"/>
      <c r="K479" s="648"/>
      <c r="L479" s="492" t="e">
        <f t="shared" si="50"/>
        <v>#DIV/0!</v>
      </c>
      <c r="M479" s="697"/>
      <c r="N479" s="648"/>
      <c r="O479" s="731"/>
      <c r="P479" s="648"/>
      <c r="Q479" s="643"/>
      <c r="R479" s="737"/>
    </row>
    <row r="480" spans="1:18" s="761" customFormat="1" ht="15" customHeight="1" hidden="1">
      <c r="A480" s="829">
        <v>4120</v>
      </c>
      <c r="B480" s="865" t="s">
        <v>847</v>
      </c>
      <c r="C480" s="697"/>
      <c r="D480" s="643">
        <f t="shared" si="48"/>
        <v>0</v>
      </c>
      <c r="E480" s="667">
        <f t="shared" si="51"/>
        <v>0</v>
      </c>
      <c r="F480" s="644" t="e">
        <f t="shared" si="49"/>
        <v>#DIV/0!</v>
      </c>
      <c r="G480" s="697"/>
      <c r="H480" s="643"/>
      <c r="I480" s="731"/>
      <c r="J480" s="643"/>
      <c r="K480" s="648"/>
      <c r="L480" s="492" t="e">
        <f t="shared" si="50"/>
        <v>#DIV/0!</v>
      </c>
      <c r="M480" s="697"/>
      <c r="N480" s="648"/>
      <c r="O480" s="731"/>
      <c r="P480" s="648"/>
      <c r="Q480" s="643"/>
      <c r="R480" s="737"/>
    </row>
    <row r="481" spans="1:18" s="723" customFormat="1" ht="26.25" customHeight="1" hidden="1">
      <c r="A481" s="728">
        <v>4170</v>
      </c>
      <c r="B481" s="735" t="s">
        <v>742</v>
      </c>
      <c r="C481" s="666"/>
      <c r="D481" s="643">
        <f t="shared" si="48"/>
        <v>0</v>
      </c>
      <c r="E481" s="667">
        <f t="shared" si="51"/>
        <v>0</v>
      </c>
      <c r="F481" s="644" t="e">
        <f t="shared" si="49"/>
        <v>#DIV/0!</v>
      </c>
      <c r="G481" s="666"/>
      <c r="H481" s="667"/>
      <c r="I481" s="731"/>
      <c r="J481" s="667"/>
      <c r="K481" s="730"/>
      <c r="L481" s="492" t="e">
        <f t="shared" si="50"/>
        <v>#DIV/0!</v>
      </c>
      <c r="M481" s="666"/>
      <c r="N481" s="730"/>
      <c r="O481" s="731"/>
      <c r="P481" s="730"/>
      <c r="Q481" s="667"/>
      <c r="R481" s="737"/>
    </row>
    <row r="482" spans="1:18" s="723" customFormat="1" ht="24.75" customHeight="1" hidden="1">
      <c r="A482" s="728">
        <v>4210</v>
      </c>
      <c r="B482" s="735" t="s">
        <v>707</v>
      </c>
      <c r="C482" s="666"/>
      <c r="D482" s="643">
        <f t="shared" si="48"/>
        <v>0</v>
      </c>
      <c r="E482" s="667">
        <f t="shared" si="51"/>
        <v>0</v>
      </c>
      <c r="F482" s="644" t="e">
        <f t="shared" si="49"/>
        <v>#DIV/0!</v>
      </c>
      <c r="G482" s="666"/>
      <c r="H482" s="667"/>
      <c r="I482" s="731"/>
      <c r="J482" s="667"/>
      <c r="K482" s="730"/>
      <c r="L482" s="492" t="e">
        <f t="shared" si="50"/>
        <v>#DIV/0!</v>
      </c>
      <c r="M482" s="666"/>
      <c r="N482" s="730"/>
      <c r="O482" s="731"/>
      <c r="P482" s="730"/>
      <c r="Q482" s="667"/>
      <c r="R482" s="737"/>
    </row>
    <row r="483" spans="1:18" s="723" customFormat="1" ht="13.5" hidden="1" thickBot="1">
      <c r="A483" s="728">
        <v>4260</v>
      </c>
      <c r="B483" s="735" t="s">
        <v>711</v>
      </c>
      <c r="C483" s="666"/>
      <c r="D483" s="643">
        <f t="shared" si="48"/>
        <v>0</v>
      </c>
      <c r="E483" s="667">
        <f>SUM(H483+K483+N483+Q483)</f>
        <v>0</v>
      </c>
      <c r="F483" s="644" t="e">
        <f>E483/D483*100</f>
        <v>#DIV/0!</v>
      </c>
      <c r="G483" s="666"/>
      <c r="H483" s="667"/>
      <c r="I483" s="731"/>
      <c r="J483" s="667">
        <f>50-50</f>
        <v>0</v>
      </c>
      <c r="K483" s="730"/>
      <c r="L483" s="492" t="e">
        <f t="shared" si="50"/>
        <v>#DIV/0!</v>
      </c>
      <c r="M483" s="666"/>
      <c r="N483" s="730"/>
      <c r="O483" s="731"/>
      <c r="P483" s="730"/>
      <c r="Q483" s="667"/>
      <c r="R483" s="737"/>
    </row>
    <row r="484" spans="1:18" s="723" customFormat="1" ht="24.75" hidden="1" thickBot="1">
      <c r="A484" s="728">
        <v>4300</v>
      </c>
      <c r="B484" s="735" t="s">
        <v>806</v>
      </c>
      <c r="C484" s="666"/>
      <c r="D484" s="643">
        <f t="shared" si="48"/>
        <v>0</v>
      </c>
      <c r="E484" s="667">
        <f>SUM(H484+K484+N484+Q484)</f>
        <v>0</v>
      </c>
      <c r="F484" s="644" t="e">
        <f>E484/D484*100</f>
        <v>#DIV/0!</v>
      </c>
      <c r="G484" s="666"/>
      <c r="H484" s="667"/>
      <c r="I484" s="731"/>
      <c r="J484" s="667"/>
      <c r="K484" s="730"/>
      <c r="L484" s="492" t="e">
        <f t="shared" si="50"/>
        <v>#DIV/0!</v>
      </c>
      <c r="M484" s="666"/>
      <c r="N484" s="730"/>
      <c r="O484" s="731"/>
      <c r="P484" s="730"/>
      <c r="Q484" s="667"/>
      <c r="R484" s="737"/>
    </row>
    <row r="485" spans="1:18" s="723" customFormat="1" ht="48.75" hidden="1" thickBot="1">
      <c r="A485" s="918">
        <v>4370</v>
      </c>
      <c r="B485" s="850" t="s">
        <v>916</v>
      </c>
      <c r="C485" s="666"/>
      <c r="D485" s="643">
        <f t="shared" si="48"/>
        <v>0</v>
      </c>
      <c r="E485" s="667">
        <f>SUM(H485+K485+N485+Q485)</f>
        <v>0</v>
      </c>
      <c r="F485" s="644" t="e">
        <f>E485/D485*100</f>
        <v>#DIV/0!</v>
      </c>
      <c r="G485" s="666"/>
      <c r="H485" s="667"/>
      <c r="I485" s="731"/>
      <c r="J485" s="667"/>
      <c r="K485" s="730"/>
      <c r="L485" s="492" t="e">
        <f t="shared" si="50"/>
        <v>#DIV/0!</v>
      </c>
      <c r="M485" s="666"/>
      <c r="N485" s="730"/>
      <c r="O485" s="731"/>
      <c r="P485" s="730"/>
      <c r="Q485" s="667"/>
      <c r="R485" s="737"/>
    </row>
    <row r="486" spans="1:18" s="723" customFormat="1" ht="60.75" hidden="1" thickBot="1">
      <c r="A486" s="829">
        <v>4740</v>
      </c>
      <c r="B486" s="850" t="s">
        <v>728</v>
      </c>
      <c r="C486" s="666"/>
      <c r="D486" s="643">
        <f t="shared" si="48"/>
        <v>0</v>
      </c>
      <c r="E486" s="667">
        <f>SUM(H486+K486+N486+Q486)</f>
        <v>0</v>
      </c>
      <c r="F486" s="644" t="e">
        <f>E486/D486*100</f>
        <v>#DIV/0!</v>
      </c>
      <c r="G486" s="666"/>
      <c r="H486" s="667"/>
      <c r="I486" s="731"/>
      <c r="J486" s="667"/>
      <c r="K486" s="730"/>
      <c r="L486" s="492" t="e">
        <f t="shared" si="50"/>
        <v>#DIV/0!</v>
      </c>
      <c r="M486" s="666"/>
      <c r="N486" s="730"/>
      <c r="O486" s="731"/>
      <c r="P486" s="730"/>
      <c r="Q486" s="667"/>
      <c r="R486" s="737"/>
    </row>
    <row r="487" spans="1:18" s="723" customFormat="1" ht="36.75" hidden="1" thickBot="1">
      <c r="A487" s="829">
        <v>4750</v>
      </c>
      <c r="B487" s="850" t="s">
        <v>814</v>
      </c>
      <c r="C487" s="666"/>
      <c r="D487" s="765">
        <f t="shared" si="48"/>
        <v>0</v>
      </c>
      <c r="E487" s="785">
        <f t="shared" si="51"/>
        <v>0</v>
      </c>
      <c r="F487" s="644" t="e">
        <f t="shared" si="49"/>
        <v>#DIV/0!</v>
      </c>
      <c r="G487" s="781"/>
      <c r="H487" s="785"/>
      <c r="I487" s="786"/>
      <c r="J487" s="785"/>
      <c r="K487" s="782"/>
      <c r="L487" s="492" t="e">
        <f t="shared" si="50"/>
        <v>#DIV/0!</v>
      </c>
      <c r="M487" s="781"/>
      <c r="N487" s="782"/>
      <c r="O487" s="786"/>
      <c r="P487" s="782"/>
      <c r="Q487" s="785"/>
      <c r="R487" s="770"/>
    </row>
    <row r="488" spans="1:18" s="775" customFormat="1" ht="27.75" customHeight="1" hidden="1">
      <c r="A488" s="787">
        <v>75110</v>
      </c>
      <c r="B488" s="856" t="s">
        <v>964</v>
      </c>
      <c r="C488" s="945"/>
      <c r="D488" s="643">
        <f t="shared" si="48"/>
        <v>0</v>
      </c>
      <c r="E488" s="667">
        <f t="shared" si="51"/>
        <v>0</v>
      </c>
      <c r="F488" s="658" t="e">
        <f t="shared" si="49"/>
        <v>#DIV/0!</v>
      </c>
      <c r="G488" s="945"/>
      <c r="H488" s="894"/>
      <c r="I488" s="317"/>
      <c r="J488" s="674">
        <f>SUM(J489:J493)</f>
        <v>0</v>
      </c>
      <c r="K488" s="674">
        <f>SUM(K489:K493)</f>
        <v>0</v>
      </c>
      <c r="L488" s="791" t="e">
        <f t="shared" si="50"/>
        <v>#DIV/0!</v>
      </c>
      <c r="M488" s="673"/>
      <c r="N488" s="677"/>
      <c r="O488" s="827"/>
      <c r="P488" s="677"/>
      <c r="Q488" s="674"/>
      <c r="R488" s="828"/>
    </row>
    <row r="489" spans="1:18" s="761" customFormat="1" ht="27.75" customHeight="1" hidden="1">
      <c r="A489" s="829">
        <v>3030</v>
      </c>
      <c r="B489" s="865" t="s">
        <v>695</v>
      </c>
      <c r="C489" s="697"/>
      <c r="D489" s="643">
        <f t="shared" si="48"/>
        <v>0</v>
      </c>
      <c r="E489" s="667">
        <f t="shared" si="51"/>
        <v>0</v>
      </c>
      <c r="F489" s="644" t="e">
        <f t="shared" si="49"/>
        <v>#DIV/0!</v>
      </c>
      <c r="G489" s="684"/>
      <c r="H489" s="685"/>
      <c r="I489" s="779"/>
      <c r="J489" s="685"/>
      <c r="K489" s="689"/>
      <c r="L489" s="652" t="e">
        <f t="shared" si="50"/>
        <v>#DIV/0!</v>
      </c>
      <c r="M489" s="684"/>
      <c r="N489" s="689"/>
      <c r="O489" s="731"/>
      <c r="P489" s="648"/>
      <c r="Q489" s="643"/>
      <c r="R489" s="737"/>
    </row>
    <row r="490" spans="1:18" s="761" customFormat="1" ht="27.75" customHeight="1" hidden="1">
      <c r="A490" s="829">
        <v>4110</v>
      </c>
      <c r="B490" s="865" t="s">
        <v>703</v>
      </c>
      <c r="C490" s="697"/>
      <c r="D490" s="643">
        <f t="shared" si="48"/>
        <v>0</v>
      </c>
      <c r="E490" s="667">
        <f t="shared" si="51"/>
        <v>0</v>
      </c>
      <c r="F490" s="644" t="e">
        <f t="shared" si="49"/>
        <v>#DIV/0!</v>
      </c>
      <c r="G490" s="697"/>
      <c r="H490" s="643"/>
      <c r="I490" s="731"/>
      <c r="J490" s="643"/>
      <c r="K490" s="648"/>
      <c r="L490" s="647" t="e">
        <f t="shared" si="50"/>
        <v>#DIV/0!</v>
      </c>
      <c r="M490" s="697"/>
      <c r="N490" s="648"/>
      <c r="O490" s="731"/>
      <c r="P490" s="648"/>
      <c r="Q490" s="643"/>
      <c r="R490" s="737"/>
    </row>
    <row r="491" spans="1:18" s="761" customFormat="1" ht="27.75" customHeight="1" hidden="1">
      <c r="A491" s="829">
        <v>4120</v>
      </c>
      <c r="B491" s="865" t="s">
        <v>851</v>
      </c>
      <c r="C491" s="697"/>
      <c r="D491" s="643">
        <f t="shared" si="48"/>
        <v>0</v>
      </c>
      <c r="E491" s="667">
        <f t="shared" si="51"/>
        <v>0</v>
      </c>
      <c r="F491" s="644" t="e">
        <f t="shared" si="49"/>
        <v>#DIV/0!</v>
      </c>
      <c r="G491" s="697"/>
      <c r="H491" s="643"/>
      <c r="I491" s="731"/>
      <c r="J491" s="643"/>
      <c r="K491" s="648"/>
      <c r="L491" s="647" t="e">
        <f t="shared" si="50"/>
        <v>#DIV/0!</v>
      </c>
      <c r="M491" s="697"/>
      <c r="N491" s="648"/>
      <c r="O491" s="731"/>
      <c r="P491" s="648"/>
      <c r="Q491" s="643"/>
      <c r="R491" s="737"/>
    </row>
    <row r="492" spans="1:18" s="723" customFormat="1" ht="25.5" customHeight="1" hidden="1">
      <c r="A492" s="728">
        <v>4210</v>
      </c>
      <c r="B492" s="735" t="s">
        <v>707</v>
      </c>
      <c r="C492" s="666"/>
      <c r="D492" s="643">
        <f t="shared" si="48"/>
        <v>0</v>
      </c>
      <c r="E492" s="667">
        <f t="shared" si="51"/>
        <v>0</v>
      </c>
      <c r="F492" s="644" t="e">
        <f t="shared" si="49"/>
        <v>#DIV/0!</v>
      </c>
      <c r="G492" s="666"/>
      <c r="H492" s="667"/>
      <c r="I492" s="731"/>
      <c r="J492" s="667"/>
      <c r="K492" s="730"/>
      <c r="L492" s="647" t="e">
        <f t="shared" si="50"/>
        <v>#DIV/0!</v>
      </c>
      <c r="M492" s="666"/>
      <c r="N492" s="730"/>
      <c r="O492" s="731"/>
      <c r="P492" s="730"/>
      <c r="Q492" s="667"/>
      <c r="R492" s="737"/>
    </row>
    <row r="493" spans="1:18" s="723" customFormat="1" ht="26.25" customHeight="1" hidden="1">
      <c r="A493" s="728">
        <v>4300</v>
      </c>
      <c r="B493" s="735" t="s">
        <v>715</v>
      </c>
      <c r="C493" s="666"/>
      <c r="D493" s="643">
        <f t="shared" si="48"/>
        <v>0</v>
      </c>
      <c r="E493" s="667">
        <f t="shared" si="51"/>
        <v>0</v>
      </c>
      <c r="F493" s="644" t="e">
        <f t="shared" si="49"/>
        <v>#DIV/0!</v>
      </c>
      <c r="G493" s="666"/>
      <c r="H493" s="667"/>
      <c r="I493" s="731"/>
      <c r="J493" s="667"/>
      <c r="K493" s="730"/>
      <c r="L493" s="647" t="e">
        <f t="shared" si="50"/>
        <v>#DIV/0!</v>
      </c>
      <c r="M493" s="666"/>
      <c r="N493" s="730"/>
      <c r="O493" s="731"/>
      <c r="P493" s="730"/>
      <c r="Q493" s="667"/>
      <c r="R493" s="737"/>
    </row>
    <row r="494" spans="1:18" s="775" customFormat="1" ht="17.25" customHeight="1" hidden="1">
      <c r="A494" s="738">
        <v>752</v>
      </c>
      <c r="B494" s="739" t="s">
        <v>965</v>
      </c>
      <c r="C494" s="740">
        <f>C495</f>
        <v>0</v>
      </c>
      <c r="D494" s="618">
        <f t="shared" si="48"/>
        <v>0</v>
      </c>
      <c r="E494" s="618">
        <f t="shared" si="51"/>
        <v>0</v>
      </c>
      <c r="F494" s="741" t="e">
        <f t="shared" si="49"/>
        <v>#DIV/0!</v>
      </c>
      <c r="G494" s="740"/>
      <c r="H494" s="618"/>
      <c r="I494" s="722"/>
      <c r="J494" s="618"/>
      <c r="K494" s="743"/>
      <c r="L494" s="744"/>
      <c r="M494" s="950"/>
      <c r="N494" s="618"/>
      <c r="O494" s="951"/>
      <c r="P494" s="743">
        <f>P495</f>
        <v>0</v>
      </c>
      <c r="Q494" s="618">
        <f>Q495</f>
        <v>0</v>
      </c>
      <c r="R494" s="745" t="e">
        <f aca="true" t="shared" si="52" ref="R494:R500">Q494/P494*100</f>
        <v>#DIV/0!</v>
      </c>
    </row>
    <row r="495" spans="1:18" s="775" customFormat="1" ht="25.5" hidden="1" thickBot="1" thickTop="1">
      <c r="A495" s="883">
        <v>75212</v>
      </c>
      <c r="B495" s="884" t="s">
        <v>966</v>
      </c>
      <c r="C495" s="885">
        <f>SUM(C496:C499)</f>
        <v>0</v>
      </c>
      <c r="D495" s="631">
        <f t="shared" si="48"/>
        <v>0</v>
      </c>
      <c r="E495" s="631">
        <f t="shared" si="51"/>
        <v>0</v>
      </c>
      <c r="F495" s="952" t="e">
        <f t="shared" si="49"/>
        <v>#DIV/0!</v>
      </c>
      <c r="G495" s="885"/>
      <c r="H495" s="631"/>
      <c r="I495" s="953"/>
      <c r="J495" s="631"/>
      <c r="K495" s="887"/>
      <c r="L495" s="888"/>
      <c r="M495" s="886"/>
      <c r="N495" s="631"/>
      <c r="O495" s="954"/>
      <c r="P495" s="887">
        <f>SUM(P496:P499)</f>
        <v>0</v>
      </c>
      <c r="Q495" s="631">
        <f>SUM(Q496:Q499)</f>
        <v>0</v>
      </c>
      <c r="R495" s="955" t="e">
        <f t="shared" si="52"/>
        <v>#DIV/0!</v>
      </c>
    </row>
    <row r="496" spans="1:18" s="761" customFormat="1" ht="24.75" hidden="1" thickBot="1">
      <c r="A496" s="829">
        <v>4170</v>
      </c>
      <c r="B496" s="865" t="s">
        <v>742</v>
      </c>
      <c r="C496" s="697"/>
      <c r="D496" s="643">
        <f t="shared" si="48"/>
        <v>0</v>
      </c>
      <c r="E496" s="667">
        <f t="shared" si="51"/>
        <v>0</v>
      </c>
      <c r="F496" s="644" t="e">
        <f t="shared" si="49"/>
        <v>#DIV/0!</v>
      </c>
      <c r="G496" s="697"/>
      <c r="H496" s="643"/>
      <c r="I496" s="731"/>
      <c r="J496" s="643"/>
      <c r="K496" s="648"/>
      <c r="L496" s="647"/>
      <c r="M496" s="889"/>
      <c r="N496" s="643"/>
      <c r="O496" s="731"/>
      <c r="P496" s="648">
        <f>300-300</f>
        <v>0</v>
      </c>
      <c r="Q496" s="643"/>
      <c r="R496" s="737" t="e">
        <f t="shared" si="52"/>
        <v>#DIV/0!</v>
      </c>
    </row>
    <row r="497" spans="1:18" s="761" customFormat="1" ht="24.75" hidden="1" thickBot="1">
      <c r="A497" s="829">
        <v>4210</v>
      </c>
      <c r="B497" s="865" t="s">
        <v>707</v>
      </c>
      <c r="C497" s="697"/>
      <c r="D497" s="643">
        <f t="shared" si="48"/>
        <v>0</v>
      </c>
      <c r="E497" s="667">
        <f t="shared" si="51"/>
        <v>0</v>
      </c>
      <c r="F497" s="644" t="e">
        <f t="shared" si="49"/>
        <v>#DIV/0!</v>
      </c>
      <c r="G497" s="697"/>
      <c r="H497" s="643"/>
      <c r="I497" s="731"/>
      <c r="J497" s="643"/>
      <c r="K497" s="648"/>
      <c r="L497" s="647"/>
      <c r="M497" s="889"/>
      <c r="N497" s="643"/>
      <c r="O497" s="731"/>
      <c r="P497" s="648"/>
      <c r="Q497" s="643"/>
      <c r="R497" s="737" t="e">
        <f t="shared" si="52"/>
        <v>#DIV/0!</v>
      </c>
    </row>
    <row r="498" spans="1:18" s="761" customFormat="1" ht="24.75" hidden="1" thickBot="1">
      <c r="A498" s="829">
        <v>4240</v>
      </c>
      <c r="B498" s="865" t="s">
        <v>967</v>
      </c>
      <c r="C498" s="697"/>
      <c r="D498" s="643">
        <f t="shared" si="48"/>
        <v>0</v>
      </c>
      <c r="E498" s="667">
        <f t="shared" si="51"/>
        <v>0</v>
      </c>
      <c r="F498" s="644" t="e">
        <f t="shared" si="49"/>
        <v>#DIV/0!</v>
      </c>
      <c r="G498" s="697"/>
      <c r="H498" s="643"/>
      <c r="I498" s="731"/>
      <c r="J498" s="643"/>
      <c r="K498" s="648"/>
      <c r="L498" s="647"/>
      <c r="M498" s="889"/>
      <c r="N498" s="643"/>
      <c r="O498" s="731"/>
      <c r="P498" s="648">
        <f>200-200</f>
        <v>0</v>
      </c>
      <c r="Q498" s="643"/>
      <c r="R498" s="737" t="e">
        <f t="shared" si="52"/>
        <v>#DIV/0!</v>
      </c>
    </row>
    <row r="499" spans="1:18" s="723" customFormat="1" ht="24.75" hidden="1" thickBot="1">
      <c r="A499" s="728">
        <v>4300</v>
      </c>
      <c r="B499" s="735" t="s">
        <v>715</v>
      </c>
      <c r="C499" s="666"/>
      <c r="D499" s="643">
        <f t="shared" si="48"/>
        <v>0</v>
      </c>
      <c r="E499" s="667">
        <f t="shared" si="51"/>
        <v>0</v>
      </c>
      <c r="F499" s="644" t="e">
        <f t="shared" si="49"/>
        <v>#DIV/0!</v>
      </c>
      <c r="G499" s="666"/>
      <c r="H499" s="667"/>
      <c r="I499" s="731"/>
      <c r="J499" s="667"/>
      <c r="K499" s="730"/>
      <c r="L499" s="647"/>
      <c r="M499" s="794"/>
      <c r="N499" s="667"/>
      <c r="O499" s="731"/>
      <c r="P499" s="730">
        <f>200-200</f>
        <v>0</v>
      </c>
      <c r="Q499" s="667"/>
      <c r="R499" s="737"/>
    </row>
    <row r="500" spans="1:18" s="723" customFormat="1" ht="55.5" customHeight="1" thickBot="1" thickTop="1">
      <c r="A500" s="718">
        <v>754</v>
      </c>
      <c r="B500" s="719" t="s">
        <v>409</v>
      </c>
      <c r="C500" s="720">
        <f>C542+C505+C540+C501+C551+C549</f>
        <v>8483600</v>
      </c>
      <c r="D500" s="618">
        <f t="shared" si="48"/>
        <v>10475732</v>
      </c>
      <c r="E500" s="618">
        <f>H500+K500+Q500+N500</f>
        <v>6382708</v>
      </c>
      <c r="F500" s="619">
        <f t="shared" si="49"/>
        <v>60.92851554430755</v>
      </c>
      <c r="G500" s="720">
        <f>G542+G505+G540+G501+G551+G549</f>
        <v>678000</v>
      </c>
      <c r="H500" s="623">
        <f>SUM(H501+H505+H540+H542)+H551+H549</f>
        <v>37679</v>
      </c>
      <c r="I500" s="621">
        <f>H500/G500*100</f>
        <v>5.557374631268437</v>
      </c>
      <c r="J500" s="623">
        <f>J542</f>
        <v>8000</v>
      </c>
      <c r="K500" s="623">
        <f>K542</f>
        <v>4579</v>
      </c>
      <c r="L500" s="744">
        <f>K500/J500*100</f>
        <v>57.2375</v>
      </c>
      <c r="M500" s="904">
        <f>M501+M505</f>
        <v>1744000</v>
      </c>
      <c r="N500" s="623">
        <f>N501+N505</f>
        <v>875324</v>
      </c>
      <c r="O500" s="621">
        <f aca="true" t="shared" si="53" ref="O500:O505">N500/M500*100</f>
        <v>50.19059633027523</v>
      </c>
      <c r="P500" s="720">
        <f>P542+P505+P540+P501</f>
        <v>8045732</v>
      </c>
      <c r="Q500" s="623">
        <f>Q542+Q505+Q540+Q501</f>
        <v>5465126</v>
      </c>
      <c r="R500" s="621">
        <f t="shared" si="52"/>
        <v>67.92577729409828</v>
      </c>
    </row>
    <row r="501" spans="1:18" s="723" customFormat="1" ht="26.25" customHeight="1" thickTop="1">
      <c r="A501" s="956">
        <v>75405</v>
      </c>
      <c r="B501" s="957" t="s">
        <v>968</v>
      </c>
      <c r="C501" s="958">
        <f>SUM(C504)</f>
        <v>250000</v>
      </c>
      <c r="D501" s="631">
        <f t="shared" si="48"/>
        <v>703000</v>
      </c>
      <c r="E501" s="637">
        <f>H501+K501+Q501+N501</f>
        <v>470000</v>
      </c>
      <c r="F501" s="632">
        <f t="shared" si="49"/>
        <v>66.85633001422475</v>
      </c>
      <c r="G501" s="958"/>
      <c r="H501" s="871"/>
      <c r="I501" s="786"/>
      <c r="J501" s="872"/>
      <c r="K501" s="871"/>
      <c r="L501" s="873"/>
      <c r="M501" s="871">
        <f>SUM(M502:M504)</f>
        <v>703000</v>
      </c>
      <c r="N501" s="871">
        <f>SUM(N502:N503)</f>
        <v>470000</v>
      </c>
      <c r="O501" s="766">
        <f t="shared" si="53"/>
        <v>66.85633001422475</v>
      </c>
      <c r="P501" s="871"/>
      <c r="Q501" s="871"/>
      <c r="R501" s="707"/>
    </row>
    <row r="502" spans="1:18" s="723" customFormat="1" ht="24">
      <c r="A502" s="728">
        <v>3000</v>
      </c>
      <c r="B502" s="865" t="s">
        <v>969</v>
      </c>
      <c r="C502" s="666"/>
      <c r="D502" s="685">
        <f t="shared" si="48"/>
        <v>670000</v>
      </c>
      <c r="E502" s="685">
        <f>H502+K502+N502+Q502</f>
        <v>470000</v>
      </c>
      <c r="F502" s="668">
        <f t="shared" si="49"/>
        <v>70.1492537313433</v>
      </c>
      <c r="G502" s="846"/>
      <c r="H502" s="847"/>
      <c r="I502" s="731"/>
      <c r="J502" s="848"/>
      <c r="K502" s="847"/>
      <c r="L502" s="751"/>
      <c r="M502" s="670">
        <f>470000+200000</f>
        <v>670000</v>
      </c>
      <c r="N502" s="686">
        <f>250000+220000</f>
        <v>470000</v>
      </c>
      <c r="O502" s="758">
        <f t="shared" si="53"/>
        <v>70.1492537313433</v>
      </c>
      <c r="P502" s="670"/>
      <c r="Q502" s="667"/>
      <c r="R502" s="647"/>
    </row>
    <row r="503" spans="1:18" s="723" customFormat="1" ht="24" hidden="1">
      <c r="A503" s="728">
        <v>4300</v>
      </c>
      <c r="B503" s="865" t="s">
        <v>715</v>
      </c>
      <c r="C503" s="666"/>
      <c r="D503" s="643">
        <f t="shared" si="48"/>
        <v>0</v>
      </c>
      <c r="E503" s="643">
        <f>H503+K503+Q503+N503</f>
        <v>0</v>
      </c>
      <c r="F503" s="644" t="e">
        <f t="shared" si="49"/>
        <v>#DIV/0!</v>
      </c>
      <c r="G503" s="846"/>
      <c r="H503" s="848"/>
      <c r="I503" s="731"/>
      <c r="J503" s="848"/>
      <c r="K503" s="847"/>
      <c r="L503" s="751"/>
      <c r="M503" s="666"/>
      <c r="N503" s="667"/>
      <c r="O503" s="492" t="e">
        <f t="shared" si="53"/>
        <v>#DIV/0!</v>
      </c>
      <c r="P503" s="666"/>
      <c r="Q503" s="667"/>
      <c r="R503" s="647"/>
    </row>
    <row r="504" spans="1:18" s="723" customFormat="1" ht="60">
      <c r="A504" s="762">
        <v>6170</v>
      </c>
      <c r="B504" s="959" t="s">
        <v>970</v>
      </c>
      <c r="C504" s="781">
        <v>250000</v>
      </c>
      <c r="D504" s="765">
        <f t="shared" si="48"/>
        <v>33000</v>
      </c>
      <c r="E504" s="765"/>
      <c r="F504" s="705">
        <f t="shared" si="49"/>
        <v>0</v>
      </c>
      <c r="G504" s="869"/>
      <c r="H504" s="872"/>
      <c r="I504" s="786"/>
      <c r="J504" s="872"/>
      <c r="K504" s="871"/>
      <c r="L504" s="873"/>
      <c r="M504" s="781">
        <v>33000</v>
      </c>
      <c r="N504" s="960"/>
      <c r="O504" s="766"/>
      <c r="P504" s="781"/>
      <c r="Q504" s="785"/>
      <c r="R504" s="707"/>
    </row>
    <row r="505" spans="1:18" s="723" customFormat="1" ht="36.75" customHeight="1">
      <c r="A505" s="867">
        <v>75411</v>
      </c>
      <c r="B505" s="868" t="s">
        <v>971</v>
      </c>
      <c r="C505" s="834">
        <f>SUM(C506:C539)</f>
        <v>7559600</v>
      </c>
      <c r="D505" s="727">
        <f t="shared" si="48"/>
        <v>9086732</v>
      </c>
      <c r="E505" s="727">
        <f aca="true" t="shared" si="54" ref="E505:E539">SUM(H505+K505+N505+Q505)</f>
        <v>5870450</v>
      </c>
      <c r="F505" s="705">
        <f t="shared" si="49"/>
        <v>64.60463453747728</v>
      </c>
      <c r="G505" s="869"/>
      <c r="H505" s="662"/>
      <c r="I505" s="317"/>
      <c r="J505" s="662"/>
      <c r="K505" s="657"/>
      <c r="L505" s="663"/>
      <c r="M505" s="657">
        <f>SUM(M506:M539)</f>
        <v>1041000</v>
      </c>
      <c r="N505" s="657">
        <f>SUM(N506:N539)</f>
        <v>405324</v>
      </c>
      <c r="O505" s="665">
        <f t="shared" si="53"/>
        <v>38.93602305475504</v>
      </c>
      <c r="P505" s="726">
        <f>SUM(P506:P539)</f>
        <v>8045732</v>
      </c>
      <c r="Q505" s="657">
        <f>SUM(Q506:Q539)</f>
        <v>5465126</v>
      </c>
      <c r="R505" s="890">
        <f aca="true" t="shared" si="55" ref="R505:R537">Q505/P505*100</f>
        <v>67.92577729409828</v>
      </c>
    </row>
    <row r="506" spans="1:18" s="723" customFormat="1" ht="48">
      <c r="A506" s="829">
        <v>3070</v>
      </c>
      <c r="B506" s="735" t="s">
        <v>972</v>
      </c>
      <c r="C506" s="666">
        <v>326886</v>
      </c>
      <c r="D506" s="643">
        <f t="shared" si="48"/>
        <v>343998</v>
      </c>
      <c r="E506" s="667">
        <f t="shared" si="54"/>
        <v>340824</v>
      </c>
      <c r="F506" s="644">
        <f t="shared" si="49"/>
        <v>99.07732021697801</v>
      </c>
      <c r="G506" s="846"/>
      <c r="H506" s="847"/>
      <c r="I506" s="731"/>
      <c r="J506" s="961"/>
      <c r="K506" s="847"/>
      <c r="L506" s="751"/>
      <c r="M506" s="847"/>
      <c r="N506" s="848"/>
      <c r="O506" s="731"/>
      <c r="P506" s="666">
        <f>326886+17112</f>
        <v>343998</v>
      </c>
      <c r="Q506" s="667">
        <v>340824</v>
      </c>
      <c r="R506" s="492">
        <f t="shared" si="55"/>
        <v>99.07732021697801</v>
      </c>
    </row>
    <row r="507" spans="1:18" s="723" customFormat="1" ht="27.75" customHeight="1">
      <c r="A507" s="829">
        <v>4010</v>
      </c>
      <c r="B507" s="735" t="s">
        <v>973</v>
      </c>
      <c r="C507" s="666">
        <v>158054</v>
      </c>
      <c r="D507" s="643">
        <f t="shared" si="48"/>
        <v>119000</v>
      </c>
      <c r="E507" s="667">
        <f t="shared" si="54"/>
        <v>88928</v>
      </c>
      <c r="F507" s="644">
        <f t="shared" si="49"/>
        <v>74.72941176470587</v>
      </c>
      <c r="G507" s="846"/>
      <c r="H507" s="847"/>
      <c r="I507" s="731"/>
      <c r="J507" s="961"/>
      <c r="K507" s="847"/>
      <c r="L507" s="751"/>
      <c r="M507" s="847"/>
      <c r="N507" s="848"/>
      <c r="O507" s="731"/>
      <c r="P507" s="666">
        <f>158054+7586-46640</f>
        <v>119000</v>
      </c>
      <c r="Q507" s="667">
        <v>88928</v>
      </c>
      <c r="R507" s="492">
        <f t="shared" si="55"/>
        <v>74.72941176470587</v>
      </c>
    </row>
    <row r="508" spans="1:18" s="723" customFormat="1" ht="36">
      <c r="A508" s="829">
        <v>4020</v>
      </c>
      <c r="B508" s="735" t="s">
        <v>699</v>
      </c>
      <c r="C508" s="666">
        <v>131066</v>
      </c>
      <c r="D508" s="643">
        <f t="shared" si="48"/>
        <v>105614</v>
      </c>
      <c r="E508" s="667">
        <f t="shared" si="54"/>
        <v>100202</v>
      </c>
      <c r="F508" s="644">
        <f t="shared" si="49"/>
        <v>94.87567936069081</v>
      </c>
      <c r="G508" s="846"/>
      <c r="H508" s="847"/>
      <c r="I508" s="731"/>
      <c r="J508" s="962"/>
      <c r="K508" s="847"/>
      <c r="L508" s="751"/>
      <c r="M508" s="847"/>
      <c r="N508" s="848"/>
      <c r="O508" s="731"/>
      <c r="P508" s="666">
        <f>131066+6313-37379+2105+3509</f>
        <v>105614</v>
      </c>
      <c r="Q508" s="667">
        <v>100202</v>
      </c>
      <c r="R508" s="492">
        <f t="shared" si="55"/>
        <v>94.87567936069081</v>
      </c>
    </row>
    <row r="509" spans="1:18" s="723" customFormat="1" ht="24">
      <c r="A509" s="829">
        <v>4040</v>
      </c>
      <c r="B509" s="735" t="s">
        <v>701</v>
      </c>
      <c r="C509" s="666">
        <v>15852</v>
      </c>
      <c r="D509" s="643">
        <f t="shared" si="48"/>
        <v>16096</v>
      </c>
      <c r="E509" s="667">
        <f t="shared" si="54"/>
        <v>13380</v>
      </c>
      <c r="F509" s="644">
        <f t="shared" si="49"/>
        <v>83.12624254473161</v>
      </c>
      <c r="G509" s="846"/>
      <c r="H509" s="847"/>
      <c r="I509" s="731"/>
      <c r="J509" s="962"/>
      <c r="K509" s="847"/>
      <c r="L509" s="751"/>
      <c r="M509" s="847"/>
      <c r="N509" s="848"/>
      <c r="O509" s="731"/>
      <c r="P509" s="666">
        <f>15852+244</f>
        <v>16096</v>
      </c>
      <c r="Q509" s="667">
        <v>13380</v>
      </c>
      <c r="R509" s="492">
        <f t="shared" si="55"/>
        <v>83.12624254473161</v>
      </c>
    </row>
    <row r="510" spans="1:18" s="723" customFormat="1" ht="48">
      <c r="A510" s="829">
        <v>4050</v>
      </c>
      <c r="B510" s="735" t="s">
        <v>974</v>
      </c>
      <c r="C510" s="666">
        <v>4001321</v>
      </c>
      <c r="D510" s="643">
        <f t="shared" si="48"/>
        <v>4809210</v>
      </c>
      <c r="E510" s="667">
        <f t="shared" si="54"/>
        <v>3444590</v>
      </c>
      <c r="F510" s="644">
        <f t="shared" si="49"/>
        <v>71.62486146373313</v>
      </c>
      <c r="G510" s="846"/>
      <c r="H510" s="847"/>
      <c r="I510" s="731"/>
      <c r="J510" s="962"/>
      <c r="K510" s="847"/>
      <c r="L510" s="751"/>
      <c r="M510" s="847"/>
      <c r="N510" s="848"/>
      <c r="O510" s="731"/>
      <c r="P510" s="666">
        <f>4001321+807889</f>
        <v>4809210</v>
      </c>
      <c r="Q510" s="667">
        <v>3444590</v>
      </c>
      <c r="R510" s="492">
        <f t="shared" si="55"/>
        <v>71.62486146373313</v>
      </c>
    </row>
    <row r="511" spans="1:18" s="723" customFormat="1" ht="48">
      <c r="A511" s="874">
        <v>4060</v>
      </c>
      <c r="B511" s="780" t="s">
        <v>975</v>
      </c>
      <c r="C511" s="781">
        <v>326970</v>
      </c>
      <c r="D511" s="765">
        <f t="shared" si="48"/>
        <v>345147</v>
      </c>
      <c r="E511" s="785">
        <f t="shared" si="54"/>
        <v>266293</v>
      </c>
      <c r="F511" s="705">
        <f t="shared" si="49"/>
        <v>77.15350271043931</v>
      </c>
      <c r="G511" s="869"/>
      <c r="H511" s="871"/>
      <c r="I511" s="786"/>
      <c r="J511" s="963"/>
      <c r="K511" s="871"/>
      <c r="L511" s="873"/>
      <c r="M511" s="871"/>
      <c r="N511" s="872"/>
      <c r="O511" s="786"/>
      <c r="P511" s="781">
        <f>326970+18177</f>
        <v>345147</v>
      </c>
      <c r="Q511" s="785">
        <v>266293</v>
      </c>
      <c r="R511" s="766">
        <f t="shared" si="55"/>
        <v>77.15350271043931</v>
      </c>
    </row>
    <row r="512" spans="1:18" s="723" customFormat="1" ht="60">
      <c r="A512" s="829">
        <v>4070</v>
      </c>
      <c r="B512" s="735" t="s">
        <v>976</v>
      </c>
      <c r="C512" s="666">
        <v>333310</v>
      </c>
      <c r="D512" s="643">
        <f t="shared" si="48"/>
        <v>379607</v>
      </c>
      <c r="E512" s="667">
        <f t="shared" si="54"/>
        <v>326922</v>
      </c>
      <c r="F512" s="644">
        <f t="shared" si="49"/>
        <v>86.12117268648892</v>
      </c>
      <c r="G512" s="846"/>
      <c r="H512" s="847"/>
      <c r="I512" s="731"/>
      <c r="J512" s="961"/>
      <c r="K512" s="847"/>
      <c r="L512" s="751"/>
      <c r="M512" s="847"/>
      <c r="N512" s="848"/>
      <c r="O512" s="731"/>
      <c r="P512" s="666">
        <f>333310+67297-21000</f>
        <v>379607</v>
      </c>
      <c r="Q512" s="667">
        <v>326922</v>
      </c>
      <c r="R512" s="492">
        <f t="shared" si="55"/>
        <v>86.12117268648892</v>
      </c>
    </row>
    <row r="513" spans="1:18" s="723" customFormat="1" ht="60">
      <c r="A513" s="829">
        <v>4080</v>
      </c>
      <c r="B513" s="735" t="s">
        <v>977</v>
      </c>
      <c r="C513" s="666">
        <v>27855</v>
      </c>
      <c r="D513" s="643">
        <f t="shared" si="48"/>
        <v>71818</v>
      </c>
      <c r="E513" s="667">
        <f t="shared" si="54"/>
        <v>55332</v>
      </c>
      <c r="F513" s="644">
        <f t="shared" si="49"/>
        <v>77.04475201203041</v>
      </c>
      <c r="G513" s="846"/>
      <c r="H513" s="847"/>
      <c r="I513" s="731"/>
      <c r="J513" s="961"/>
      <c r="K513" s="847"/>
      <c r="L513" s="751"/>
      <c r="M513" s="847"/>
      <c r="N513" s="848"/>
      <c r="O513" s="731"/>
      <c r="P513" s="666">
        <f>27855+22963+21000</f>
        <v>71818</v>
      </c>
      <c r="Q513" s="667">
        <v>55332</v>
      </c>
      <c r="R513" s="492">
        <f t="shared" si="55"/>
        <v>77.04475201203041</v>
      </c>
    </row>
    <row r="514" spans="1:18" s="723" customFormat="1" ht="24">
      <c r="A514" s="829">
        <v>4110</v>
      </c>
      <c r="B514" s="735" t="s">
        <v>703</v>
      </c>
      <c r="C514" s="666">
        <v>56072</v>
      </c>
      <c r="D514" s="643">
        <f t="shared" si="48"/>
        <v>43427</v>
      </c>
      <c r="E514" s="667">
        <f t="shared" si="54"/>
        <v>38264</v>
      </c>
      <c r="F514" s="644">
        <f aca="true" t="shared" si="56" ref="F514:F521">E514/D514*100</f>
        <v>88.11108296681788</v>
      </c>
      <c r="G514" s="846"/>
      <c r="H514" s="847"/>
      <c r="I514" s="731"/>
      <c r="J514" s="962"/>
      <c r="K514" s="847"/>
      <c r="L514" s="751"/>
      <c r="M514" s="847"/>
      <c r="N514" s="848"/>
      <c r="O514" s="731"/>
      <c r="P514" s="666">
        <f>56072-13493+318+530</f>
        <v>43427</v>
      </c>
      <c r="Q514" s="667">
        <v>38264</v>
      </c>
      <c r="R514" s="492">
        <f t="shared" si="55"/>
        <v>88.11108296681788</v>
      </c>
    </row>
    <row r="515" spans="1:18" s="723" customFormat="1" ht="24">
      <c r="A515" s="829">
        <v>4120</v>
      </c>
      <c r="B515" s="735" t="s">
        <v>851</v>
      </c>
      <c r="C515" s="666">
        <v>6640</v>
      </c>
      <c r="D515" s="643">
        <f t="shared" si="48"/>
        <v>4720</v>
      </c>
      <c r="E515" s="667">
        <f t="shared" si="54"/>
        <v>4263</v>
      </c>
      <c r="F515" s="644">
        <f t="shared" si="56"/>
        <v>90.31779661016948</v>
      </c>
      <c r="G515" s="846"/>
      <c r="H515" s="847"/>
      <c r="I515" s="731"/>
      <c r="J515" s="961"/>
      <c r="K515" s="847"/>
      <c r="L515" s="751"/>
      <c r="M515" s="847"/>
      <c r="N515" s="848"/>
      <c r="O515" s="731"/>
      <c r="P515" s="666">
        <f>6640-2058+52+86</f>
        <v>4720</v>
      </c>
      <c r="Q515" s="667">
        <v>4263</v>
      </c>
      <c r="R515" s="492">
        <f t="shared" si="55"/>
        <v>90.31779661016948</v>
      </c>
    </row>
    <row r="516" spans="1:18" s="723" customFormat="1" ht="24">
      <c r="A516" s="829">
        <v>4170</v>
      </c>
      <c r="B516" s="735" t="s">
        <v>742</v>
      </c>
      <c r="C516" s="666">
        <v>3000</v>
      </c>
      <c r="D516" s="643">
        <f aca="true" t="shared" si="57" ref="D516:D553">G516+J516+P516+M516</f>
        <v>3000</v>
      </c>
      <c r="E516" s="667">
        <f t="shared" si="54"/>
        <v>2088</v>
      </c>
      <c r="F516" s="644">
        <f t="shared" si="56"/>
        <v>69.6</v>
      </c>
      <c r="G516" s="697"/>
      <c r="H516" s="643"/>
      <c r="I516" s="731"/>
      <c r="J516" s="961"/>
      <c r="K516" s="847"/>
      <c r="L516" s="751"/>
      <c r="M516" s="847"/>
      <c r="N516" s="848"/>
      <c r="O516" s="731"/>
      <c r="P516" s="666">
        <v>3000</v>
      </c>
      <c r="Q516" s="667">
        <v>2088</v>
      </c>
      <c r="R516" s="492">
        <f t="shared" si="55"/>
        <v>69.6</v>
      </c>
    </row>
    <row r="517" spans="1:18" s="723" customFormat="1" ht="48">
      <c r="A517" s="829">
        <v>4180</v>
      </c>
      <c r="B517" s="735" t="s">
        <v>978</v>
      </c>
      <c r="C517" s="666">
        <v>230246</v>
      </c>
      <c r="D517" s="643">
        <f t="shared" si="57"/>
        <v>230246</v>
      </c>
      <c r="E517" s="667">
        <f t="shared" si="54"/>
        <v>219150</v>
      </c>
      <c r="F517" s="644">
        <f t="shared" si="56"/>
        <v>95.18080661553296</v>
      </c>
      <c r="G517" s="697"/>
      <c r="H517" s="643"/>
      <c r="I517" s="731"/>
      <c r="J517" s="961"/>
      <c r="K517" s="847"/>
      <c r="L517" s="751"/>
      <c r="M517" s="847"/>
      <c r="N517" s="848"/>
      <c r="O517" s="731"/>
      <c r="P517" s="666">
        <v>230246</v>
      </c>
      <c r="Q517" s="667">
        <v>219150</v>
      </c>
      <c r="R517" s="492">
        <f t="shared" si="55"/>
        <v>95.18080661553296</v>
      </c>
    </row>
    <row r="518" spans="1:18" s="723" customFormat="1" ht="24">
      <c r="A518" s="728">
        <v>4210</v>
      </c>
      <c r="B518" s="735" t="s">
        <v>707</v>
      </c>
      <c r="C518" s="666">
        <v>210000</v>
      </c>
      <c r="D518" s="643">
        <f>G518+J518+P518+M518</f>
        <v>295081</v>
      </c>
      <c r="E518" s="667">
        <f t="shared" si="54"/>
        <v>226133</v>
      </c>
      <c r="F518" s="644">
        <f t="shared" si="56"/>
        <v>76.63421230102921</v>
      </c>
      <c r="G518" s="697"/>
      <c r="H518" s="643"/>
      <c r="I518" s="731"/>
      <c r="J518" s="961"/>
      <c r="K518" s="847"/>
      <c r="L518" s="751"/>
      <c r="M518" s="643">
        <f>30000+20000-3745</f>
        <v>46255</v>
      </c>
      <c r="N518" s="648">
        <v>46255</v>
      </c>
      <c r="O518" s="492">
        <f>N518/M518*100</f>
        <v>100</v>
      </c>
      <c r="P518" s="666">
        <f>180000+68826</f>
        <v>248826</v>
      </c>
      <c r="Q518" s="667">
        <v>179878</v>
      </c>
      <c r="R518" s="492">
        <f t="shared" si="55"/>
        <v>72.29067701928254</v>
      </c>
    </row>
    <row r="519" spans="1:18" s="723" customFormat="1" ht="24" hidden="1">
      <c r="A519" s="728">
        <v>4250</v>
      </c>
      <c r="B519" s="735" t="s">
        <v>979</v>
      </c>
      <c r="C519" s="666"/>
      <c r="D519" s="643">
        <f t="shared" si="57"/>
        <v>0</v>
      </c>
      <c r="E519" s="667">
        <f t="shared" si="54"/>
        <v>0</v>
      </c>
      <c r="F519" s="644" t="e">
        <f t="shared" si="56"/>
        <v>#DIV/0!</v>
      </c>
      <c r="G519" s="697"/>
      <c r="H519" s="643"/>
      <c r="I519" s="731" t="e">
        <f>H519/G519*100</f>
        <v>#DIV/0!</v>
      </c>
      <c r="J519" s="961"/>
      <c r="K519" s="847"/>
      <c r="L519" s="751"/>
      <c r="M519" s="643"/>
      <c r="N519" s="648"/>
      <c r="O519" s="492" t="e">
        <f aca="true" t="shared" si="58" ref="O519:O524">N519/M519*100</f>
        <v>#DIV/0!</v>
      </c>
      <c r="P519" s="666"/>
      <c r="Q519" s="667"/>
      <c r="R519" s="492" t="e">
        <f t="shared" si="55"/>
        <v>#DIV/0!</v>
      </c>
    </row>
    <row r="520" spans="1:18" s="723" customFormat="1" ht="24" hidden="1">
      <c r="A520" s="728">
        <v>4220</v>
      </c>
      <c r="B520" s="735" t="s">
        <v>980</v>
      </c>
      <c r="C520" s="666"/>
      <c r="D520" s="643">
        <f t="shared" si="57"/>
        <v>0</v>
      </c>
      <c r="E520" s="667">
        <f t="shared" si="54"/>
        <v>0</v>
      </c>
      <c r="F520" s="644" t="e">
        <f t="shared" si="56"/>
        <v>#DIV/0!</v>
      </c>
      <c r="G520" s="697"/>
      <c r="H520" s="643"/>
      <c r="I520" s="731"/>
      <c r="J520" s="961"/>
      <c r="K520" s="847"/>
      <c r="L520" s="751"/>
      <c r="M520" s="643"/>
      <c r="N520" s="648"/>
      <c r="O520" s="492" t="e">
        <f t="shared" si="58"/>
        <v>#DIV/0!</v>
      </c>
      <c r="P520" s="666"/>
      <c r="Q520" s="667"/>
      <c r="R520" s="492" t="e">
        <f t="shared" si="55"/>
        <v>#DIV/0!</v>
      </c>
    </row>
    <row r="521" spans="1:18" s="723" customFormat="1" ht="19.5" customHeight="1" hidden="1">
      <c r="A521" s="728">
        <v>4230</v>
      </c>
      <c r="B521" s="735" t="s">
        <v>709</v>
      </c>
      <c r="C521" s="666"/>
      <c r="D521" s="643">
        <f t="shared" si="57"/>
        <v>0</v>
      </c>
      <c r="E521" s="667">
        <f t="shared" si="54"/>
        <v>0</v>
      </c>
      <c r="F521" s="644" t="e">
        <f t="shared" si="56"/>
        <v>#DIV/0!</v>
      </c>
      <c r="G521" s="697"/>
      <c r="H521" s="643"/>
      <c r="I521" s="731"/>
      <c r="J521" s="961"/>
      <c r="K521" s="847"/>
      <c r="L521" s="751"/>
      <c r="M521" s="643"/>
      <c r="N521" s="648"/>
      <c r="O521" s="492" t="e">
        <f t="shared" si="58"/>
        <v>#DIV/0!</v>
      </c>
      <c r="P521" s="666"/>
      <c r="Q521" s="667"/>
      <c r="R521" s="492" t="e">
        <f t="shared" si="55"/>
        <v>#DIV/0!</v>
      </c>
    </row>
    <row r="522" spans="1:18" s="723" customFormat="1" ht="24" hidden="1">
      <c r="A522" s="728">
        <v>4250</v>
      </c>
      <c r="B522" s="735" t="s">
        <v>981</v>
      </c>
      <c r="C522" s="666"/>
      <c r="D522" s="643">
        <f t="shared" si="57"/>
        <v>0</v>
      </c>
      <c r="E522" s="667">
        <f t="shared" si="54"/>
        <v>0</v>
      </c>
      <c r="F522" s="644"/>
      <c r="G522" s="697"/>
      <c r="H522" s="643"/>
      <c r="I522" s="731"/>
      <c r="J522" s="961"/>
      <c r="K522" s="847"/>
      <c r="L522" s="751"/>
      <c r="M522" s="643"/>
      <c r="N522" s="648"/>
      <c r="O522" s="492" t="e">
        <f t="shared" si="58"/>
        <v>#DIV/0!</v>
      </c>
      <c r="P522" s="666"/>
      <c r="Q522" s="667"/>
      <c r="R522" s="492" t="e">
        <f t="shared" si="55"/>
        <v>#DIV/0!</v>
      </c>
    </row>
    <row r="523" spans="1:18" s="723" customFormat="1" ht="12.75">
      <c r="A523" s="728">
        <v>4260</v>
      </c>
      <c r="B523" s="735" t="s">
        <v>711</v>
      </c>
      <c r="C523" s="666">
        <v>190000</v>
      </c>
      <c r="D523" s="643">
        <f t="shared" si="57"/>
        <v>260000</v>
      </c>
      <c r="E523" s="667">
        <f t="shared" si="54"/>
        <v>167903</v>
      </c>
      <c r="F523" s="644">
        <f aca="true" t="shared" si="59" ref="F523:F534">E523/D523*100</f>
        <v>64.57807692307692</v>
      </c>
      <c r="G523" s="697"/>
      <c r="H523" s="643"/>
      <c r="I523" s="731"/>
      <c r="J523" s="962"/>
      <c r="K523" s="847"/>
      <c r="L523" s="751"/>
      <c r="M523" s="643"/>
      <c r="N523" s="648"/>
      <c r="O523" s="492"/>
      <c r="P523" s="666">
        <f>190000+20000+50000</f>
        <v>260000</v>
      </c>
      <c r="Q523" s="667">
        <v>167903</v>
      </c>
      <c r="R523" s="492">
        <f t="shared" si="55"/>
        <v>64.57807692307692</v>
      </c>
    </row>
    <row r="524" spans="1:18" s="723" customFormat="1" ht="24">
      <c r="A524" s="728">
        <v>4270</v>
      </c>
      <c r="B524" s="735" t="s">
        <v>713</v>
      </c>
      <c r="C524" s="666">
        <v>30000</v>
      </c>
      <c r="D524" s="643">
        <f t="shared" si="57"/>
        <v>104000</v>
      </c>
      <c r="E524" s="667">
        <f t="shared" si="54"/>
        <v>35583</v>
      </c>
      <c r="F524" s="644">
        <f t="shared" si="59"/>
        <v>34.214423076923076</v>
      </c>
      <c r="G524" s="697"/>
      <c r="H524" s="643"/>
      <c r="I524" s="731"/>
      <c r="J524" s="962"/>
      <c r="K524" s="847"/>
      <c r="L524" s="751"/>
      <c r="M524" s="643">
        <v>24000</v>
      </c>
      <c r="N524" s="648"/>
      <c r="O524" s="492">
        <f t="shared" si="58"/>
        <v>0</v>
      </c>
      <c r="P524" s="666">
        <f>30000+5000+45000</f>
        <v>80000</v>
      </c>
      <c r="Q524" s="667">
        <v>35583</v>
      </c>
      <c r="R524" s="492">
        <f t="shared" si="55"/>
        <v>44.47875</v>
      </c>
    </row>
    <row r="525" spans="1:18" s="723" customFormat="1" ht="24">
      <c r="A525" s="728">
        <v>4280</v>
      </c>
      <c r="B525" s="735" t="s">
        <v>805</v>
      </c>
      <c r="C525" s="666">
        <v>20000</v>
      </c>
      <c r="D525" s="643">
        <f t="shared" si="57"/>
        <v>20000</v>
      </c>
      <c r="E525" s="667">
        <f t="shared" si="54"/>
        <v>13511</v>
      </c>
      <c r="F525" s="644">
        <f t="shared" si="59"/>
        <v>67.55499999999999</v>
      </c>
      <c r="G525" s="697"/>
      <c r="H525" s="643"/>
      <c r="I525" s="731"/>
      <c r="J525" s="962"/>
      <c r="K525" s="847"/>
      <c r="L525" s="751"/>
      <c r="M525" s="643"/>
      <c r="N525" s="648"/>
      <c r="O525" s="647"/>
      <c r="P525" s="666">
        <v>20000</v>
      </c>
      <c r="Q525" s="667">
        <v>13511</v>
      </c>
      <c r="R525" s="492">
        <f t="shared" si="55"/>
        <v>67.55499999999999</v>
      </c>
    </row>
    <row r="526" spans="1:18" s="723" customFormat="1" ht="24">
      <c r="A526" s="728">
        <v>4300</v>
      </c>
      <c r="B526" s="735" t="s">
        <v>715</v>
      </c>
      <c r="C526" s="666">
        <v>141514</v>
      </c>
      <c r="D526" s="643">
        <f t="shared" si="57"/>
        <v>121514</v>
      </c>
      <c r="E526" s="667">
        <f t="shared" si="54"/>
        <v>95054</v>
      </c>
      <c r="F526" s="644">
        <f t="shared" si="59"/>
        <v>78.22473130668072</v>
      </c>
      <c r="G526" s="697"/>
      <c r="H526" s="643"/>
      <c r="I526" s="731"/>
      <c r="J526" s="962"/>
      <c r="K526" s="847"/>
      <c r="L526" s="751"/>
      <c r="M526" s="643"/>
      <c r="N526" s="648"/>
      <c r="O526" s="492"/>
      <c r="P526" s="666">
        <v>121514</v>
      </c>
      <c r="Q526" s="667">
        <v>95054</v>
      </c>
      <c r="R526" s="492">
        <f t="shared" si="55"/>
        <v>78.22473130668072</v>
      </c>
    </row>
    <row r="527" spans="1:18" s="723" customFormat="1" ht="24">
      <c r="A527" s="728">
        <v>4350</v>
      </c>
      <c r="B527" s="735" t="s">
        <v>807</v>
      </c>
      <c r="C527" s="666">
        <v>500</v>
      </c>
      <c r="D527" s="643">
        <f t="shared" si="57"/>
        <v>500</v>
      </c>
      <c r="E527" s="667">
        <f t="shared" si="54"/>
        <v>429</v>
      </c>
      <c r="F527" s="644">
        <f t="shared" si="59"/>
        <v>85.8</v>
      </c>
      <c r="G527" s="697"/>
      <c r="H527" s="643"/>
      <c r="I527" s="731"/>
      <c r="J527" s="962"/>
      <c r="K527" s="847"/>
      <c r="L527" s="751"/>
      <c r="M527" s="643"/>
      <c r="N527" s="648"/>
      <c r="O527" s="647"/>
      <c r="P527" s="666">
        <v>500</v>
      </c>
      <c r="Q527" s="667">
        <v>429</v>
      </c>
      <c r="R527" s="492">
        <f t="shared" si="55"/>
        <v>85.8</v>
      </c>
    </row>
    <row r="528" spans="1:18" s="723" customFormat="1" ht="48">
      <c r="A528" s="829">
        <v>4360</v>
      </c>
      <c r="B528" s="850" t="s">
        <v>982</v>
      </c>
      <c r="C528" s="666">
        <v>8000</v>
      </c>
      <c r="D528" s="643">
        <f t="shared" si="57"/>
        <v>8000</v>
      </c>
      <c r="E528" s="667">
        <f t="shared" si="54"/>
        <v>3306</v>
      </c>
      <c r="F528" s="644">
        <f t="shared" si="59"/>
        <v>41.325</v>
      </c>
      <c r="G528" s="697"/>
      <c r="H528" s="643"/>
      <c r="I528" s="731"/>
      <c r="J528" s="962"/>
      <c r="K528" s="847"/>
      <c r="L528" s="751"/>
      <c r="M528" s="847"/>
      <c r="N528" s="848"/>
      <c r="O528" s="647"/>
      <c r="P528" s="666">
        <v>8000</v>
      </c>
      <c r="Q528" s="667">
        <v>3306</v>
      </c>
      <c r="R528" s="492">
        <f t="shared" si="55"/>
        <v>41.325</v>
      </c>
    </row>
    <row r="529" spans="1:18" s="723" customFormat="1" ht="48">
      <c r="A529" s="829">
        <v>4370</v>
      </c>
      <c r="B529" s="850" t="s">
        <v>916</v>
      </c>
      <c r="C529" s="666">
        <v>22000</v>
      </c>
      <c r="D529" s="643">
        <f t="shared" si="57"/>
        <v>22000</v>
      </c>
      <c r="E529" s="667">
        <f t="shared" si="54"/>
        <v>18403</v>
      </c>
      <c r="F529" s="644">
        <f t="shared" si="59"/>
        <v>83.65</v>
      </c>
      <c r="G529" s="697"/>
      <c r="H529" s="643"/>
      <c r="I529" s="731"/>
      <c r="J529" s="962"/>
      <c r="K529" s="847"/>
      <c r="L529" s="751"/>
      <c r="M529" s="847"/>
      <c r="N529" s="848"/>
      <c r="O529" s="647"/>
      <c r="P529" s="666">
        <v>22000</v>
      </c>
      <c r="Q529" s="667">
        <v>18403</v>
      </c>
      <c r="R529" s="492">
        <f t="shared" si="55"/>
        <v>83.65</v>
      </c>
    </row>
    <row r="530" spans="1:18" s="723" customFormat="1" ht="21" customHeight="1">
      <c r="A530" s="728">
        <v>4410</v>
      </c>
      <c r="B530" s="735" t="s">
        <v>689</v>
      </c>
      <c r="C530" s="666">
        <v>11000</v>
      </c>
      <c r="D530" s="643">
        <f t="shared" si="57"/>
        <v>11000</v>
      </c>
      <c r="E530" s="667">
        <f t="shared" si="54"/>
        <v>6083</v>
      </c>
      <c r="F530" s="644">
        <f t="shared" si="59"/>
        <v>55.300000000000004</v>
      </c>
      <c r="G530" s="697"/>
      <c r="H530" s="643"/>
      <c r="I530" s="731"/>
      <c r="J530" s="962"/>
      <c r="K530" s="847"/>
      <c r="L530" s="751"/>
      <c r="M530" s="847"/>
      <c r="N530" s="848"/>
      <c r="O530" s="647"/>
      <c r="P530" s="666">
        <v>11000</v>
      </c>
      <c r="Q530" s="667">
        <v>6083</v>
      </c>
      <c r="R530" s="492">
        <f t="shared" si="55"/>
        <v>55.300000000000004</v>
      </c>
    </row>
    <row r="531" spans="1:18" s="723" customFormat="1" ht="11.25" customHeight="1">
      <c r="A531" s="762">
        <v>4430</v>
      </c>
      <c r="B531" s="780" t="s">
        <v>717</v>
      </c>
      <c r="C531" s="781">
        <v>500</v>
      </c>
      <c r="D531" s="765">
        <f t="shared" si="57"/>
        <v>500</v>
      </c>
      <c r="E531" s="785">
        <f t="shared" si="54"/>
        <v>54</v>
      </c>
      <c r="F531" s="705">
        <f t="shared" si="59"/>
        <v>10.8</v>
      </c>
      <c r="G531" s="764"/>
      <c r="H531" s="765"/>
      <c r="I531" s="786"/>
      <c r="J531" s="963"/>
      <c r="K531" s="871"/>
      <c r="L531" s="873"/>
      <c r="M531" s="871"/>
      <c r="N531" s="872"/>
      <c r="O531" s="707"/>
      <c r="P531" s="781">
        <v>500</v>
      </c>
      <c r="Q531" s="785">
        <f>53+1</f>
        <v>54</v>
      </c>
      <c r="R531" s="766">
        <f t="shared" si="55"/>
        <v>10.8</v>
      </c>
    </row>
    <row r="532" spans="1:18" s="723" customFormat="1" ht="11.25" customHeight="1">
      <c r="A532" s="728">
        <v>4440</v>
      </c>
      <c r="B532" s="735" t="s">
        <v>983</v>
      </c>
      <c r="C532" s="666">
        <v>4939</v>
      </c>
      <c r="D532" s="643">
        <f t="shared" si="57"/>
        <v>5440</v>
      </c>
      <c r="E532" s="667">
        <f t="shared" si="54"/>
        <v>5440</v>
      </c>
      <c r="F532" s="644">
        <f t="shared" si="59"/>
        <v>100</v>
      </c>
      <c r="G532" s="697"/>
      <c r="H532" s="643"/>
      <c r="I532" s="731"/>
      <c r="J532" s="961"/>
      <c r="K532" s="847"/>
      <c r="L532" s="751"/>
      <c r="M532" s="847"/>
      <c r="N532" s="848"/>
      <c r="O532" s="647"/>
      <c r="P532" s="666">
        <f>4939+501</f>
        <v>5440</v>
      </c>
      <c r="Q532" s="964">
        <v>5440</v>
      </c>
      <c r="R532" s="492">
        <f t="shared" si="55"/>
        <v>100</v>
      </c>
    </row>
    <row r="533" spans="1:18" s="723" customFormat="1" ht="48">
      <c r="A533" s="728">
        <v>4500</v>
      </c>
      <c r="B533" s="735" t="s">
        <v>835</v>
      </c>
      <c r="C533" s="666">
        <v>39642</v>
      </c>
      <c r="D533" s="643">
        <f t="shared" si="57"/>
        <v>39642</v>
      </c>
      <c r="E533" s="667">
        <f>SUM(H533+K533+N533+Q533)</f>
        <v>28294</v>
      </c>
      <c r="F533" s="644">
        <f t="shared" si="59"/>
        <v>71.3737954694516</v>
      </c>
      <c r="G533" s="697"/>
      <c r="H533" s="643"/>
      <c r="I533" s="731"/>
      <c r="J533" s="961"/>
      <c r="K533" s="847"/>
      <c r="L533" s="751"/>
      <c r="M533" s="847"/>
      <c r="N533" s="848"/>
      <c r="O533" s="647"/>
      <c r="P533" s="666">
        <v>39642</v>
      </c>
      <c r="Q533" s="964">
        <v>28294</v>
      </c>
      <c r="R533" s="492">
        <f t="shared" si="55"/>
        <v>71.3737954694516</v>
      </c>
    </row>
    <row r="534" spans="1:18" s="723" customFormat="1" ht="24">
      <c r="A534" s="728">
        <v>4510</v>
      </c>
      <c r="B534" s="818" t="s">
        <v>984</v>
      </c>
      <c r="C534" s="666">
        <v>1233</v>
      </c>
      <c r="D534" s="643">
        <f t="shared" si="57"/>
        <v>1233</v>
      </c>
      <c r="E534" s="667">
        <f t="shared" si="54"/>
        <v>1233</v>
      </c>
      <c r="F534" s="644">
        <f t="shared" si="59"/>
        <v>100</v>
      </c>
      <c r="G534" s="697"/>
      <c r="H534" s="643"/>
      <c r="I534" s="731"/>
      <c r="J534" s="961"/>
      <c r="K534" s="847"/>
      <c r="L534" s="751"/>
      <c r="M534" s="643"/>
      <c r="N534" s="648"/>
      <c r="O534" s="647"/>
      <c r="P534" s="666">
        <v>1233</v>
      </c>
      <c r="Q534" s="964">
        <v>1233</v>
      </c>
      <c r="R534" s="492">
        <f t="shared" si="55"/>
        <v>100</v>
      </c>
    </row>
    <row r="535" spans="1:18" s="723" customFormat="1" ht="60">
      <c r="A535" s="829">
        <v>4740</v>
      </c>
      <c r="B535" s="850" t="s">
        <v>728</v>
      </c>
      <c r="C535" s="666">
        <v>3000</v>
      </c>
      <c r="D535" s="643">
        <f t="shared" si="57"/>
        <v>3000</v>
      </c>
      <c r="E535" s="667">
        <f>SUM(H535+K535+N535+Q535)</f>
        <v>162</v>
      </c>
      <c r="F535" s="644">
        <f>E535/D535*100</f>
        <v>5.4</v>
      </c>
      <c r="G535" s="697"/>
      <c r="H535" s="643"/>
      <c r="I535" s="731"/>
      <c r="J535" s="961"/>
      <c r="K535" s="847"/>
      <c r="L535" s="751"/>
      <c r="M535" s="643"/>
      <c r="N535" s="648"/>
      <c r="O535" s="647"/>
      <c r="P535" s="666">
        <v>3000</v>
      </c>
      <c r="Q535" s="964">
        <v>162</v>
      </c>
      <c r="R535" s="492">
        <f t="shared" si="55"/>
        <v>5.4</v>
      </c>
    </row>
    <row r="536" spans="1:18" s="723" customFormat="1" ht="34.5" customHeight="1">
      <c r="A536" s="829">
        <v>4750</v>
      </c>
      <c r="B536" s="850" t="s">
        <v>814</v>
      </c>
      <c r="C536" s="666">
        <v>10000</v>
      </c>
      <c r="D536" s="643">
        <f t="shared" si="57"/>
        <v>10000</v>
      </c>
      <c r="E536" s="667">
        <f t="shared" si="54"/>
        <v>9265</v>
      </c>
      <c r="F536" s="644">
        <f>E536/D536*100</f>
        <v>92.65</v>
      </c>
      <c r="G536" s="697"/>
      <c r="H536" s="643"/>
      <c r="I536" s="731"/>
      <c r="J536" s="961"/>
      <c r="K536" s="847"/>
      <c r="L536" s="751"/>
      <c r="M536" s="847"/>
      <c r="N536" s="648"/>
      <c r="O536" s="647"/>
      <c r="P536" s="666">
        <v>10000</v>
      </c>
      <c r="Q536" s="964">
        <v>9265</v>
      </c>
      <c r="R536" s="492">
        <f t="shared" si="55"/>
        <v>92.65</v>
      </c>
    </row>
    <row r="537" spans="1:18" s="723" customFormat="1" ht="24">
      <c r="A537" s="728">
        <v>6050</v>
      </c>
      <c r="B537" s="735" t="s">
        <v>739</v>
      </c>
      <c r="C537" s="666">
        <v>650000</v>
      </c>
      <c r="D537" s="643">
        <f t="shared" si="57"/>
        <v>1142194</v>
      </c>
      <c r="E537" s="667">
        <f t="shared" si="54"/>
        <v>55616</v>
      </c>
      <c r="F537" s="644">
        <f>E537/D537*100</f>
        <v>4.869225368019793</v>
      </c>
      <c r="G537" s="846"/>
      <c r="H537" s="847"/>
      <c r="I537" s="731"/>
      <c r="J537" s="961"/>
      <c r="K537" s="847"/>
      <c r="L537" s="751"/>
      <c r="M537" s="643">
        <v>400000</v>
      </c>
      <c r="N537" s="648">
        <v>55324</v>
      </c>
      <c r="O537" s="492">
        <f>N537/M537*100</f>
        <v>13.831</v>
      </c>
      <c r="P537" s="666">
        <f>650000+92194</f>
        <v>742194</v>
      </c>
      <c r="Q537" s="964">
        <v>292</v>
      </c>
      <c r="R537" s="492">
        <f t="shared" si="55"/>
        <v>0.03934281333451901</v>
      </c>
    </row>
    <row r="538" spans="1:18" s="723" customFormat="1" ht="96">
      <c r="A538" s="728">
        <v>6220</v>
      </c>
      <c r="B538" s="735" t="s">
        <v>985</v>
      </c>
      <c r="C538" s="666"/>
      <c r="D538" s="643">
        <f>G538+J538+P538+M538</f>
        <v>567000</v>
      </c>
      <c r="E538" s="667">
        <f>SUM(H538+K538+N538+Q538)</f>
        <v>300000</v>
      </c>
      <c r="F538" s="644">
        <f>E538/D538*100</f>
        <v>52.910052910052904</v>
      </c>
      <c r="G538" s="846"/>
      <c r="H538" s="847"/>
      <c r="I538" s="731"/>
      <c r="J538" s="961"/>
      <c r="K538" s="847"/>
      <c r="L538" s="751"/>
      <c r="M538" s="643">
        <f>1300000-700000-33000</f>
        <v>567000</v>
      </c>
      <c r="N538" s="648">
        <v>300000</v>
      </c>
      <c r="O538" s="492">
        <f>N538/M538*100</f>
        <v>52.910052910052904</v>
      </c>
      <c r="P538" s="666"/>
      <c r="Q538" s="964"/>
      <c r="R538" s="492"/>
    </row>
    <row r="539" spans="1:18" s="723" customFormat="1" ht="22.5" customHeight="1">
      <c r="A539" s="762">
        <v>6060</v>
      </c>
      <c r="B539" s="965" t="s">
        <v>815</v>
      </c>
      <c r="C539" s="781">
        <v>600000</v>
      </c>
      <c r="D539" s="765">
        <f t="shared" si="57"/>
        <v>3745</v>
      </c>
      <c r="E539" s="785">
        <f t="shared" si="54"/>
        <v>3745</v>
      </c>
      <c r="F539" s="705"/>
      <c r="G539" s="869"/>
      <c r="H539" s="871"/>
      <c r="I539" s="786"/>
      <c r="J539" s="963"/>
      <c r="K539" s="871"/>
      <c r="L539" s="873"/>
      <c r="M539" s="765">
        <f>600000+100000-600000-100000+3745</f>
        <v>3745</v>
      </c>
      <c r="N539" s="767">
        <v>3745</v>
      </c>
      <c r="O539" s="492">
        <f>N539/M539*100</f>
        <v>100</v>
      </c>
      <c r="P539" s="764"/>
      <c r="Q539" s="785"/>
      <c r="R539" s="647"/>
    </row>
    <row r="540" spans="1:18" ht="24" customHeight="1">
      <c r="A540" s="724">
        <v>75412</v>
      </c>
      <c r="B540" s="854" t="s">
        <v>986</v>
      </c>
      <c r="C540" s="726">
        <f>SUM(C541)</f>
        <v>10000</v>
      </c>
      <c r="D540" s="674">
        <f t="shared" si="57"/>
        <v>22000</v>
      </c>
      <c r="E540" s="657">
        <f>SUM(E541)</f>
        <v>22000</v>
      </c>
      <c r="F540" s="658">
        <f aca="true" t="shared" si="60" ref="F540:F603">E540/D540*100</f>
        <v>100</v>
      </c>
      <c r="G540" s="726">
        <f>SUM(G541)</f>
        <v>22000</v>
      </c>
      <c r="H540" s="674">
        <f>SUM(H541)</f>
        <v>22000</v>
      </c>
      <c r="I540" s="890">
        <f aca="true" t="shared" si="61" ref="I540:I603">H540/G540*100</f>
        <v>100</v>
      </c>
      <c r="J540" s="662"/>
      <c r="K540" s="657"/>
      <c r="L540" s="663"/>
      <c r="M540" s="894"/>
      <c r="N540" s="657"/>
      <c r="O540" s="317"/>
      <c r="P540" s="726"/>
      <c r="Q540" s="657"/>
      <c r="R540" s="842"/>
    </row>
    <row r="541" spans="1:18" ht="48.75" customHeight="1">
      <c r="A541" s="762">
        <v>2820</v>
      </c>
      <c r="B541" s="780" t="s">
        <v>987</v>
      </c>
      <c r="C541" s="666">
        <v>10000</v>
      </c>
      <c r="D541" s="643">
        <f t="shared" si="57"/>
        <v>22000</v>
      </c>
      <c r="E541" s="667">
        <f>SUM(H541+K541+N541+Q541)</f>
        <v>22000</v>
      </c>
      <c r="F541" s="644">
        <f t="shared" si="60"/>
        <v>100</v>
      </c>
      <c r="G541" s="966">
        <f>10000+12000</f>
        <v>22000</v>
      </c>
      <c r="H541" s="783">
        <v>22000</v>
      </c>
      <c r="I541" s="492">
        <f t="shared" si="61"/>
        <v>100</v>
      </c>
      <c r="J541" s="967"/>
      <c r="K541" s="783"/>
      <c r="L541" s="707"/>
      <c r="M541" s="783"/>
      <c r="N541" s="783"/>
      <c r="O541" s="968"/>
      <c r="P541" s="966"/>
      <c r="Q541" s="783"/>
      <c r="R541" s="969"/>
    </row>
    <row r="542" spans="1:18" ht="12.75" customHeight="1">
      <c r="A542" s="724">
        <v>75414</v>
      </c>
      <c r="B542" s="854" t="s">
        <v>415</v>
      </c>
      <c r="C542" s="726">
        <f>SUM(C543:C548)</f>
        <v>49000</v>
      </c>
      <c r="D542" s="674">
        <f t="shared" si="57"/>
        <v>49000</v>
      </c>
      <c r="E542" s="674">
        <f>H542+K542+Q542+N542</f>
        <v>20258</v>
      </c>
      <c r="F542" s="658">
        <f t="shared" si="60"/>
        <v>41.34285714285714</v>
      </c>
      <c r="G542" s="726">
        <f>SUM(G543:G548)</f>
        <v>41000</v>
      </c>
      <c r="H542" s="657">
        <f>SUM(H543:H548)</f>
        <v>15679</v>
      </c>
      <c r="I542" s="890">
        <f t="shared" si="61"/>
        <v>38.24146341463415</v>
      </c>
      <c r="J542" s="657">
        <f>SUM(J546:J548)</f>
        <v>8000</v>
      </c>
      <c r="K542" s="657">
        <f>SUM(K546:K548)</f>
        <v>4579</v>
      </c>
      <c r="L542" s="890">
        <f>K542/J542*100</f>
        <v>57.2375</v>
      </c>
      <c r="M542" s="657"/>
      <c r="N542" s="657"/>
      <c r="O542" s="317"/>
      <c r="P542" s="726"/>
      <c r="Q542" s="657"/>
      <c r="R542" s="842"/>
    </row>
    <row r="543" spans="1:18" ht="36" hidden="1">
      <c r="A543" s="728">
        <v>3020</v>
      </c>
      <c r="B543" s="735" t="s">
        <v>934</v>
      </c>
      <c r="C543" s="666">
        <v>0</v>
      </c>
      <c r="D543" s="643">
        <f t="shared" si="57"/>
        <v>0</v>
      </c>
      <c r="E543" s="667">
        <f aca="true" t="shared" si="62" ref="E543:E553">SUM(H543+K543+N543+Q543)</f>
        <v>0</v>
      </c>
      <c r="F543" s="644" t="e">
        <f t="shared" si="60"/>
        <v>#DIV/0!</v>
      </c>
      <c r="G543" s="666">
        <v>0</v>
      </c>
      <c r="H543" s="667"/>
      <c r="I543" s="492" t="e">
        <f t="shared" si="61"/>
        <v>#DIV/0!</v>
      </c>
      <c r="J543" s="730"/>
      <c r="K543" s="733"/>
      <c r="L543" s="890"/>
      <c r="M543" s="667"/>
      <c r="N543" s="667"/>
      <c r="O543" s="731"/>
      <c r="P543" s="666"/>
      <c r="Q543" s="667"/>
      <c r="R543" s="737"/>
    </row>
    <row r="544" spans="1:18" ht="24" hidden="1">
      <c r="A544" s="728">
        <v>4110</v>
      </c>
      <c r="B544" s="735" t="s">
        <v>703</v>
      </c>
      <c r="C544" s="666">
        <v>0</v>
      </c>
      <c r="D544" s="643">
        <f t="shared" si="57"/>
        <v>0</v>
      </c>
      <c r="E544" s="667">
        <f t="shared" si="62"/>
        <v>0</v>
      </c>
      <c r="F544" s="644" t="e">
        <f t="shared" si="60"/>
        <v>#DIV/0!</v>
      </c>
      <c r="G544" s="666">
        <v>0</v>
      </c>
      <c r="H544" s="667"/>
      <c r="I544" s="492" t="e">
        <f t="shared" si="61"/>
        <v>#DIV/0!</v>
      </c>
      <c r="J544" s="730"/>
      <c r="K544" s="733"/>
      <c r="L544" s="890"/>
      <c r="M544" s="667"/>
      <c r="N544" s="667"/>
      <c r="O544" s="731"/>
      <c r="P544" s="666"/>
      <c r="Q544" s="667"/>
      <c r="R544" s="737"/>
    </row>
    <row r="545" spans="1:18" ht="60" hidden="1">
      <c r="A545" s="728">
        <v>6060</v>
      </c>
      <c r="B545" s="735" t="s">
        <v>988</v>
      </c>
      <c r="C545" s="666"/>
      <c r="D545" s="643">
        <f t="shared" si="57"/>
        <v>0</v>
      </c>
      <c r="E545" s="667">
        <f t="shared" si="62"/>
        <v>0</v>
      </c>
      <c r="F545" s="644" t="e">
        <f t="shared" si="60"/>
        <v>#DIV/0!</v>
      </c>
      <c r="G545" s="666"/>
      <c r="H545" s="667"/>
      <c r="I545" s="492"/>
      <c r="J545" s="730"/>
      <c r="K545" s="733"/>
      <c r="L545" s="758"/>
      <c r="M545" s="667"/>
      <c r="N545" s="667"/>
      <c r="O545" s="731"/>
      <c r="P545" s="666"/>
      <c r="Q545" s="667"/>
      <c r="R545" s="737" t="e">
        <f>Q545/P545*100</f>
        <v>#DIV/0!</v>
      </c>
    </row>
    <row r="546" spans="1:18" ht="23.25" customHeight="1">
      <c r="A546" s="728">
        <v>4210</v>
      </c>
      <c r="B546" s="735" t="s">
        <v>707</v>
      </c>
      <c r="C546" s="666">
        <v>25000</v>
      </c>
      <c r="D546" s="643">
        <f t="shared" si="57"/>
        <v>13700</v>
      </c>
      <c r="E546" s="667">
        <f t="shared" si="62"/>
        <v>7516</v>
      </c>
      <c r="F546" s="644">
        <f t="shared" si="60"/>
        <v>54.86131386861314</v>
      </c>
      <c r="G546" s="666">
        <f>25000-16300+5000</f>
        <v>13700</v>
      </c>
      <c r="H546" s="667">
        <v>7516</v>
      </c>
      <c r="I546" s="492">
        <f t="shared" si="61"/>
        <v>54.86131386861314</v>
      </c>
      <c r="J546" s="730"/>
      <c r="K546" s="733"/>
      <c r="L546" s="492"/>
      <c r="M546" s="667"/>
      <c r="N546" s="667"/>
      <c r="O546" s="731"/>
      <c r="P546" s="666"/>
      <c r="Q546" s="667"/>
      <c r="R546" s="737"/>
    </row>
    <row r="547" spans="1:18" ht="36">
      <c r="A547" s="728">
        <v>6060</v>
      </c>
      <c r="B547" s="970" t="s">
        <v>815</v>
      </c>
      <c r="C547" s="666"/>
      <c r="D547" s="643">
        <f t="shared" si="57"/>
        <v>16300</v>
      </c>
      <c r="E547" s="667">
        <f>SUM(H547+K547+N547+Q547)</f>
        <v>0</v>
      </c>
      <c r="F547" s="644">
        <f>E547/D547*100</f>
        <v>0</v>
      </c>
      <c r="G547" s="666">
        <v>16300</v>
      </c>
      <c r="H547" s="667"/>
      <c r="I547" s="492">
        <f t="shared" si="61"/>
        <v>0</v>
      </c>
      <c r="J547" s="730"/>
      <c r="K547" s="733"/>
      <c r="L547" s="492"/>
      <c r="M547" s="667"/>
      <c r="N547" s="667"/>
      <c r="O547" s="731"/>
      <c r="P547" s="666"/>
      <c r="Q547" s="667"/>
      <c r="R547" s="737"/>
    </row>
    <row r="548" spans="1:18" ht="35.25">
      <c r="A548" s="762">
        <v>4300</v>
      </c>
      <c r="B548" s="971" t="s">
        <v>989</v>
      </c>
      <c r="C548" s="781">
        <v>24000</v>
      </c>
      <c r="D548" s="765">
        <f t="shared" si="57"/>
        <v>19000</v>
      </c>
      <c r="E548" s="785">
        <f t="shared" si="62"/>
        <v>12742</v>
      </c>
      <c r="F548" s="766">
        <f t="shared" si="60"/>
        <v>67.06315789473685</v>
      </c>
      <c r="G548" s="781">
        <f>16000-5000</f>
        <v>11000</v>
      </c>
      <c r="H548" s="783">
        <v>8163</v>
      </c>
      <c r="I548" s="766">
        <f t="shared" si="61"/>
        <v>74.20909090909092</v>
      </c>
      <c r="J548" s="967">
        <v>8000</v>
      </c>
      <c r="K548" s="783">
        <v>4579</v>
      </c>
      <c r="L548" s="766">
        <f>K548/J548*100</f>
        <v>57.2375</v>
      </c>
      <c r="M548" s="783"/>
      <c r="N548" s="783"/>
      <c r="O548" s="968"/>
      <c r="P548" s="966"/>
      <c r="Q548" s="783"/>
      <c r="R548" s="969"/>
    </row>
    <row r="549" spans="1:18" ht="24">
      <c r="A549" s="787">
        <v>75421</v>
      </c>
      <c r="B549" s="788" t="s">
        <v>990</v>
      </c>
      <c r="C549" s="673">
        <f>SUM(C550)</f>
        <v>500000</v>
      </c>
      <c r="D549" s="674">
        <f t="shared" si="57"/>
        <v>500000</v>
      </c>
      <c r="E549" s="674">
        <f>SUM(H549+K549+N549+Q549)</f>
        <v>0</v>
      </c>
      <c r="F549" s="972">
        <f>E549/D549*100</f>
        <v>0</v>
      </c>
      <c r="G549" s="673">
        <f>SUM(G550)</f>
        <v>500000</v>
      </c>
      <c r="H549" s="656">
        <f>SUM(H550)</f>
        <v>0</v>
      </c>
      <c r="I549" s="665">
        <f t="shared" si="61"/>
        <v>0</v>
      </c>
      <c r="J549" s="789"/>
      <c r="K549" s="656"/>
      <c r="L549" s="972"/>
      <c r="M549" s="656"/>
      <c r="N549" s="656"/>
      <c r="O549" s="973"/>
      <c r="P549" s="680"/>
      <c r="Q549" s="656"/>
      <c r="R549" s="974"/>
    </row>
    <row r="550" spans="1:18" ht="45.75">
      <c r="A550" s="728">
        <v>4810</v>
      </c>
      <c r="B550" s="729" t="s">
        <v>991</v>
      </c>
      <c r="C550" s="666">
        <v>500000</v>
      </c>
      <c r="D550" s="643">
        <f t="shared" si="57"/>
        <v>500000</v>
      </c>
      <c r="E550" s="667">
        <f>SUM(H550+K550+N550+Q550)</f>
        <v>0</v>
      </c>
      <c r="F550" s="492">
        <f>E550/D550*100</f>
        <v>0</v>
      </c>
      <c r="G550" s="666">
        <v>500000</v>
      </c>
      <c r="H550" s="733"/>
      <c r="I550" s="665">
        <f t="shared" si="61"/>
        <v>0</v>
      </c>
      <c r="J550" s="792"/>
      <c r="K550" s="733"/>
      <c r="L550" s="492"/>
      <c r="M550" s="733"/>
      <c r="N550" s="733"/>
      <c r="O550" s="793"/>
      <c r="P550" s="732"/>
      <c r="Q550" s="733"/>
      <c r="R550" s="734"/>
    </row>
    <row r="551" spans="1:18" s="775" customFormat="1" ht="12.75">
      <c r="A551" s="787">
        <v>75495</v>
      </c>
      <c r="B551" s="788" t="s">
        <v>311</v>
      </c>
      <c r="C551" s="673">
        <f>SUM(C552:C553)</f>
        <v>115000</v>
      </c>
      <c r="D551" s="674">
        <f t="shared" si="57"/>
        <v>115000</v>
      </c>
      <c r="E551" s="674">
        <f t="shared" si="62"/>
        <v>0</v>
      </c>
      <c r="F551" s="890">
        <f t="shared" si="60"/>
        <v>0</v>
      </c>
      <c r="G551" s="673">
        <f>SUM(G552:G553)</f>
        <v>115000</v>
      </c>
      <c r="H551" s="656">
        <f>SUM(H552:H553)</f>
        <v>0</v>
      </c>
      <c r="I551" s="665">
        <f t="shared" si="61"/>
        <v>0</v>
      </c>
      <c r="J551" s="789"/>
      <c r="K551" s="656"/>
      <c r="L551" s="791"/>
      <c r="M551" s="656"/>
      <c r="N551" s="656"/>
      <c r="O551" s="973"/>
      <c r="P551" s="680"/>
      <c r="Q551" s="656"/>
      <c r="R551" s="974"/>
    </row>
    <row r="552" spans="1:18" s="761" customFormat="1" ht="48">
      <c r="A552" s="829">
        <v>3000</v>
      </c>
      <c r="B552" s="975" t="s">
        <v>992</v>
      </c>
      <c r="C552" s="697">
        <v>15000</v>
      </c>
      <c r="D552" s="643">
        <f t="shared" si="57"/>
        <v>15000</v>
      </c>
      <c r="E552" s="667">
        <f>SUM(H552+K552+N552+Q552)</f>
        <v>0</v>
      </c>
      <c r="F552" s="644">
        <f>E552/D552*100</f>
        <v>0</v>
      </c>
      <c r="G552" s="697">
        <v>15000</v>
      </c>
      <c r="H552" s="645"/>
      <c r="I552" s="647">
        <f t="shared" si="61"/>
        <v>0</v>
      </c>
      <c r="J552" s="646"/>
      <c r="K552" s="645"/>
      <c r="L552" s="647"/>
      <c r="M552" s="645"/>
      <c r="N552" s="645"/>
      <c r="O552" s="793"/>
      <c r="P552" s="642"/>
      <c r="Q552" s="645"/>
      <c r="R552" s="734"/>
    </row>
    <row r="553" spans="1:18" ht="24.75" thickBot="1">
      <c r="A553" s="728">
        <v>6050</v>
      </c>
      <c r="B553" s="729" t="s">
        <v>735</v>
      </c>
      <c r="C553" s="666">
        <v>100000</v>
      </c>
      <c r="D553" s="643">
        <f t="shared" si="57"/>
        <v>100000</v>
      </c>
      <c r="E553" s="667">
        <f t="shared" si="62"/>
        <v>0</v>
      </c>
      <c r="F553" s="644">
        <f>E553/D553*100</f>
        <v>0</v>
      </c>
      <c r="G553" s="666">
        <v>100000</v>
      </c>
      <c r="H553" s="733"/>
      <c r="I553" s="647">
        <f t="shared" si="61"/>
        <v>0</v>
      </c>
      <c r="J553" s="792"/>
      <c r="K553" s="733"/>
      <c r="L553" s="647"/>
      <c r="M553" s="733"/>
      <c r="N553" s="733"/>
      <c r="O553" s="793"/>
      <c r="P553" s="732"/>
      <c r="Q553" s="733"/>
      <c r="R553" s="734"/>
    </row>
    <row r="554" spans="1:18" s="775" customFormat="1" ht="109.5" customHeight="1" thickBot="1" thickTop="1">
      <c r="A554" s="738">
        <v>756</v>
      </c>
      <c r="B554" s="976" t="s">
        <v>993</v>
      </c>
      <c r="C554" s="740">
        <f>C555</f>
        <v>512000</v>
      </c>
      <c r="D554" s="618">
        <f>G554</f>
        <v>607000</v>
      </c>
      <c r="E554" s="618">
        <f>H554</f>
        <v>396546</v>
      </c>
      <c r="F554" s="741">
        <f>E554/D554*100</f>
        <v>65.32883031301483</v>
      </c>
      <c r="G554" s="740">
        <f>G555</f>
        <v>607000</v>
      </c>
      <c r="H554" s="977">
        <f>H555</f>
        <v>396546</v>
      </c>
      <c r="I554" s="621">
        <f>H554/G554*100</f>
        <v>65.32883031301483</v>
      </c>
      <c r="J554" s="978"/>
      <c r="K554" s="977"/>
      <c r="L554" s="744"/>
      <c r="M554" s="977"/>
      <c r="N554" s="977"/>
      <c r="O554" s="979"/>
      <c r="P554" s="980"/>
      <c r="Q554" s="977"/>
      <c r="R554" s="981"/>
    </row>
    <row r="555" spans="1:18" ht="48.75" thickTop="1">
      <c r="A555" s="982">
        <v>75647</v>
      </c>
      <c r="B555" s="833" t="s">
        <v>994</v>
      </c>
      <c r="C555" s="834">
        <f>SUM(C556:C570)</f>
        <v>512000</v>
      </c>
      <c r="D555" s="727">
        <f aca="true" t="shared" si="63" ref="D555:D573">G555+J555+P555+M555</f>
        <v>607000</v>
      </c>
      <c r="E555" s="727">
        <f>H555+K555+Q555+N555</f>
        <v>396546</v>
      </c>
      <c r="F555" s="772">
        <f>E555/D555*100</f>
        <v>65.32883031301483</v>
      </c>
      <c r="G555" s="834">
        <f>SUM(G556:G570)</f>
        <v>607000</v>
      </c>
      <c r="H555" s="727">
        <f>SUM(H556:H570)</f>
        <v>396546</v>
      </c>
      <c r="I555" s="707">
        <f>H555/G555*100</f>
        <v>65.32883031301483</v>
      </c>
      <c r="J555" s="835"/>
      <c r="K555" s="727"/>
      <c r="L555" s="837"/>
      <c r="M555" s="727"/>
      <c r="N555" s="727"/>
      <c r="O555" s="838"/>
      <c r="P555" s="727"/>
      <c r="Q555" s="727"/>
      <c r="R555" s="837"/>
    </row>
    <row r="556" spans="1:18" s="761" customFormat="1" ht="36" hidden="1">
      <c r="A556" s="983">
        <v>4010</v>
      </c>
      <c r="B556" s="757" t="s">
        <v>995</v>
      </c>
      <c r="C556" s="684"/>
      <c r="D556" s="643">
        <f t="shared" si="63"/>
        <v>0</v>
      </c>
      <c r="E556" s="667">
        <f aca="true" t="shared" si="64" ref="E556:E573">SUM(H556+K556+N556+Q556)</f>
        <v>0</v>
      </c>
      <c r="F556" s="644" t="e">
        <f aca="true" t="shared" si="65" ref="F556:F573">E556/D556*100</f>
        <v>#DIV/0!</v>
      </c>
      <c r="G556" s="684"/>
      <c r="H556" s="685"/>
      <c r="I556" s="647" t="e">
        <f aca="true" t="shared" si="66" ref="I556:I573">H556/G556*100</f>
        <v>#DIV/0!</v>
      </c>
      <c r="J556" s="689"/>
      <c r="K556" s="685"/>
      <c r="L556" s="652"/>
      <c r="M556" s="685"/>
      <c r="N556" s="685"/>
      <c r="O556" s="779"/>
      <c r="P556" s="685"/>
      <c r="Q556" s="685"/>
      <c r="R556" s="652"/>
    </row>
    <row r="557" spans="1:18" ht="36">
      <c r="A557" s="849">
        <v>4100</v>
      </c>
      <c r="B557" s="735" t="s">
        <v>996</v>
      </c>
      <c r="C557" s="666">
        <v>100000</v>
      </c>
      <c r="D557" s="643">
        <f t="shared" si="63"/>
        <v>136400</v>
      </c>
      <c r="E557" s="667">
        <f t="shared" si="64"/>
        <v>95193</v>
      </c>
      <c r="F557" s="644">
        <f t="shared" si="65"/>
        <v>69.78958944281524</v>
      </c>
      <c r="G557" s="666">
        <f>100000+36400</f>
        <v>136400</v>
      </c>
      <c r="H557" s="984">
        <v>95193</v>
      </c>
      <c r="I557" s="647">
        <f t="shared" si="66"/>
        <v>69.78958944281524</v>
      </c>
      <c r="J557" s="730"/>
      <c r="K557" s="667"/>
      <c r="L557" s="647"/>
      <c r="M557" s="667"/>
      <c r="N557" s="667"/>
      <c r="O557" s="731"/>
      <c r="P557" s="667"/>
      <c r="Q557" s="667"/>
      <c r="R557" s="647"/>
    </row>
    <row r="558" spans="1:18" ht="36">
      <c r="A558" s="849">
        <v>4100</v>
      </c>
      <c r="B558" s="735" t="s">
        <v>997</v>
      </c>
      <c r="C558" s="666">
        <v>35000</v>
      </c>
      <c r="D558" s="643">
        <f t="shared" si="63"/>
        <v>35000</v>
      </c>
      <c r="E558" s="667">
        <f t="shared" si="64"/>
        <v>10013</v>
      </c>
      <c r="F558" s="644">
        <f t="shared" si="65"/>
        <v>28.608571428571427</v>
      </c>
      <c r="G558" s="666">
        <v>35000</v>
      </c>
      <c r="H558" s="667">
        <v>10013</v>
      </c>
      <c r="I558" s="647">
        <f t="shared" si="66"/>
        <v>28.608571428571427</v>
      </c>
      <c r="J558" s="730"/>
      <c r="K558" s="667"/>
      <c r="L558" s="647"/>
      <c r="M558" s="667"/>
      <c r="N558" s="667"/>
      <c r="O558" s="731"/>
      <c r="P558" s="667"/>
      <c r="Q558" s="667"/>
      <c r="R558" s="647"/>
    </row>
    <row r="559" spans="1:18" ht="24">
      <c r="A559" s="728">
        <v>4110</v>
      </c>
      <c r="B559" s="735" t="s">
        <v>998</v>
      </c>
      <c r="C559" s="666">
        <v>10000</v>
      </c>
      <c r="D559" s="643">
        <f t="shared" si="63"/>
        <v>10000</v>
      </c>
      <c r="E559" s="667">
        <f t="shared" si="64"/>
        <v>2053</v>
      </c>
      <c r="F559" s="644">
        <f t="shared" si="65"/>
        <v>20.53</v>
      </c>
      <c r="G559" s="666">
        <v>10000</v>
      </c>
      <c r="H559" s="667">
        <v>2053</v>
      </c>
      <c r="I559" s="647">
        <f t="shared" si="66"/>
        <v>20.53</v>
      </c>
      <c r="J559" s="730"/>
      <c r="K559" s="667"/>
      <c r="L559" s="647"/>
      <c r="M559" s="667"/>
      <c r="N559" s="667"/>
      <c r="O559" s="731"/>
      <c r="P559" s="667"/>
      <c r="Q559" s="667"/>
      <c r="R559" s="647"/>
    </row>
    <row r="560" spans="1:18" ht="24">
      <c r="A560" s="728">
        <v>4110</v>
      </c>
      <c r="B560" s="735" t="s">
        <v>999</v>
      </c>
      <c r="C560" s="666">
        <v>17000</v>
      </c>
      <c r="D560" s="643">
        <f t="shared" si="63"/>
        <v>19900</v>
      </c>
      <c r="E560" s="667">
        <f t="shared" si="64"/>
        <v>5813</v>
      </c>
      <c r="F560" s="644">
        <f t="shared" si="65"/>
        <v>29.21105527638191</v>
      </c>
      <c r="G560" s="666">
        <f>17000+2900</f>
        <v>19900</v>
      </c>
      <c r="H560" s="667">
        <v>5813</v>
      </c>
      <c r="I560" s="647">
        <f t="shared" si="66"/>
        <v>29.21105527638191</v>
      </c>
      <c r="J560" s="730"/>
      <c r="K560" s="667"/>
      <c r="L560" s="647"/>
      <c r="M560" s="667"/>
      <c r="N560" s="667"/>
      <c r="O560" s="731"/>
      <c r="P560" s="667"/>
      <c r="Q560" s="667"/>
      <c r="R560" s="647"/>
    </row>
    <row r="561" spans="1:18" ht="12.75">
      <c r="A561" s="728">
        <v>4120</v>
      </c>
      <c r="B561" s="735" t="s">
        <v>1000</v>
      </c>
      <c r="C561" s="666">
        <v>1600</v>
      </c>
      <c r="D561" s="643">
        <f t="shared" si="63"/>
        <v>1600</v>
      </c>
      <c r="E561" s="667">
        <f t="shared" si="64"/>
        <v>309</v>
      </c>
      <c r="F561" s="644">
        <f t="shared" si="65"/>
        <v>19.3125</v>
      </c>
      <c r="G561" s="666">
        <v>1600</v>
      </c>
      <c r="H561" s="667">
        <v>309</v>
      </c>
      <c r="I561" s="647">
        <f t="shared" si="66"/>
        <v>19.3125</v>
      </c>
      <c r="J561" s="730"/>
      <c r="K561" s="667"/>
      <c r="L561" s="647"/>
      <c r="M561" s="667"/>
      <c r="N561" s="667"/>
      <c r="O561" s="731"/>
      <c r="P561" s="667"/>
      <c r="Q561" s="667"/>
      <c r="R561" s="647"/>
    </row>
    <row r="562" spans="1:18" ht="12.75">
      <c r="A562" s="728">
        <v>4120</v>
      </c>
      <c r="B562" s="735" t="s">
        <v>1001</v>
      </c>
      <c r="C562" s="666">
        <v>2400</v>
      </c>
      <c r="D562" s="643">
        <f t="shared" si="63"/>
        <v>3100</v>
      </c>
      <c r="E562" s="667">
        <f t="shared" si="64"/>
        <v>938</v>
      </c>
      <c r="F562" s="644">
        <f t="shared" si="65"/>
        <v>30.25806451612903</v>
      </c>
      <c r="G562" s="666">
        <f>2400+700</f>
        <v>3100</v>
      </c>
      <c r="H562" s="667">
        <v>938</v>
      </c>
      <c r="I562" s="647">
        <f t="shared" si="66"/>
        <v>30.25806451612903</v>
      </c>
      <c r="J562" s="730"/>
      <c r="K562" s="667"/>
      <c r="L562" s="647"/>
      <c r="M562" s="667"/>
      <c r="N562" s="667"/>
      <c r="O562" s="731"/>
      <c r="P562" s="667"/>
      <c r="Q562" s="667"/>
      <c r="R562" s="647"/>
    </row>
    <row r="563" spans="1:18" ht="24">
      <c r="A563" s="728">
        <v>4170</v>
      </c>
      <c r="B563" s="735" t="s">
        <v>1002</v>
      </c>
      <c r="C563" s="666">
        <v>22000</v>
      </c>
      <c r="D563" s="643">
        <f t="shared" si="63"/>
        <v>22000</v>
      </c>
      <c r="E563" s="667">
        <f t="shared" si="64"/>
        <v>15709</v>
      </c>
      <c r="F563" s="644">
        <f t="shared" si="65"/>
        <v>71.40454545454546</v>
      </c>
      <c r="G563" s="666">
        <v>22000</v>
      </c>
      <c r="H563" s="667">
        <v>15709</v>
      </c>
      <c r="I563" s="647">
        <f t="shared" si="66"/>
        <v>71.40454545454546</v>
      </c>
      <c r="J563" s="730"/>
      <c r="K563" s="667"/>
      <c r="L563" s="647"/>
      <c r="M563" s="667"/>
      <c r="N563" s="667"/>
      <c r="O563" s="731"/>
      <c r="P563" s="667"/>
      <c r="Q563" s="667"/>
      <c r="R563" s="647"/>
    </row>
    <row r="564" spans="1:18" ht="24" hidden="1">
      <c r="A564" s="728">
        <v>4300</v>
      </c>
      <c r="B564" s="735" t="s">
        <v>1003</v>
      </c>
      <c r="C564" s="666"/>
      <c r="D564" s="643">
        <f t="shared" si="63"/>
        <v>0</v>
      </c>
      <c r="E564" s="667">
        <f t="shared" si="64"/>
        <v>0</v>
      </c>
      <c r="F564" s="644" t="e">
        <f t="shared" si="65"/>
        <v>#DIV/0!</v>
      </c>
      <c r="G564" s="666"/>
      <c r="H564" s="667"/>
      <c r="I564" s="647" t="e">
        <f t="shared" si="66"/>
        <v>#DIV/0!</v>
      </c>
      <c r="J564" s="730"/>
      <c r="K564" s="667"/>
      <c r="L564" s="647"/>
      <c r="M564" s="667"/>
      <c r="N564" s="667"/>
      <c r="O564" s="731"/>
      <c r="P564" s="667"/>
      <c r="Q564" s="667"/>
      <c r="R564" s="647"/>
    </row>
    <row r="565" spans="1:18" ht="24">
      <c r="A565" s="762">
        <v>4300</v>
      </c>
      <c r="B565" s="780" t="s">
        <v>1004</v>
      </c>
      <c r="C565" s="781">
        <v>250000</v>
      </c>
      <c r="D565" s="765">
        <f t="shared" si="63"/>
        <v>300000</v>
      </c>
      <c r="E565" s="785">
        <f t="shared" si="64"/>
        <v>221558</v>
      </c>
      <c r="F565" s="705">
        <f t="shared" si="65"/>
        <v>73.85266666666666</v>
      </c>
      <c r="G565" s="781">
        <f>250000+50000</f>
        <v>300000</v>
      </c>
      <c r="H565" s="785">
        <v>221558</v>
      </c>
      <c r="I565" s="707">
        <f t="shared" si="66"/>
        <v>73.85266666666666</v>
      </c>
      <c r="J565" s="782"/>
      <c r="K565" s="785"/>
      <c r="L565" s="707"/>
      <c r="M565" s="785"/>
      <c r="N565" s="785"/>
      <c r="O565" s="786"/>
      <c r="P565" s="785"/>
      <c r="Q565" s="785"/>
      <c r="R565" s="707"/>
    </row>
    <row r="566" spans="1:18" ht="24" hidden="1">
      <c r="A566" s="728">
        <v>4430</v>
      </c>
      <c r="B566" s="735" t="s">
        <v>1005</v>
      </c>
      <c r="C566" s="666"/>
      <c r="D566" s="643">
        <f t="shared" si="63"/>
        <v>0</v>
      </c>
      <c r="E566" s="667">
        <f t="shared" si="64"/>
        <v>0</v>
      </c>
      <c r="F566" s="644" t="e">
        <f t="shared" si="65"/>
        <v>#DIV/0!</v>
      </c>
      <c r="G566" s="666"/>
      <c r="H566" s="667"/>
      <c r="I566" s="647" t="e">
        <f t="shared" si="66"/>
        <v>#DIV/0!</v>
      </c>
      <c r="J566" s="730"/>
      <c r="K566" s="667"/>
      <c r="L566" s="647"/>
      <c r="M566" s="667"/>
      <c r="N566" s="667"/>
      <c r="O566" s="731"/>
      <c r="P566" s="667"/>
      <c r="Q566" s="667"/>
      <c r="R566" s="647"/>
    </row>
    <row r="567" spans="1:18" ht="24">
      <c r="A567" s="728">
        <v>4430</v>
      </c>
      <c r="B567" s="735" t="s">
        <v>1006</v>
      </c>
      <c r="C567" s="666">
        <v>4000</v>
      </c>
      <c r="D567" s="643">
        <f t="shared" si="63"/>
        <v>4000</v>
      </c>
      <c r="E567" s="667">
        <f t="shared" si="64"/>
        <v>311</v>
      </c>
      <c r="F567" s="644">
        <f t="shared" si="65"/>
        <v>7.775</v>
      </c>
      <c r="G567" s="666">
        <v>4000</v>
      </c>
      <c r="H567" s="667">
        <v>311</v>
      </c>
      <c r="I567" s="647">
        <f t="shared" si="66"/>
        <v>7.775</v>
      </c>
      <c r="J567" s="730"/>
      <c r="K567" s="667"/>
      <c r="L567" s="647"/>
      <c r="M567" s="667"/>
      <c r="N567" s="667"/>
      <c r="O567" s="731"/>
      <c r="P567" s="667"/>
      <c r="Q567" s="667"/>
      <c r="R567" s="647"/>
    </row>
    <row r="568" spans="1:18" ht="24">
      <c r="A568" s="728">
        <v>4430</v>
      </c>
      <c r="B568" s="735" t="s">
        <v>1005</v>
      </c>
      <c r="C568" s="666"/>
      <c r="D568" s="643">
        <f>G568+J568+P568+M568</f>
        <v>5000</v>
      </c>
      <c r="E568" s="667">
        <f>SUM(H568+K568+N568+Q568)</f>
        <v>1394</v>
      </c>
      <c r="F568" s="644">
        <f>E568/D568*100</f>
        <v>27.88</v>
      </c>
      <c r="G568" s="666">
        <v>5000</v>
      </c>
      <c r="H568" s="667">
        <v>1394</v>
      </c>
      <c r="I568" s="647">
        <f t="shared" si="66"/>
        <v>27.88</v>
      </c>
      <c r="J568" s="730"/>
      <c r="K568" s="667"/>
      <c r="L568" s="647"/>
      <c r="M568" s="667"/>
      <c r="N568" s="667"/>
      <c r="O568" s="731"/>
      <c r="P568" s="667"/>
      <c r="Q568" s="667"/>
      <c r="R568" s="647"/>
    </row>
    <row r="569" spans="1:18" ht="24">
      <c r="A569" s="728">
        <v>4510</v>
      </c>
      <c r="B569" s="735" t="s">
        <v>984</v>
      </c>
      <c r="C569" s="666"/>
      <c r="D569" s="643">
        <f>G569+J569+P569+M569</f>
        <v>3000</v>
      </c>
      <c r="E569" s="667">
        <f>SUM(H569+K569+N569+Q569)</f>
        <v>0</v>
      </c>
      <c r="F569" s="644">
        <f>E569/D569*100</f>
        <v>0</v>
      </c>
      <c r="G569" s="666">
        <v>3000</v>
      </c>
      <c r="H569" s="667"/>
      <c r="I569" s="647">
        <f t="shared" si="66"/>
        <v>0</v>
      </c>
      <c r="J569" s="730"/>
      <c r="K569" s="667"/>
      <c r="L569" s="647"/>
      <c r="M569" s="667"/>
      <c r="N569" s="667"/>
      <c r="O569" s="731"/>
      <c r="P569" s="667"/>
      <c r="Q569" s="667"/>
      <c r="R569" s="647"/>
    </row>
    <row r="570" spans="1:18" ht="36">
      <c r="A570" s="728">
        <v>4610</v>
      </c>
      <c r="B570" s="735" t="s">
        <v>744</v>
      </c>
      <c r="C570" s="666">
        <f>SUM(C571:C572)</f>
        <v>70000</v>
      </c>
      <c r="D570" s="643">
        <f t="shared" si="63"/>
        <v>67000</v>
      </c>
      <c r="E570" s="667">
        <f t="shared" si="64"/>
        <v>43255</v>
      </c>
      <c r="F570" s="644">
        <f t="shared" si="65"/>
        <v>64.55970149253731</v>
      </c>
      <c r="G570" s="666">
        <f>SUM(G571:G573)</f>
        <v>67000</v>
      </c>
      <c r="H570" s="667">
        <f>SUM(H571:H573)</f>
        <v>43255</v>
      </c>
      <c r="I570" s="647">
        <f t="shared" si="66"/>
        <v>64.55970149253731</v>
      </c>
      <c r="J570" s="730"/>
      <c r="K570" s="667"/>
      <c r="L570" s="647"/>
      <c r="M570" s="667"/>
      <c r="N570" s="667"/>
      <c r="O570" s="731"/>
      <c r="P570" s="667"/>
      <c r="Q570" s="667"/>
      <c r="R570" s="647"/>
    </row>
    <row r="571" spans="1:18" s="801" customFormat="1" ht="12.75">
      <c r="A571" s="795"/>
      <c r="B571" s="796" t="s">
        <v>1007</v>
      </c>
      <c r="C571" s="797">
        <v>10000</v>
      </c>
      <c r="D571" s="798">
        <f t="shared" si="63"/>
        <v>7000</v>
      </c>
      <c r="E571" s="798">
        <f t="shared" si="64"/>
        <v>2262</v>
      </c>
      <c r="F571" s="644">
        <f t="shared" si="65"/>
        <v>32.31428571428571</v>
      </c>
      <c r="G571" s="797">
        <f>10000-3000</f>
        <v>7000</v>
      </c>
      <c r="H571" s="798">
        <v>2262</v>
      </c>
      <c r="I571" s="647">
        <f t="shared" si="66"/>
        <v>32.31428571428571</v>
      </c>
      <c r="J571" s="799"/>
      <c r="K571" s="798"/>
      <c r="L571" s="647"/>
      <c r="M571" s="798"/>
      <c r="N571" s="798"/>
      <c r="O571" s="649"/>
      <c r="P571" s="798"/>
      <c r="Q571" s="798"/>
      <c r="R571" s="647"/>
    </row>
    <row r="572" spans="1:18" s="801" customFormat="1" ht="13.5" thickBot="1">
      <c r="A572" s="795"/>
      <c r="B572" s="796" t="s">
        <v>872</v>
      </c>
      <c r="C572" s="797">
        <v>60000</v>
      </c>
      <c r="D572" s="798">
        <f>G572+J572+P572+M572</f>
        <v>60000</v>
      </c>
      <c r="E572" s="798">
        <f t="shared" si="64"/>
        <v>40993</v>
      </c>
      <c r="F572" s="644">
        <f t="shared" si="65"/>
        <v>68.32166666666667</v>
      </c>
      <c r="G572" s="797">
        <v>60000</v>
      </c>
      <c r="H572" s="798">
        <v>40993</v>
      </c>
      <c r="I572" s="647">
        <f t="shared" si="66"/>
        <v>68.32166666666667</v>
      </c>
      <c r="J572" s="799"/>
      <c r="K572" s="798"/>
      <c r="L572" s="647"/>
      <c r="M572" s="798"/>
      <c r="N572" s="798"/>
      <c r="O572" s="649"/>
      <c r="P572" s="798"/>
      <c r="Q572" s="798"/>
      <c r="R572" s="647"/>
    </row>
    <row r="573" spans="1:18" s="801" customFormat="1" ht="13.5" hidden="1" thickBot="1">
      <c r="A573" s="795"/>
      <c r="B573" s="796" t="s">
        <v>1008</v>
      </c>
      <c r="C573" s="811"/>
      <c r="D573" s="798">
        <f t="shared" si="63"/>
        <v>0</v>
      </c>
      <c r="E573" s="798">
        <f t="shared" si="64"/>
        <v>0</v>
      </c>
      <c r="F573" s="644" t="e">
        <f t="shared" si="65"/>
        <v>#DIV/0!</v>
      </c>
      <c r="G573" s="811">
        <f>500-500</f>
        <v>0</v>
      </c>
      <c r="H573" s="812"/>
      <c r="I573" s="647" t="e">
        <f t="shared" si="66"/>
        <v>#DIV/0!</v>
      </c>
      <c r="J573" s="813"/>
      <c r="K573" s="812"/>
      <c r="L573" s="707"/>
      <c r="M573" s="812"/>
      <c r="N573" s="812"/>
      <c r="O573" s="768"/>
      <c r="P573" s="812"/>
      <c r="Q573" s="812"/>
      <c r="R573" s="707"/>
    </row>
    <row r="574" spans="1:18" s="723" customFormat="1" ht="27" customHeight="1" thickBot="1" thickTop="1">
      <c r="A574" s="718">
        <v>757</v>
      </c>
      <c r="B574" s="719" t="s">
        <v>1009</v>
      </c>
      <c r="C574" s="720">
        <f>SUM(C575)</f>
        <v>3103000</v>
      </c>
      <c r="D574" s="618">
        <f>G574+J574+P574+M574</f>
        <v>3103000</v>
      </c>
      <c r="E574" s="623">
        <f>H574+K574+Q574+N574</f>
        <v>2070053</v>
      </c>
      <c r="F574" s="619">
        <f t="shared" si="60"/>
        <v>66.71134386077989</v>
      </c>
      <c r="G574" s="720">
        <f>SUM(G575)</f>
        <v>3103000</v>
      </c>
      <c r="H574" s="623">
        <f>SUM(H575)</f>
        <v>2070053</v>
      </c>
      <c r="I574" s="621">
        <f t="shared" si="61"/>
        <v>66.71134386077989</v>
      </c>
      <c r="J574" s="622"/>
      <c r="K574" s="623"/>
      <c r="L574" s="721"/>
      <c r="M574" s="623"/>
      <c r="N574" s="623"/>
      <c r="O574" s="722"/>
      <c r="P574" s="720"/>
      <c r="Q574" s="623"/>
      <c r="R574" s="853"/>
    </row>
    <row r="575" spans="1:18" ht="48.75" thickTop="1">
      <c r="A575" s="724">
        <v>75702</v>
      </c>
      <c r="B575" s="854" t="s">
        <v>1010</v>
      </c>
      <c r="C575" s="726">
        <f>SUM(C576:C578)</f>
        <v>3103000</v>
      </c>
      <c r="D575" s="727">
        <f>G575+J575+P575+M575</f>
        <v>3103000</v>
      </c>
      <c r="E575" s="637">
        <f>H575+K575+Q575+N575</f>
        <v>2070053</v>
      </c>
      <c r="F575" s="705">
        <f t="shared" si="60"/>
        <v>66.71134386077989</v>
      </c>
      <c r="G575" s="726">
        <f>SUM(G576:G578)</f>
        <v>3103000</v>
      </c>
      <c r="H575" s="657">
        <f>SUM(H576:H578)</f>
        <v>2070053</v>
      </c>
      <c r="I575" s="707">
        <f t="shared" si="61"/>
        <v>66.71134386077989</v>
      </c>
      <c r="J575" s="662"/>
      <c r="K575" s="657"/>
      <c r="L575" s="663"/>
      <c r="M575" s="657"/>
      <c r="N575" s="657"/>
      <c r="O575" s="317"/>
      <c r="P575" s="726"/>
      <c r="Q575" s="657"/>
      <c r="R575" s="842"/>
    </row>
    <row r="576" spans="1:18" s="761" customFormat="1" ht="72">
      <c r="A576" s="709">
        <v>8070</v>
      </c>
      <c r="B576" s="985" t="s">
        <v>1011</v>
      </c>
      <c r="C576" s="697">
        <v>3100000</v>
      </c>
      <c r="D576" s="685">
        <f aca="true" t="shared" si="67" ref="D576:D640">G576+J576+P576+M576</f>
        <v>3100000</v>
      </c>
      <c r="E576" s="686">
        <f>SUM(H576+K576+N576+Q576)</f>
        <v>2067425</v>
      </c>
      <c r="F576" s="668">
        <f t="shared" si="60"/>
        <v>66.69112903225806</v>
      </c>
      <c r="G576" s="684">
        <v>3100000</v>
      </c>
      <c r="H576" s="685">
        <f>2067426-1</f>
        <v>2067425</v>
      </c>
      <c r="I576" s="647">
        <f t="shared" si="61"/>
        <v>66.69112903225806</v>
      </c>
      <c r="J576" s="648"/>
      <c r="K576" s="643"/>
      <c r="L576" s="649"/>
      <c r="M576" s="643"/>
      <c r="N576" s="643"/>
      <c r="O576" s="731"/>
      <c r="P576" s="697"/>
      <c r="Q576" s="643"/>
      <c r="R576" s="737"/>
    </row>
    <row r="577" spans="1:18" s="761" customFormat="1" ht="24" hidden="1">
      <c r="A577" s="728">
        <v>4300</v>
      </c>
      <c r="B577" s="818" t="s">
        <v>715</v>
      </c>
      <c r="C577" s="697"/>
      <c r="D577" s="643">
        <f t="shared" si="67"/>
        <v>0</v>
      </c>
      <c r="E577" s="667">
        <f>SUM(H577+K577+N577+Q577)</f>
        <v>0</v>
      </c>
      <c r="F577" s="644" t="e">
        <f>E577/D577*100</f>
        <v>#DIV/0!</v>
      </c>
      <c r="G577" s="697"/>
      <c r="H577" s="643"/>
      <c r="I577" s="647" t="e">
        <f t="shared" si="61"/>
        <v>#DIV/0!</v>
      </c>
      <c r="J577" s="648"/>
      <c r="K577" s="643"/>
      <c r="L577" s="649"/>
      <c r="M577" s="643"/>
      <c r="N577" s="643"/>
      <c r="O577" s="731"/>
      <c r="P577" s="697"/>
      <c r="Q577" s="643"/>
      <c r="R577" s="737"/>
    </row>
    <row r="578" spans="1:18" s="723" customFormat="1" ht="72.75" thickBot="1">
      <c r="A578" s="986">
        <v>8079</v>
      </c>
      <c r="B578" s="818" t="s">
        <v>1011</v>
      </c>
      <c r="C578" s="736">
        <v>3000</v>
      </c>
      <c r="D578" s="701">
        <f t="shared" si="67"/>
        <v>3000</v>
      </c>
      <c r="E578" s="902">
        <f>SUM(H578+K578+N578+Q578)</f>
        <v>2628</v>
      </c>
      <c r="F578" s="987">
        <f t="shared" si="60"/>
        <v>87.6</v>
      </c>
      <c r="G578" s="736">
        <v>3000</v>
      </c>
      <c r="H578" s="902">
        <v>2628</v>
      </c>
      <c r="I578" s="647">
        <f t="shared" si="61"/>
        <v>87.6</v>
      </c>
      <c r="J578" s="782"/>
      <c r="K578" s="785"/>
      <c r="L578" s="768"/>
      <c r="M578" s="785"/>
      <c r="N578" s="785"/>
      <c r="O578" s="731"/>
      <c r="P578" s="781"/>
      <c r="Q578" s="785"/>
      <c r="R578" s="770"/>
    </row>
    <row r="579" spans="1:18" ht="19.5" customHeight="1" thickBot="1" thickTop="1">
      <c r="A579" s="718">
        <v>758</v>
      </c>
      <c r="B579" s="719" t="s">
        <v>476</v>
      </c>
      <c r="C579" s="720">
        <f>C582+C580</f>
        <v>5476618</v>
      </c>
      <c r="D579" s="618">
        <f t="shared" si="67"/>
        <v>4509513</v>
      </c>
      <c r="E579" s="623">
        <f>E582+E580</f>
        <v>1157716</v>
      </c>
      <c r="F579" s="619">
        <f t="shared" si="60"/>
        <v>25.672750028661635</v>
      </c>
      <c r="G579" s="904">
        <f>G582+G580</f>
        <v>2965895</v>
      </c>
      <c r="H579" s="623">
        <f>H582+H580</f>
        <v>0</v>
      </c>
      <c r="I579" s="621">
        <f t="shared" si="61"/>
        <v>0</v>
      </c>
      <c r="J579" s="622"/>
      <c r="K579" s="623"/>
      <c r="L579" s="721"/>
      <c r="M579" s="623">
        <f>M580</f>
        <v>1543618</v>
      </c>
      <c r="N579" s="623">
        <f>N580</f>
        <v>1157716</v>
      </c>
      <c r="O579" s="722">
        <f>N579/M579*100</f>
        <v>75.00016195716816</v>
      </c>
      <c r="P579" s="720"/>
      <c r="Q579" s="623"/>
      <c r="R579" s="853"/>
    </row>
    <row r="580" spans="1:18" ht="36.75" thickTop="1">
      <c r="A580" s="956">
        <v>75832</v>
      </c>
      <c r="B580" s="957" t="s">
        <v>1012</v>
      </c>
      <c r="C580" s="958">
        <f>C581</f>
        <v>1543618</v>
      </c>
      <c r="D580" s="631">
        <f t="shared" si="67"/>
        <v>1543618</v>
      </c>
      <c r="E580" s="637">
        <f>E581</f>
        <v>1157716</v>
      </c>
      <c r="F580" s="632">
        <f t="shared" si="60"/>
        <v>75.00016195716816</v>
      </c>
      <c r="G580" s="958"/>
      <c r="H580" s="636"/>
      <c r="I580" s="635"/>
      <c r="J580" s="636"/>
      <c r="K580" s="637"/>
      <c r="L580" s="638"/>
      <c r="M580" s="637">
        <f>M581</f>
        <v>1543618</v>
      </c>
      <c r="N580" s="637">
        <f>N581</f>
        <v>1157716</v>
      </c>
      <c r="O580" s="988">
        <f>N580/M580*100</f>
        <v>75.00016195716816</v>
      </c>
      <c r="P580" s="958"/>
      <c r="Q580" s="637"/>
      <c r="R580" s="989"/>
    </row>
    <row r="581" spans="1:18" s="761" customFormat="1" ht="36">
      <c r="A581" s="829">
        <v>2930</v>
      </c>
      <c r="B581" s="865" t="s">
        <v>1013</v>
      </c>
      <c r="C581" s="697">
        <v>1543618</v>
      </c>
      <c r="D581" s="765">
        <f t="shared" si="67"/>
        <v>1543618</v>
      </c>
      <c r="E581" s="686">
        <f aca="true" t="shared" si="68" ref="E581:E586">SUM(H581+K581+N581+Q581)</f>
        <v>1157716</v>
      </c>
      <c r="F581" s="705">
        <f t="shared" si="60"/>
        <v>75.00016195716816</v>
      </c>
      <c r="G581" s="697"/>
      <c r="H581" s="643"/>
      <c r="I581" s="707"/>
      <c r="J581" s="648"/>
      <c r="K581" s="643"/>
      <c r="L581" s="649"/>
      <c r="M581" s="643">
        <v>1543618</v>
      </c>
      <c r="N581" s="643">
        <f>1029082+128634</f>
        <v>1157716</v>
      </c>
      <c r="O581" s="120">
        <f>N581/M581*100</f>
        <v>75.00016195716816</v>
      </c>
      <c r="P581" s="697"/>
      <c r="Q581" s="643"/>
      <c r="R581" s="737"/>
    </row>
    <row r="582" spans="1:18" ht="24">
      <c r="A582" s="724">
        <v>75818</v>
      </c>
      <c r="B582" s="854" t="s">
        <v>1014</v>
      </c>
      <c r="C582" s="726">
        <f>SUM(C583:C586)</f>
        <v>3933000</v>
      </c>
      <c r="D582" s="727">
        <f t="shared" si="67"/>
        <v>2965895</v>
      </c>
      <c r="E582" s="695">
        <f t="shared" si="68"/>
        <v>0</v>
      </c>
      <c r="F582" s="705">
        <f t="shared" si="60"/>
        <v>0</v>
      </c>
      <c r="G582" s="726">
        <f>SUM(G583:G586)</f>
        <v>2965895</v>
      </c>
      <c r="H582" s="662">
        <f>SUM(H583:H586)</f>
        <v>0</v>
      </c>
      <c r="I582" s="707">
        <f t="shared" si="61"/>
        <v>0</v>
      </c>
      <c r="J582" s="662"/>
      <c r="K582" s="657"/>
      <c r="L582" s="663"/>
      <c r="M582" s="657"/>
      <c r="N582" s="657"/>
      <c r="O582" s="317"/>
      <c r="P582" s="726"/>
      <c r="Q582" s="657"/>
      <c r="R582" s="842"/>
    </row>
    <row r="583" spans="1:18" s="761" customFormat="1" ht="48">
      <c r="A583" s="756">
        <v>4810</v>
      </c>
      <c r="B583" s="757" t="s">
        <v>1015</v>
      </c>
      <c r="C583" s="684">
        <v>2250000</v>
      </c>
      <c r="D583" s="685">
        <f t="shared" si="67"/>
        <v>1367842</v>
      </c>
      <c r="E583" s="685">
        <f t="shared" si="68"/>
        <v>0</v>
      </c>
      <c r="F583" s="668">
        <f t="shared" si="60"/>
        <v>0</v>
      </c>
      <c r="G583" s="684">
        <f>2250000-37440-104600-400000-340118</f>
        <v>1367842</v>
      </c>
      <c r="H583" s="685"/>
      <c r="I583" s="652">
        <f t="shared" si="61"/>
        <v>0</v>
      </c>
      <c r="J583" s="689"/>
      <c r="K583" s="685"/>
      <c r="L583" s="690"/>
      <c r="M583" s="685"/>
      <c r="N583" s="685"/>
      <c r="O583" s="779"/>
      <c r="P583" s="684"/>
      <c r="Q583" s="685"/>
      <c r="R583" s="760"/>
    </row>
    <row r="584" spans="1:18" s="761" customFormat="1" ht="36">
      <c r="A584" s="829">
        <v>4810</v>
      </c>
      <c r="B584" s="850" t="s">
        <v>1016</v>
      </c>
      <c r="C584" s="697">
        <v>83000</v>
      </c>
      <c r="D584" s="643">
        <f t="shared" si="67"/>
        <v>0</v>
      </c>
      <c r="E584" s="667">
        <f>SUM(H584+K584+N584+Q584)</f>
        <v>0</v>
      </c>
      <c r="F584" s="644"/>
      <c r="G584" s="697">
        <f>83000-83000</f>
        <v>0</v>
      </c>
      <c r="H584" s="643"/>
      <c r="I584" s="647"/>
      <c r="J584" s="648"/>
      <c r="K584" s="643"/>
      <c r="L584" s="649"/>
      <c r="M584" s="643"/>
      <c r="N584" s="643"/>
      <c r="O584" s="731"/>
      <c r="P584" s="697"/>
      <c r="Q584" s="643"/>
      <c r="R584" s="737"/>
    </row>
    <row r="585" spans="1:18" s="761" customFormat="1" ht="36">
      <c r="A585" s="829">
        <v>6800</v>
      </c>
      <c r="B585" s="865" t="s">
        <v>1017</v>
      </c>
      <c r="C585" s="697">
        <v>100000</v>
      </c>
      <c r="D585" s="643">
        <f t="shared" si="67"/>
        <v>98053</v>
      </c>
      <c r="E585" s="667">
        <f t="shared" si="68"/>
        <v>0</v>
      </c>
      <c r="F585" s="644">
        <f t="shared" si="60"/>
        <v>0</v>
      </c>
      <c r="G585" s="697">
        <f>100000-1947</f>
        <v>98053</v>
      </c>
      <c r="H585" s="643"/>
      <c r="I585" s="647">
        <f t="shared" si="61"/>
        <v>0</v>
      </c>
      <c r="J585" s="648"/>
      <c r="K585" s="643"/>
      <c r="L585" s="649"/>
      <c r="M585" s="643"/>
      <c r="N585" s="643"/>
      <c r="O585" s="731"/>
      <c r="P585" s="697"/>
      <c r="Q585" s="643"/>
      <c r="R585" s="737"/>
    </row>
    <row r="586" spans="1:18" ht="24.75" thickBot="1">
      <c r="A586" s="728">
        <v>4810</v>
      </c>
      <c r="B586" s="735" t="s">
        <v>1018</v>
      </c>
      <c r="C586" s="666">
        <v>1500000</v>
      </c>
      <c r="D586" s="643">
        <f t="shared" si="67"/>
        <v>1500000</v>
      </c>
      <c r="E586" s="667">
        <f t="shared" si="68"/>
        <v>0</v>
      </c>
      <c r="F586" s="644">
        <f t="shared" si="60"/>
        <v>0</v>
      </c>
      <c r="G586" s="666">
        <v>1500000</v>
      </c>
      <c r="H586" s="667"/>
      <c r="I586" s="647">
        <f t="shared" si="61"/>
        <v>0</v>
      </c>
      <c r="J586" s="730"/>
      <c r="K586" s="667"/>
      <c r="L586" s="649"/>
      <c r="M586" s="667"/>
      <c r="N586" s="667"/>
      <c r="O586" s="731"/>
      <c r="P586" s="666"/>
      <c r="Q586" s="667"/>
      <c r="R586" s="737"/>
    </row>
    <row r="587" spans="1:18" s="723" customFormat="1" ht="27" customHeight="1" thickBot="1" thickTop="1">
      <c r="A587" s="718">
        <v>801</v>
      </c>
      <c r="B587" s="719" t="s">
        <v>494</v>
      </c>
      <c r="C587" s="720">
        <f>C588+C618+C655+C676+C704+C747+C776+C798+C830+C851+C876+C879+C895+C659+C643+C726</f>
        <v>111632500</v>
      </c>
      <c r="D587" s="618">
        <f t="shared" si="67"/>
        <v>119715228</v>
      </c>
      <c r="E587" s="618">
        <f>H587+K587+Q587+N587</f>
        <v>90336919</v>
      </c>
      <c r="F587" s="619">
        <f t="shared" si="60"/>
        <v>75.4598395786374</v>
      </c>
      <c r="G587" s="720">
        <f>G588+G618+G655+G676+G704+G747+G776+G798+G830+G851+G876+G879+G895+G659+G643+G726</f>
        <v>72909990</v>
      </c>
      <c r="H587" s="623">
        <f>H588+H618+H655+H676+H704+H747+H776+H798+H830+H851+H876+H879+H895+H659+H643+H726</f>
        <v>53968166</v>
      </c>
      <c r="I587" s="742">
        <f t="shared" si="61"/>
        <v>74.02026251820911</v>
      </c>
      <c r="J587" s="623">
        <f>J895</f>
        <v>7100</v>
      </c>
      <c r="K587" s="623">
        <f>K895</f>
        <v>6392</v>
      </c>
      <c r="L587" s="621">
        <f>K587/J587*100</f>
        <v>90.0281690140845</v>
      </c>
      <c r="M587" s="623">
        <f>M588+M618+M655+M676+M704+M747+M776+M798+M830+M851+M876+M879+M895+M659</f>
        <v>46798138</v>
      </c>
      <c r="N587" s="623">
        <f>N588+N618+N655+N676+N704+N747+N776+N798+N830+N851+N876+N879+N895+N659</f>
        <v>36362361</v>
      </c>
      <c r="O587" s="621">
        <f>N587/M587*100</f>
        <v>77.70044397920276</v>
      </c>
      <c r="P587" s="720"/>
      <c r="Q587" s="623"/>
      <c r="R587" s="853"/>
    </row>
    <row r="588" spans="1:18" ht="18.75" customHeight="1" thickTop="1">
      <c r="A588" s="724">
        <v>80101</v>
      </c>
      <c r="B588" s="854" t="s">
        <v>496</v>
      </c>
      <c r="C588" s="726">
        <f>SUM(C589:C617)</f>
        <v>29545200</v>
      </c>
      <c r="D588" s="727">
        <f t="shared" si="67"/>
        <v>34063117</v>
      </c>
      <c r="E588" s="637">
        <f>H588+K588+Q588+N588</f>
        <v>22998237</v>
      </c>
      <c r="F588" s="705">
        <f t="shared" si="60"/>
        <v>67.51653702155326</v>
      </c>
      <c r="G588" s="726">
        <f>SUM(G589:G617)</f>
        <v>34063117</v>
      </c>
      <c r="H588" s="657">
        <f>SUM(H589:H617)</f>
        <v>22998237</v>
      </c>
      <c r="I588" s="766">
        <f t="shared" si="61"/>
        <v>67.51653702155326</v>
      </c>
      <c r="J588" s="657"/>
      <c r="K588" s="657"/>
      <c r="L588" s="707"/>
      <c r="M588" s="657"/>
      <c r="N588" s="657"/>
      <c r="O588" s="317"/>
      <c r="P588" s="726"/>
      <c r="Q588" s="657"/>
      <c r="R588" s="842"/>
    </row>
    <row r="589" spans="1:18" ht="48">
      <c r="A589" s="728">
        <v>2540</v>
      </c>
      <c r="B589" s="735" t="s">
        <v>1019</v>
      </c>
      <c r="C589" s="666">
        <v>625000</v>
      </c>
      <c r="D589" s="643">
        <f t="shared" si="67"/>
        <v>685000</v>
      </c>
      <c r="E589" s="667">
        <f>SUM(H589+K589+N589+Q589)</f>
        <v>525517</v>
      </c>
      <c r="F589" s="644">
        <f t="shared" si="60"/>
        <v>76.7178102189781</v>
      </c>
      <c r="G589" s="666">
        <f>625000+60000</f>
        <v>685000</v>
      </c>
      <c r="H589" s="667">
        <v>525517</v>
      </c>
      <c r="I589" s="492">
        <f t="shared" si="61"/>
        <v>76.7178102189781</v>
      </c>
      <c r="J589" s="730"/>
      <c r="K589" s="667"/>
      <c r="L589" s="649"/>
      <c r="M589" s="667"/>
      <c r="N589" s="667"/>
      <c r="O589" s="731"/>
      <c r="P589" s="666"/>
      <c r="Q589" s="667"/>
      <c r="R589" s="737"/>
    </row>
    <row r="590" spans="1:18" ht="36">
      <c r="A590" s="728">
        <v>3020</v>
      </c>
      <c r="B590" s="735" t="s">
        <v>1020</v>
      </c>
      <c r="C590" s="666">
        <v>93300</v>
      </c>
      <c r="D590" s="643">
        <f t="shared" si="67"/>
        <v>150564</v>
      </c>
      <c r="E590" s="667">
        <f aca="true" t="shared" si="69" ref="E590:E603">SUM(H590+K590+N590+Q590)</f>
        <v>45157</v>
      </c>
      <c r="F590" s="644">
        <f t="shared" si="60"/>
        <v>29.991897133444912</v>
      </c>
      <c r="G590" s="666">
        <f>93300-1000+11000+47264</f>
        <v>150564</v>
      </c>
      <c r="H590" s="667">
        <v>45157</v>
      </c>
      <c r="I590" s="492">
        <f t="shared" si="61"/>
        <v>29.991897133444912</v>
      </c>
      <c r="J590" s="730"/>
      <c r="K590" s="667"/>
      <c r="L590" s="649"/>
      <c r="M590" s="667"/>
      <c r="N590" s="667"/>
      <c r="O590" s="731"/>
      <c r="P590" s="666"/>
      <c r="Q590" s="667"/>
      <c r="R590" s="737"/>
    </row>
    <row r="591" spans="1:18" ht="24.75" customHeight="1">
      <c r="A591" s="728">
        <v>4010</v>
      </c>
      <c r="B591" s="735" t="s">
        <v>697</v>
      </c>
      <c r="C591" s="666">
        <v>18268700</v>
      </c>
      <c r="D591" s="643">
        <f t="shared" si="67"/>
        <v>18372662</v>
      </c>
      <c r="E591" s="667">
        <f t="shared" si="69"/>
        <v>14268251</v>
      </c>
      <c r="F591" s="644">
        <f t="shared" si="60"/>
        <v>77.66022691758005</v>
      </c>
      <c r="G591" s="666">
        <f>18268700+209068-2542-24000-78564</f>
        <v>18372662</v>
      </c>
      <c r="H591" s="667">
        <v>14268251</v>
      </c>
      <c r="I591" s="492">
        <f t="shared" si="61"/>
        <v>77.66022691758005</v>
      </c>
      <c r="J591" s="730"/>
      <c r="K591" s="667"/>
      <c r="L591" s="649"/>
      <c r="M591" s="667"/>
      <c r="N591" s="667"/>
      <c r="O591" s="731"/>
      <c r="P591" s="666"/>
      <c r="Q591" s="667"/>
      <c r="R591" s="737"/>
    </row>
    <row r="592" spans="1:18" ht="24.75" customHeight="1">
      <c r="A592" s="728">
        <v>4040</v>
      </c>
      <c r="B592" s="735" t="s">
        <v>801</v>
      </c>
      <c r="C592" s="666">
        <v>1490600</v>
      </c>
      <c r="D592" s="643">
        <f t="shared" si="67"/>
        <v>1407491</v>
      </c>
      <c r="E592" s="667">
        <f t="shared" si="69"/>
        <v>1407425</v>
      </c>
      <c r="F592" s="644">
        <f t="shared" si="60"/>
        <v>99.9953108048293</v>
      </c>
      <c r="G592" s="666">
        <f>1490600-103930+20740+81</f>
        <v>1407491</v>
      </c>
      <c r="H592" s="667">
        <v>1407425</v>
      </c>
      <c r="I592" s="492">
        <f t="shared" si="61"/>
        <v>99.9953108048293</v>
      </c>
      <c r="J592" s="730"/>
      <c r="K592" s="667"/>
      <c r="L592" s="649"/>
      <c r="M592" s="667"/>
      <c r="N592" s="667"/>
      <c r="O592" s="731"/>
      <c r="P592" s="666"/>
      <c r="Q592" s="667"/>
      <c r="R592" s="737"/>
    </row>
    <row r="593" spans="1:18" ht="23.25" customHeight="1">
      <c r="A593" s="728">
        <v>4110</v>
      </c>
      <c r="B593" s="735" t="s">
        <v>703</v>
      </c>
      <c r="C593" s="666">
        <v>3150000</v>
      </c>
      <c r="D593" s="643">
        <f t="shared" si="67"/>
        <v>3172870</v>
      </c>
      <c r="E593" s="667">
        <f>SUM(H593+K593+N593+Q593)</f>
        <v>2326262</v>
      </c>
      <c r="F593" s="644">
        <f t="shared" si="60"/>
        <v>73.31728056932683</v>
      </c>
      <c r="G593" s="666">
        <f>3150000+29270-2100-4300</f>
        <v>3172870</v>
      </c>
      <c r="H593" s="667">
        <v>2326262</v>
      </c>
      <c r="I593" s="492">
        <f t="shared" si="61"/>
        <v>73.31728056932683</v>
      </c>
      <c r="J593" s="730"/>
      <c r="K593" s="667"/>
      <c r="L593" s="649"/>
      <c r="M593" s="667"/>
      <c r="N593" s="667"/>
      <c r="O593" s="731"/>
      <c r="P593" s="666"/>
      <c r="Q593" s="667"/>
      <c r="R593" s="737"/>
    </row>
    <row r="594" spans="1:18" ht="15" customHeight="1">
      <c r="A594" s="728">
        <v>4120</v>
      </c>
      <c r="B594" s="735" t="s">
        <v>847</v>
      </c>
      <c r="C594" s="666">
        <v>483000</v>
      </c>
      <c r="D594" s="643">
        <f t="shared" si="67"/>
        <v>486922</v>
      </c>
      <c r="E594" s="667">
        <f>SUM(H594+K594+N594+Q594)</f>
        <v>364970</v>
      </c>
      <c r="F594" s="644">
        <f t="shared" si="60"/>
        <v>74.95451016795298</v>
      </c>
      <c r="G594" s="666">
        <f>483000+5122-500-700</f>
        <v>486922</v>
      </c>
      <c r="H594" s="667">
        <v>364970</v>
      </c>
      <c r="I594" s="492">
        <f t="shared" si="61"/>
        <v>74.95451016795298</v>
      </c>
      <c r="J594" s="730"/>
      <c r="K594" s="667"/>
      <c r="L594" s="649"/>
      <c r="M594" s="667"/>
      <c r="N594" s="667"/>
      <c r="O594" s="731"/>
      <c r="P594" s="666"/>
      <c r="Q594" s="667"/>
      <c r="R594" s="737"/>
    </row>
    <row r="595" spans="1:18" ht="15" customHeight="1">
      <c r="A595" s="728">
        <v>4140</v>
      </c>
      <c r="B595" s="735" t="s">
        <v>804</v>
      </c>
      <c r="C595" s="666">
        <v>84000</v>
      </c>
      <c r="D595" s="643">
        <f t="shared" si="67"/>
        <v>99000</v>
      </c>
      <c r="E595" s="667">
        <f>SUM(H595+K595+N595+Q595)</f>
        <v>71776</v>
      </c>
      <c r="F595" s="644">
        <f t="shared" si="60"/>
        <v>72.5010101010101</v>
      </c>
      <c r="G595" s="666">
        <f>84000+8200+5100+1700</f>
        <v>99000</v>
      </c>
      <c r="H595" s="667">
        <v>71776</v>
      </c>
      <c r="I595" s="492">
        <f t="shared" si="61"/>
        <v>72.5010101010101</v>
      </c>
      <c r="J595" s="730"/>
      <c r="K595" s="667"/>
      <c r="L595" s="649"/>
      <c r="M595" s="667"/>
      <c r="N595" s="667"/>
      <c r="O595" s="731"/>
      <c r="P595" s="666"/>
      <c r="Q595" s="667"/>
      <c r="R595" s="737"/>
    </row>
    <row r="596" spans="1:18" ht="24">
      <c r="A596" s="728">
        <v>4170</v>
      </c>
      <c r="B596" s="735" t="s">
        <v>742</v>
      </c>
      <c r="C596" s="666">
        <v>7300</v>
      </c>
      <c r="D596" s="643">
        <f t="shared" si="67"/>
        <v>7500</v>
      </c>
      <c r="E596" s="667">
        <f>SUM(H596+K596+N596+Q596)</f>
        <v>2942</v>
      </c>
      <c r="F596" s="644">
        <f t="shared" si="60"/>
        <v>39.22666666666667</v>
      </c>
      <c r="G596" s="666">
        <f>7300-800+1000</f>
        <v>7500</v>
      </c>
      <c r="H596" s="667">
        <v>2942</v>
      </c>
      <c r="I596" s="492">
        <f t="shared" si="61"/>
        <v>39.22666666666667</v>
      </c>
      <c r="J596" s="730"/>
      <c r="K596" s="667"/>
      <c r="L596" s="649"/>
      <c r="M596" s="667"/>
      <c r="N596" s="667"/>
      <c r="O596" s="731"/>
      <c r="P596" s="666"/>
      <c r="Q596" s="667"/>
      <c r="R596" s="737"/>
    </row>
    <row r="597" spans="1:18" ht="24" customHeight="1">
      <c r="A597" s="728">
        <v>4210</v>
      </c>
      <c r="B597" s="735" t="s">
        <v>707</v>
      </c>
      <c r="C597" s="666">
        <v>582200</v>
      </c>
      <c r="D597" s="643">
        <f t="shared" si="67"/>
        <v>621659</v>
      </c>
      <c r="E597" s="667">
        <f t="shared" si="69"/>
        <v>460480</v>
      </c>
      <c r="F597" s="644">
        <f t="shared" si="60"/>
        <v>74.07276336383774</v>
      </c>
      <c r="G597" s="666">
        <f>582200+23500-3000+10400+8559</f>
        <v>621659</v>
      </c>
      <c r="H597" s="667">
        <v>460480</v>
      </c>
      <c r="I597" s="492">
        <f t="shared" si="61"/>
        <v>74.07276336383774</v>
      </c>
      <c r="J597" s="730"/>
      <c r="K597" s="667"/>
      <c r="L597" s="647"/>
      <c r="M597" s="667"/>
      <c r="N597" s="667"/>
      <c r="O597" s="731"/>
      <c r="P597" s="666"/>
      <c r="Q597" s="667"/>
      <c r="R597" s="737"/>
    </row>
    <row r="598" spans="1:18" ht="23.25" customHeight="1">
      <c r="A598" s="728">
        <v>4240</v>
      </c>
      <c r="B598" s="735" t="s">
        <v>1021</v>
      </c>
      <c r="C598" s="666">
        <v>70000</v>
      </c>
      <c r="D598" s="643">
        <f t="shared" si="67"/>
        <v>334400</v>
      </c>
      <c r="E598" s="667">
        <f>SUM(H598+K598+N598+Q598)</f>
        <v>53691</v>
      </c>
      <c r="F598" s="644">
        <f t="shared" si="60"/>
        <v>16.05592105263158</v>
      </c>
      <c r="G598" s="666">
        <f>70000+5000+17400+242000</f>
        <v>334400</v>
      </c>
      <c r="H598" s="667">
        <v>53691</v>
      </c>
      <c r="I598" s="492">
        <f t="shared" si="61"/>
        <v>16.05592105263158</v>
      </c>
      <c r="J598" s="730"/>
      <c r="K598" s="667"/>
      <c r="L598" s="649"/>
      <c r="M598" s="667"/>
      <c r="N598" s="667"/>
      <c r="O598" s="731"/>
      <c r="P598" s="666"/>
      <c r="Q598" s="667"/>
      <c r="R598" s="737"/>
    </row>
    <row r="599" spans="1:18" ht="15" customHeight="1">
      <c r="A599" s="728">
        <v>4260</v>
      </c>
      <c r="B599" s="876" t="s">
        <v>711</v>
      </c>
      <c r="C599" s="666">
        <v>1616900</v>
      </c>
      <c r="D599" s="643">
        <f t="shared" si="67"/>
        <v>1612200</v>
      </c>
      <c r="E599" s="667">
        <f t="shared" si="69"/>
        <v>1151265</v>
      </c>
      <c r="F599" s="644">
        <f t="shared" si="60"/>
        <v>71.40956457015258</v>
      </c>
      <c r="G599" s="666">
        <f>1616900-4700</f>
        <v>1612200</v>
      </c>
      <c r="H599" s="667">
        <v>1151265</v>
      </c>
      <c r="I599" s="492">
        <f t="shared" si="61"/>
        <v>71.40956457015258</v>
      </c>
      <c r="J599" s="730"/>
      <c r="K599" s="667"/>
      <c r="L599" s="649"/>
      <c r="M599" s="667"/>
      <c r="N599" s="667"/>
      <c r="O599" s="731"/>
      <c r="P599" s="666"/>
      <c r="Q599" s="667"/>
      <c r="R599" s="737"/>
    </row>
    <row r="600" spans="1:18" ht="15" customHeight="1">
      <c r="A600" s="728">
        <v>4270</v>
      </c>
      <c r="B600" s="735" t="s">
        <v>713</v>
      </c>
      <c r="C600" s="666">
        <v>49800</v>
      </c>
      <c r="D600" s="643">
        <f t="shared" si="67"/>
        <v>126320</v>
      </c>
      <c r="E600" s="667">
        <f t="shared" si="69"/>
        <v>48144</v>
      </c>
      <c r="F600" s="644">
        <f t="shared" si="60"/>
        <v>38.11272957568081</v>
      </c>
      <c r="G600" s="666">
        <f>49800+9620+46700+9100+12500-1400</f>
        <v>126320</v>
      </c>
      <c r="H600" s="667">
        <v>48144</v>
      </c>
      <c r="I600" s="492">
        <f t="shared" si="61"/>
        <v>38.11272957568081</v>
      </c>
      <c r="J600" s="730"/>
      <c r="K600" s="667"/>
      <c r="L600" s="649"/>
      <c r="M600" s="667"/>
      <c r="N600" s="667"/>
      <c r="O600" s="731"/>
      <c r="P600" s="666"/>
      <c r="Q600" s="667"/>
      <c r="R600" s="737"/>
    </row>
    <row r="601" spans="1:18" ht="15" customHeight="1">
      <c r="A601" s="728">
        <v>4280</v>
      </c>
      <c r="B601" s="735" t="s">
        <v>805</v>
      </c>
      <c r="C601" s="666">
        <v>26400</v>
      </c>
      <c r="D601" s="643">
        <f t="shared" si="67"/>
        <v>26500</v>
      </c>
      <c r="E601" s="667">
        <f t="shared" si="69"/>
        <v>12366</v>
      </c>
      <c r="F601" s="644">
        <f t="shared" si="60"/>
        <v>46.66415094339623</v>
      </c>
      <c r="G601" s="666">
        <f>26400-600+700</f>
        <v>26500</v>
      </c>
      <c r="H601" s="667">
        <v>12366</v>
      </c>
      <c r="I601" s="492">
        <f t="shared" si="61"/>
        <v>46.66415094339623</v>
      </c>
      <c r="J601" s="730"/>
      <c r="K601" s="667"/>
      <c r="L601" s="649"/>
      <c r="M601" s="667"/>
      <c r="N601" s="667"/>
      <c r="O601" s="731"/>
      <c r="P601" s="666"/>
      <c r="Q601" s="667"/>
      <c r="R601" s="737"/>
    </row>
    <row r="602" spans="1:18" ht="14.25" customHeight="1">
      <c r="A602" s="762">
        <v>4300</v>
      </c>
      <c r="B602" s="780" t="s">
        <v>715</v>
      </c>
      <c r="C602" s="781">
        <v>397800</v>
      </c>
      <c r="D602" s="765">
        <f t="shared" si="67"/>
        <v>412230</v>
      </c>
      <c r="E602" s="785">
        <f t="shared" si="69"/>
        <v>313991</v>
      </c>
      <c r="F602" s="705">
        <f t="shared" si="60"/>
        <v>76.16888630133664</v>
      </c>
      <c r="G602" s="781">
        <f>397800-1000+9000+6430</f>
        <v>412230</v>
      </c>
      <c r="H602" s="785">
        <v>313991</v>
      </c>
      <c r="I602" s="766">
        <f t="shared" si="61"/>
        <v>76.16888630133664</v>
      </c>
      <c r="J602" s="782"/>
      <c r="K602" s="785"/>
      <c r="L602" s="768"/>
      <c r="M602" s="785"/>
      <c r="N602" s="785"/>
      <c r="O602" s="786"/>
      <c r="P602" s="781"/>
      <c r="Q602" s="785"/>
      <c r="R602" s="770"/>
    </row>
    <row r="603" spans="1:18" ht="24">
      <c r="A603" s="728">
        <v>4350</v>
      </c>
      <c r="B603" s="735" t="s">
        <v>807</v>
      </c>
      <c r="C603" s="666">
        <v>30200</v>
      </c>
      <c r="D603" s="643">
        <f t="shared" si="67"/>
        <v>31800</v>
      </c>
      <c r="E603" s="667">
        <f t="shared" si="69"/>
        <v>18475</v>
      </c>
      <c r="F603" s="644">
        <f t="shared" si="60"/>
        <v>58.09748427672956</v>
      </c>
      <c r="G603" s="666">
        <f>30200+3700-1500-600</f>
        <v>31800</v>
      </c>
      <c r="H603" s="667">
        <v>18475</v>
      </c>
      <c r="I603" s="492">
        <f t="shared" si="61"/>
        <v>58.09748427672956</v>
      </c>
      <c r="J603" s="730"/>
      <c r="K603" s="667"/>
      <c r="L603" s="649"/>
      <c r="M603" s="667"/>
      <c r="N603" s="667"/>
      <c r="O603" s="731"/>
      <c r="P603" s="666"/>
      <c r="Q603" s="667"/>
      <c r="R603" s="737"/>
    </row>
    <row r="604" spans="1:18" ht="48">
      <c r="A604" s="829">
        <v>4360</v>
      </c>
      <c r="B604" s="850" t="s">
        <v>982</v>
      </c>
      <c r="C604" s="666">
        <v>1600</v>
      </c>
      <c r="D604" s="643">
        <f t="shared" si="67"/>
        <v>2400</v>
      </c>
      <c r="E604" s="667">
        <f>SUM(H604+K604+N604+Q604)</f>
        <v>1869</v>
      </c>
      <c r="F604" s="644">
        <f aca="true" t="shared" si="70" ref="F604:F667">E604/D604*100</f>
        <v>77.875</v>
      </c>
      <c r="G604" s="666">
        <f>1600+800</f>
        <v>2400</v>
      </c>
      <c r="H604" s="667">
        <v>1869</v>
      </c>
      <c r="I604" s="492">
        <f aca="true" t="shared" si="71" ref="I604:I617">H604/G604*100</f>
        <v>77.875</v>
      </c>
      <c r="J604" s="730"/>
      <c r="K604" s="667"/>
      <c r="L604" s="649"/>
      <c r="M604" s="667"/>
      <c r="N604" s="667"/>
      <c r="O604" s="731"/>
      <c r="P604" s="666"/>
      <c r="Q604" s="667"/>
      <c r="R604" s="737"/>
    </row>
    <row r="605" spans="1:18" ht="48">
      <c r="A605" s="829">
        <v>4370</v>
      </c>
      <c r="B605" s="850" t="s">
        <v>916</v>
      </c>
      <c r="C605" s="666">
        <v>71300</v>
      </c>
      <c r="D605" s="643">
        <f t="shared" si="67"/>
        <v>68700</v>
      </c>
      <c r="E605" s="667">
        <f>SUM(H605+K605+N605+Q605)</f>
        <v>44024</v>
      </c>
      <c r="F605" s="644">
        <f t="shared" si="70"/>
        <v>64.08151382823873</v>
      </c>
      <c r="G605" s="666">
        <f>71300-1000-1600</f>
        <v>68700</v>
      </c>
      <c r="H605" s="667">
        <v>44024</v>
      </c>
      <c r="I605" s="492">
        <f t="shared" si="71"/>
        <v>64.08151382823873</v>
      </c>
      <c r="J605" s="730"/>
      <c r="K605" s="667"/>
      <c r="L605" s="649"/>
      <c r="M605" s="667"/>
      <c r="N605" s="667"/>
      <c r="O605" s="731"/>
      <c r="P605" s="666"/>
      <c r="Q605" s="667"/>
      <c r="R605" s="737"/>
    </row>
    <row r="606" spans="1:18" ht="36" hidden="1">
      <c r="A606" s="728">
        <v>4380</v>
      </c>
      <c r="B606" s="735" t="s">
        <v>1022</v>
      </c>
      <c r="C606" s="666"/>
      <c r="D606" s="643">
        <f t="shared" si="67"/>
        <v>0</v>
      </c>
      <c r="E606" s="667">
        <f>SUM(H606+K606+N606+Q606)</f>
        <v>0</v>
      </c>
      <c r="F606" s="644" t="e">
        <f t="shared" si="70"/>
        <v>#DIV/0!</v>
      </c>
      <c r="G606" s="666"/>
      <c r="H606" s="667"/>
      <c r="I606" s="492"/>
      <c r="J606" s="730"/>
      <c r="K606" s="667"/>
      <c r="L606" s="649"/>
      <c r="M606" s="667"/>
      <c r="N606" s="667"/>
      <c r="O606" s="731"/>
      <c r="P606" s="666"/>
      <c r="Q606" s="667"/>
      <c r="R606" s="737"/>
    </row>
    <row r="607" spans="1:18" ht="36">
      <c r="A607" s="728">
        <v>4390</v>
      </c>
      <c r="B607" s="865" t="s">
        <v>743</v>
      </c>
      <c r="C607" s="666">
        <v>72200</v>
      </c>
      <c r="D607" s="643">
        <f t="shared" si="67"/>
        <v>70700</v>
      </c>
      <c r="E607" s="667">
        <f>SUM(H607+K607+N607+Q607)</f>
        <v>30313</v>
      </c>
      <c r="F607" s="644">
        <f t="shared" si="70"/>
        <v>42.87553041018388</v>
      </c>
      <c r="G607" s="666">
        <f>72200-1500</f>
        <v>70700</v>
      </c>
      <c r="H607" s="667">
        <v>30313</v>
      </c>
      <c r="I607" s="492">
        <f t="shared" si="71"/>
        <v>42.87553041018388</v>
      </c>
      <c r="J607" s="730"/>
      <c r="K607" s="667"/>
      <c r="L607" s="649"/>
      <c r="M607" s="667"/>
      <c r="N607" s="667"/>
      <c r="O607" s="731"/>
      <c r="P607" s="666"/>
      <c r="Q607" s="667"/>
      <c r="R607" s="737"/>
    </row>
    <row r="608" spans="1:18" ht="13.5" customHeight="1">
      <c r="A608" s="728">
        <v>4410</v>
      </c>
      <c r="B608" s="735" t="s">
        <v>689</v>
      </c>
      <c r="C608" s="666">
        <v>28200</v>
      </c>
      <c r="D608" s="643">
        <f t="shared" si="67"/>
        <v>28200</v>
      </c>
      <c r="E608" s="667">
        <f>SUM(H608+K608+N608+Q608)</f>
        <v>15008</v>
      </c>
      <c r="F608" s="644">
        <f t="shared" si="70"/>
        <v>53.219858156028366</v>
      </c>
      <c r="G608" s="666">
        <v>28200</v>
      </c>
      <c r="H608" s="667">
        <v>15008</v>
      </c>
      <c r="I608" s="492">
        <f t="shared" si="71"/>
        <v>53.219858156028366</v>
      </c>
      <c r="J608" s="730"/>
      <c r="K608" s="667"/>
      <c r="L608" s="649"/>
      <c r="M608" s="667"/>
      <c r="N608" s="667"/>
      <c r="O608" s="731"/>
      <c r="P608" s="666"/>
      <c r="Q608" s="667"/>
      <c r="R608" s="737"/>
    </row>
    <row r="609" spans="1:18" ht="23.25" customHeight="1">
      <c r="A609" s="728">
        <v>4420</v>
      </c>
      <c r="B609" s="735" t="s">
        <v>823</v>
      </c>
      <c r="C609" s="666">
        <v>2100</v>
      </c>
      <c r="D609" s="643">
        <f t="shared" si="67"/>
        <v>600</v>
      </c>
      <c r="E609" s="643">
        <f>H609+K609+Q609+N609</f>
        <v>0</v>
      </c>
      <c r="F609" s="644">
        <f t="shared" si="70"/>
        <v>0</v>
      </c>
      <c r="G609" s="666">
        <f>2100-1500</f>
        <v>600</v>
      </c>
      <c r="H609" s="667"/>
      <c r="I609" s="492">
        <f t="shared" si="71"/>
        <v>0</v>
      </c>
      <c r="J609" s="730"/>
      <c r="K609" s="667"/>
      <c r="L609" s="649"/>
      <c r="M609" s="667"/>
      <c r="N609" s="667"/>
      <c r="O609" s="731"/>
      <c r="P609" s="666"/>
      <c r="Q609" s="667"/>
      <c r="R609" s="737"/>
    </row>
    <row r="610" spans="1:18" ht="12.75">
      <c r="A610" s="728">
        <v>4430</v>
      </c>
      <c r="B610" s="735" t="s">
        <v>717</v>
      </c>
      <c r="C610" s="666">
        <v>600</v>
      </c>
      <c r="D610" s="643">
        <f t="shared" si="67"/>
        <v>600</v>
      </c>
      <c r="E610" s="643">
        <f>H610+K610+Q610+N610</f>
        <v>362</v>
      </c>
      <c r="F610" s="644">
        <f t="shared" si="70"/>
        <v>60.333333333333336</v>
      </c>
      <c r="G610" s="666">
        <v>600</v>
      </c>
      <c r="H610" s="667">
        <v>362</v>
      </c>
      <c r="I610" s="492">
        <f t="shared" si="71"/>
        <v>60.333333333333336</v>
      </c>
      <c r="J610" s="730"/>
      <c r="K610" s="667"/>
      <c r="L610" s="649"/>
      <c r="M610" s="667"/>
      <c r="N610" s="667"/>
      <c r="O610" s="731"/>
      <c r="P610" s="666"/>
      <c r="Q610" s="667"/>
      <c r="R610" s="737"/>
    </row>
    <row r="611" spans="1:18" ht="12.75" customHeight="1">
      <c r="A611" s="728">
        <v>4440</v>
      </c>
      <c r="B611" s="735" t="s">
        <v>719</v>
      </c>
      <c r="C611" s="666">
        <v>1067000</v>
      </c>
      <c r="D611" s="643">
        <f t="shared" si="67"/>
        <v>1123580</v>
      </c>
      <c r="E611" s="667">
        <f aca="true" t="shared" si="72" ref="E611:E617">SUM(H611+K611+N611+Q611)</f>
        <v>1123580</v>
      </c>
      <c r="F611" s="644">
        <f t="shared" si="70"/>
        <v>100</v>
      </c>
      <c r="G611" s="666">
        <f>1067000+55680+900</f>
        <v>1123580</v>
      </c>
      <c r="H611" s="667">
        <v>1123580</v>
      </c>
      <c r="I611" s="492">
        <f t="shared" si="71"/>
        <v>100</v>
      </c>
      <c r="J611" s="730"/>
      <c r="K611" s="667"/>
      <c r="L611" s="649"/>
      <c r="M611" s="667"/>
      <c r="N611" s="667"/>
      <c r="O611" s="731"/>
      <c r="P611" s="666"/>
      <c r="Q611" s="667"/>
      <c r="R611" s="737"/>
    </row>
    <row r="612" spans="1:18" ht="12.75" customHeight="1">
      <c r="A612" s="728">
        <v>4580</v>
      </c>
      <c r="B612" s="735" t="s">
        <v>412</v>
      </c>
      <c r="C612" s="666"/>
      <c r="D612" s="643">
        <f>G612+J612+P612+M612</f>
        <v>342</v>
      </c>
      <c r="E612" s="667">
        <f>SUM(H612+K612+N612+Q612)</f>
        <v>342</v>
      </c>
      <c r="F612" s="644">
        <f>E612/D612*100</f>
        <v>100</v>
      </c>
      <c r="G612" s="666">
        <v>342</v>
      </c>
      <c r="H612" s="667">
        <v>342</v>
      </c>
      <c r="I612" s="492">
        <f t="shared" si="71"/>
        <v>100</v>
      </c>
      <c r="J612" s="730"/>
      <c r="K612" s="667"/>
      <c r="L612" s="649"/>
      <c r="M612" s="667"/>
      <c r="N612" s="667"/>
      <c r="O612" s="731"/>
      <c r="P612" s="666"/>
      <c r="Q612" s="667"/>
      <c r="R612" s="737"/>
    </row>
    <row r="613" spans="1:18" ht="36">
      <c r="A613" s="829">
        <v>4700</v>
      </c>
      <c r="B613" s="850" t="s">
        <v>813</v>
      </c>
      <c r="C613" s="666">
        <v>28400</v>
      </c>
      <c r="D613" s="643">
        <f t="shared" si="67"/>
        <v>29400</v>
      </c>
      <c r="E613" s="667">
        <f t="shared" si="72"/>
        <v>18086</v>
      </c>
      <c r="F613" s="644">
        <f t="shared" si="70"/>
        <v>61.517006802721085</v>
      </c>
      <c r="G613" s="666">
        <f>28400+1000</f>
        <v>29400</v>
      </c>
      <c r="H613" s="667">
        <f>18087-1</f>
        <v>18086</v>
      </c>
      <c r="I613" s="492">
        <f t="shared" si="71"/>
        <v>61.517006802721085</v>
      </c>
      <c r="J613" s="730"/>
      <c r="K613" s="667"/>
      <c r="L613" s="649"/>
      <c r="M613" s="667"/>
      <c r="N613" s="667"/>
      <c r="O613" s="731"/>
      <c r="P613" s="666"/>
      <c r="Q613" s="667"/>
      <c r="R613" s="737"/>
    </row>
    <row r="614" spans="1:18" ht="60">
      <c r="A614" s="829">
        <v>4740</v>
      </c>
      <c r="B614" s="850" t="s">
        <v>728</v>
      </c>
      <c r="C614" s="666">
        <v>29700</v>
      </c>
      <c r="D614" s="643">
        <f t="shared" si="67"/>
        <v>27700</v>
      </c>
      <c r="E614" s="667">
        <f t="shared" si="72"/>
        <v>13181</v>
      </c>
      <c r="F614" s="644">
        <f t="shared" si="70"/>
        <v>47.584837545126355</v>
      </c>
      <c r="G614" s="666">
        <f>29700-2000</f>
        <v>27700</v>
      </c>
      <c r="H614" s="667">
        <v>13181</v>
      </c>
      <c r="I614" s="492">
        <f t="shared" si="71"/>
        <v>47.584837545126355</v>
      </c>
      <c r="J614" s="730"/>
      <c r="K614" s="667"/>
      <c r="L614" s="649"/>
      <c r="M614" s="667"/>
      <c r="N614" s="667"/>
      <c r="O614" s="731"/>
      <c r="P614" s="666"/>
      <c r="Q614" s="667"/>
      <c r="R614" s="737"/>
    </row>
    <row r="615" spans="1:18" ht="36">
      <c r="A615" s="829">
        <v>4750</v>
      </c>
      <c r="B615" s="850" t="s">
        <v>814</v>
      </c>
      <c r="C615" s="666">
        <v>50000</v>
      </c>
      <c r="D615" s="643">
        <f t="shared" si="67"/>
        <v>50750</v>
      </c>
      <c r="E615" s="667">
        <f t="shared" si="72"/>
        <v>35312</v>
      </c>
      <c r="F615" s="644">
        <f t="shared" si="70"/>
        <v>69.58029556650246</v>
      </c>
      <c r="G615" s="666">
        <f>50000-1950+2700</f>
        <v>50750</v>
      </c>
      <c r="H615" s="667">
        <v>35312</v>
      </c>
      <c r="I615" s="492">
        <f t="shared" si="71"/>
        <v>69.58029556650246</v>
      </c>
      <c r="J615" s="730"/>
      <c r="K615" s="667"/>
      <c r="L615" s="649"/>
      <c r="M615" s="667"/>
      <c r="N615" s="667"/>
      <c r="O615" s="731"/>
      <c r="P615" s="666"/>
      <c r="Q615" s="667"/>
      <c r="R615" s="737"/>
    </row>
    <row r="616" spans="1:18" ht="72">
      <c r="A616" s="728">
        <v>6050</v>
      </c>
      <c r="B616" s="735" t="s">
        <v>1023</v>
      </c>
      <c r="C616" s="666">
        <v>1211400</v>
      </c>
      <c r="D616" s="643">
        <f t="shared" si="67"/>
        <v>5095027</v>
      </c>
      <c r="E616" s="667">
        <f t="shared" si="72"/>
        <v>631448</v>
      </c>
      <c r="F616" s="644">
        <f t="shared" si="70"/>
        <v>12.393418131052103</v>
      </c>
      <c r="G616" s="666">
        <f>1211400+20000+400000+13200+3300000+134860-15063+9000+9000-13790+26420</f>
        <v>5095027</v>
      </c>
      <c r="H616" s="667">
        <v>631448</v>
      </c>
      <c r="I616" s="492">
        <f t="shared" si="71"/>
        <v>12.393418131052103</v>
      </c>
      <c r="J616" s="730"/>
      <c r="K616" s="667"/>
      <c r="L616" s="649"/>
      <c r="M616" s="667"/>
      <c r="N616" s="667"/>
      <c r="O616" s="731"/>
      <c r="P616" s="666"/>
      <c r="Q616" s="667"/>
      <c r="R616" s="737"/>
    </row>
    <row r="617" spans="1:18" ht="36">
      <c r="A617" s="728">
        <v>6060</v>
      </c>
      <c r="B617" s="735" t="s">
        <v>856</v>
      </c>
      <c r="C617" s="666">
        <v>7500</v>
      </c>
      <c r="D617" s="643">
        <f t="shared" si="67"/>
        <v>18000</v>
      </c>
      <c r="E617" s="667">
        <f t="shared" si="72"/>
        <v>14000</v>
      </c>
      <c r="F617" s="644">
        <f t="shared" si="70"/>
        <v>77.77777777777779</v>
      </c>
      <c r="G617" s="666">
        <f>7500+10500</f>
        <v>18000</v>
      </c>
      <c r="H617" s="667">
        <v>14000</v>
      </c>
      <c r="I617" s="492">
        <f t="shared" si="71"/>
        <v>77.77777777777779</v>
      </c>
      <c r="J617" s="730"/>
      <c r="K617" s="667"/>
      <c r="L617" s="649"/>
      <c r="M617" s="667"/>
      <c r="N617" s="667"/>
      <c r="O617" s="731"/>
      <c r="P617" s="666"/>
      <c r="Q617" s="667"/>
      <c r="R617" s="737"/>
    </row>
    <row r="618" spans="1:18" s="723" customFormat="1" ht="24">
      <c r="A618" s="724">
        <v>80102</v>
      </c>
      <c r="B618" s="854" t="s">
        <v>501</v>
      </c>
      <c r="C618" s="726">
        <f>SUM(C619:C641)</f>
        <v>2144700</v>
      </c>
      <c r="D618" s="674">
        <f t="shared" si="67"/>
        <v>2186980</v>
      </c>
      <c r="E618" s="657">
        <f>H618+K618+Q618+N618</f>
        <v>1747294</v>
      </c>
      <c r="F618" s="658">
        <f t="shared" si="70"/>
        <v>79.8952893945075</v>
      </c>
      <c r="G618" s="893"/>
      <c r="H618" s="895"/>
      <c r="I618" s="280"/>
      <c r="J618" s="896"/>
      <c r="K618" s="895"/>
      <c r="L618" s="897"/>
      <c r="M618" s="657">
        <f>SUM(M619:M642)</f>
        <v>2186980</v>
      </c>
      <c r="N618" s="657">
        <f>SUM(N619:N642)</f>
        <v>1747294</v>
      </c>
      <c r="O618" s="665">
        <f aca="true" t="shared" si="73" ref="O618:O641">N618/M618*100</f>
        <v>79.8952893945075</v>
      </c>
      <c r="P618" s="726"/>
      <c r="Q618" s="657"/>
      <c r="R618" s="842"/>
    </row>
    <row r="619" spans="1:18" s="723" customFormat="1" ht="36">
      <c r="A619" s="728">
        <v>3020</v>
      </c>
      <c r="B619" s="735" t="s">
        <v>1020</v>
      </c>
      <c r="C619" s="666">
        <v>6000</v>
      </c>
      <c r="D619" s="643">
        <f t="shared" si="67"/>
        <v>6000</v>
      </c>
      <c r="E619" s="667">
        <f aca="true" t="shared" si="74" ref="E619:E642">SUM(H619+K619+N619+Q619)</f>
        <v>2577</v>
      </c>
      <c r="F619" s="644">
        <f t="shared" si="70"/>
        <v>42.95</v>
      </c>
      <c r="G619" s="666"/>
      <c r="H619" s="667"/>
      <c r="I619" s="120"/>
      <c r="J619" s="730"/>
      <c r="K619" s="667"/>
      <c r="L619" s="649"/>
      <c r="M619" s="666">
        <v>6000</v>
      </c>
      <c r="N619" s="686">
        <v>2577</v>
      </c>
      <c r="O619" s="492">
        <f t="shared" si="73"/>
        <v>42.95</v>
      </c>
      <c r="P619" s="666"/>
      <c r="Q619" s="667"/>
      <c r="R619" s="737"/>
    </row>
    <row r="620" spans="1:18" s="723" customFormat="1" ht="12.75">
      <c r="A620" s="728">
        <v>3110</v>
      </c>
      <c r="B620" s="735" t="s">
        <v>1024</v>
      </c>
      <c r="C620" s="666">
        <v>1900</v>
      </c>
      <c r="D620" s="643">
        <f>G620+J620+P620+M620</f>
        <v>2500</v>
      </c>
      <c r="E620" s="667">
        <f>SUM(H620+K620+N620+Q620)</f>
        <v>2340</v>
      </c>
      <c r="F620" s="644">
        <f>E620/D620*100</f>
        <v>93.60000000000001</v>
      </c>
      <c r="G620" s="666"/>
      <c r="H620" s="667"/>
      <c r="I620" s="120"/>
      <c r="J620" s="730"/>
      <c r="K620" s="667"/>
      <c r="L620" s="649"/>
      <c r="M620" s="666">
        <f>1900+400+200</f>
        <v>2500</v>
      </c>
      <c r="N620" s="667">
        <v>2340</v>
      </c>
      <c r="O620" s="492">
        <f t="shared" si="73"/>
        <v>93.60000000000001</v>
      </c>
      <c r="P620" s="666"/>
      <c r="Q620" s="667"/>
      <c r="R620" s="737"/>
    </row>
    <row r="621" spans="1:18" s="723" customFormat="1" ht="24">
      <c r="A621" s="728">
        <v>4010</v>
      </c>
      <c r="B621" s="735" t="s">
        <v>697</v>
      </c>
      <c r="C621" s="666">
        <v>1460000</v>
      </c>
      <c r="D621" s="643">
        <f t="shared" si="67"/>
        <v>1466300</v>
      </c>
      <c r="E621" s="667">
        <f t="shared" si="74"/>
        <v>1175443</v>
      </c>
      <c r="F621" s="644">
        <f t="shared" si="70"/>
        <v>80.16388187956079</v>
      </c>
      <c r="G621" s="666"/>
      <c r="H621" s="667"/>
      <c r="I621" s="120"/>
      <c r="J621" s="730"/>
      <c r="K621" s="667"/>
      <c r="L621" s="649"/>
      <c r="M621" s="666">
        <f>1460000+6300</f>
        <v>1466300</v>
      </c>
      <c r="N621" s="667">
        <v>1175443</v>
      </c>
      <c r="O621" s="492">
        <f t="shared" si="73"/>
        <v>80.16388187956079</v>
      </c>
      <c r="P621" s="666"/>
      <c r="Q621" s="667"/>
      <c r="R621" s="737"/>
    </row>
    <row r="622" spans="1:18" s="723" customFormat="1" ht="24">
      <c r="A622" s="728">
        <v>4040</v>
      </c>
      <c r="B622" s="735" t="s">
        <v>701</v>
      </c>
      <c r="C622" s="666">
        <v>122200</v>
      </c>
      <c r="D622" s="643">
        <f t="shared" si="67"/>
        <v>122940</v>
      </c>
      <c r="E622" s="667">
        <f t="shared" si="74"/>
        <v>122940</v>
      </c>
      <c r="F622" s="644">
        <f t="shared" si="70"/>
        <v>100</v>
      </c>
      <c r="G622" s="666"/>
      <c r="H622" s="667"/>
      <c r="I622" s="120"/>
      <c r="J622" s="730"/>
      <c r="K622" s="667"/>
      <c r="L622" s="649"/>
      <c r="M622" s="666">
        <f>122200+740</f>
        <v>122940</v>
      </c>
      <c r="N622" s="667">
        <v>122940</v>
      </c>
      <c r="O622" s="492">
        <f t="shared" si="73"/>
        <v>100</v>
      </c>
      <c r="P622" s="666"/>
      <c r="Q622" s="667"/>
      <c r="R622" s="737"/>
    </row>
    <row r="623" spans="1:18" s="723" customFormat="1" ht="24">
      <c r="A623" s="728">
        <v>4110</v>
      </c>
      <c r="B623" s="735" t="s">
        <v>703</v>
      </c>
      <c r="C623" s="666">
        <v>263400</v>
      </c>
      <c r="D623" s="643">
        <f t="shared" si="67"/>
        <v>264400</v>
      </c>
      <c r="E623" s="667">
        <f t="shared" si="74"/>
        <v>189076</v>
      </c>
      <c r="F623" s="644">
        <f t="shared" si="70"/>
        <v>71.51134644478063</v>
      </c>
      <c r="G623" s="666"/>
      <c r="H623" s="667"/>
      <c r="I623" s="120"/>
      <c r="J623" s="730"/>
      <c r="K623" s="667"/>
      <c r="L623" s="649"/>
      <c r="M623" s="666">
        <f>263400+1000</f>
        <v>264400</v>
      </c>
      <c r="N623" s="667">
        <v>189076</v>
      </c>
      <c r="O623" s="492">
        <f t="shared" si="73"/>
        <v>71.51134644478063</v>
      </c>
      <c r="P623" s="666"/>
      <c r="Q623" s="667"/>
      <c r="R623" s="737"/>
    </row>
    <row r="624" spans="1:18" s="723" customFormat="1" ht="15" customHeight="1">
      <c r="A624" s="728">
        <v>4120</v>
      </c>
      <c r="B624" s="735" t="s">
        <v>847</v>
      </c>
      <c r="C624" s="666">
        <v>38600</v>
      </c>
      <c r="D624" s="643">
        <f t="shared" si="67"/>
        <v>38800</v>
      </c>
      <c r="E624" s="667">
        <f t="shared" si="74"/>
        <v>30123</v>
      </c>
      <c r="F624" s="644">
        <f t="shared" si="70"/>
        <v>77.63659793814432</v>
      </c>
      <c r="G624" s="666"/>
      <c r="H624" s="667"/>
      <c r="I624" s="120"/>
      <c r="J624" s="730"/>
      <c r="K624" s="667"/>
      <c r="L624" s="649"/>
      <c r="M624" s="666">
        <f>38600+200</f>
        <v>38800</v>
      </c>
      <c r="N624" s="667">
        <v>30123</v>
      </c>
      <c r="O624" s="492">
        <f t="shared" si="73"/>
        <v>77.63659793814432</v>
      </c>
      <c r="P624" s="666"/>
      <c r="Q624" s="667"/>
      <c r="R624" s="737"/>
    </row>
    <row r="625" spans="1:18" s="723" customFormat="1" ht="24" hidden="1">
      <c r="A625" s="728">
        <v>4130</v>
      </c>
      <c r="B625" s="735" t="s">
        <v>1025</v>
      </c>
      <c r="C625" s="666"/>
      <c r="D625" s="643">
        <f t="shared" si="67"/>
        <v>0</v>
      </c>
      <c r="E625" s="667">
        <f t="shared" si="74"/>
        <v>0</v>
      </c>
      <c r="F625" s="644" t="e">
        <f t="shared" si="70"/>
        <v>#DIV/0!</v>
      </c>
      <c r="G625" s="666"/>
      <c r="H625" s="667"/>
      <c r="I625" s="120"/>
      <c r="J625" s="730"/>
      <c r="K625" s="667"/>
      <c r="L625" s="649"/>
      <c r="M625" s="666"/>
      <c r="N625" s="667"/>
      <c r="O625" s="492" t="e">
        <f t="shared" si="73"/>
        <v>#DIV/0!</v>
      </c>
      <c r="P625" s="666"/>
      <c r="Q625" s="667"/>
      <c r="R625" s="737"/>
    </row>
    <row r="626" spans="1:18" s="723" customFormat="1" ht="24">
      <c r="A626" s="728">
        <v>4210</v>
      </c>
      <c r="B626" s="735" t="s">
        <v>707</v>
      </c>
      <c r="C626" s="666">
        <v>30000</v>
      </c>
      <c r="D626" s="643">
        <f t="shared" si="67"/>
        <v>42640</v>
      </c>
      <c r="E626" s="667">
        <f t="shared" si="74"/>
        <v>33256</v>
      </c>
      <c r="F626" s="644">
        <f t="shared" si="70"/>
        <v>77.99249530956848</v>
      </c>
      <c r="G626" s="666"/>
      <c r="H626" s="667"/>
      <c r="I626" s="120"/>
      <c r="J626" s="730"/>
      <c r="K626" s="667"/>
      <c r="L626" s="649"/>
      <c r="M626" s="666">
        <f>30000+4000+8000+640</f>
        <v>42640</v>
      </c>
      <c r="N626" s="667">
        <v>33256</v>
      </c>
      <c r="O626" s="492">
        <f t="shared" si="73"/>
        <v>77.99249530956848</v>
      </c>
      <c r="P626" s="666"/>
      <c r="Q626" s="667"/>
      <c r="R626" s="737"/>
    </row>
    <row r="627" spans="1:18" s="723" customFormat="1" ht="36">
      <c r="A627" s="728">
        <v>4240</v>
      </c>
      <c r="B627" s="735" t="s">
        <v>832</v>
      </c>
      <c r="C627" s="666">
        <v>6800</v>
      </c>
      <c r="D627" s="643">
        <f t="shared" si="67"/>
        <v>6800</v>
      </c>
      <c r="E627" s="667">
        <f t="shared" si="74"/>
        <v>6326</v>
      </c>
      <c r="F627" s="644">
        <f t="shared" si="70"/>
        <v>93.02941176470588</v>
      </c>
      <c r="G627" s="666"/>
      <c r="H627" s="667"/>
      <c r="I627" s="120"/>
      <c r="J627" s="730"/>
      <c r="K627" s="667"/>
      <c r="L627" s="649"/>
      <c r="M627" s="666">
        <v>6800</v>
      </c>
      <c r="N627" s="667">
        <v>6326</v>
      </c>
      <c r="O627" s="492">
        <f t="shared" si="73"/>
        <v>93.02941176470588</v>
      </c>
      <c r="P627" s="666"/>
      <c r="Q627" s="667"/>
      <c r="R627" s="737"/>
    </row>
    <row r="628" spans="1:18" s="723" customFormat="1" ht="13.5" customHeight="1">
      <c r="A628" s="728">
        <v>4260</v>
      </c>
      <c r="B628" s="735" t="s">
        <v>711</v>
      </c>
      <c r="C628" s="666">
        <v>80000</v>
      </c>
      <c r="D628" s="643">
        <f t="shared" si="67"/>
        <v>84000</v>
      </c>
      <c r="E628" s="667">
        <f t="shared" si="74"/>
        <v>48419</v>
      </c>
      <c r="F628" s="644">
        <f t="shared" si="70"/>
        <v>57.641666666666666</v>
      </c>
      <c r="G628" s="666"/>
      <c r="H628" s="667"/>
      <c r="I628" s="120"/>
      <c r="J628" s="730"/>
      <c r="K628" s="667"/>
      <c r="L628" s="649"/>
      <c r="M628" s="666">
        <f>80000+4000</f>
        <v>84000</v>
      </c>
      <c r="N628" s="667">
        <v>48419</v>
      </c>
      <c r="O628" s="492">
        <f t="shared" si="73"/>
        <v>57.641666666666666</v>
      </c>
      <c r="P628" s="666"/>
      <c r="Q628" s="667"/>
      <c r="R628" s="737"/>
    </row>
    <row r="629" spans="1:18" s="723" customFormat="1" ht="13.5" customHeight="1">
      <c r="A629" s="728">
        <v>4270</v>
      </c>
      <c r="B629" s="735" t="s">
        <v>713</v>
      </c>
      <c r="C629" s="666">
        <v>3800</v>
      </c>
      <c r="D629" s="643">
        <f t="shared" si="67"/>
        <v>3800</v>
      </c>
      <c r="E629" s="667">
        <f t="shared" si="74"/>
        <v>3361</v>
      </c>
      <c r="F629" s="644">
        <f t="shared" si="70"/>
        <v>88.44736842105263</v>
      </c>
      <c r="G629" s="666"/>
      <c r="H629" s="667"/>
      <c r="I629" s="120"/>
      <c r="J629" s="730"/>
      <c r="K629" s="667"/>
      <c r="L629" s="649"/>
      <c r="M629" s="666">
        <v>3800</v>
      </c>
      <c r="N629" s="667">
        <v>3361</v>
      </c>
      <c r="O629" s="492">
        <f t="shared" si="73"/>
        <v>88.44736842105263</v>
      </c>
      <c r="P629" s="666"/>
      <c r="Q629" s="667"/>
      <c r="R629" s="737"/>
    </row>
    <row r="630" spans="1:18" s="723" customFormat="1" ht="13.5" customHeight="1">
      <c r="A630" s="728">
        <v>4280</v>
      </c>
      <c r="B630" s="735" t="s">
        <v>805</v>
      </c>
      <c r="C630" s="666">
        <v>1900</v>
      </c>
      <c r="D630" s="643">
        <f t="shared" si="67"/>
        <v>1900</v>
      </c>
      <c r="E630" s="667">
        <f t="shared" si="74"/>
        <v>1409</v>
      </c>
      <c r="F630" s="644">
        <f t="shared" si="70"/>
        <v>74.1578947368421</v>
      </c>
      <c r="G630" s="666"/>
      <c r="H630" s="667"/>
      <c r="I630" s="120"/>
      <c r="J630" s="730"/>
      <c r="K630" s="667"/>
      <c r="L630" s="649"/>
      <c r="M630" s="666">
        <v>1900</v>
      </c>
      <c r="N630" s="667">
        <v>1409</v>
      </c>
      <c r="O630" s="492">
        <f t="shared" si="73"/>
        <v>74.1578947368421</v>
      </c>
      <c r="P630" s="666"/>
      <c r="Q630" s="667"/>
      <c r="R630" s="737"/>
    </row>
    <row r="631" spans="1:18" s="723" customFormat="1" ht="16.5" customHeight="1">
      <c r="A631" s="728">
        <v>4300</v>
      </c>
      <c r="B631" s="735" t="s">
        <v>715</v>
      </c>
      <c r="C631" s="666">
        <v>43000</v>
      </c>
      <c r="D631" s="643">
        <f t="shared" si="67"/>
        <v>47300</v>
      </c>
      <c r="E631" s="667">
        <f t="shared" si="74"/>
        <v>39389</v>
      </c>
      <c r="F631" s="644">
        <f t="shared" si="70"/>
        <v>83.27484143763213</v>
      </c>
      <c r="G631" s="666"/>
      <c r="H631" s="667"/>
      <c r="I631" s="120"/>
      <c r="J631" s="730"/>
      <c r="K631" s="667"/>
      <c r="L631" s="649"/>
      <c r="M631" s="666">
        <f>43000+4300</f>
        <v>47300</v>
      </c>
      <c r="N631" s="667">
        <v>39389</v>
      </c>
      <c r="O631" s="492">
        <f t="shared" si="73"/>
        <v>83.27484143763213</v>
      </c>
      <c r="P631" s="666"/>
      <c r="Q631" s="667"/>
      <c r="R631" s="737"/>
    </row>
    <row r="632" spans="1:18" s="723" customFormat="1" ht="24">
      <c r="A632" s="728">
        <v>4350</v>
      </c>
      <c r="B632" s="735" t="s">
        <v>807</v>
      </c>
      <c r="C632" s="666">
        <v>1200</v>
      </c>
      <c r="D632" s="643">
        <f t="shared" si="67"/>
        <v>1200</v>
      </c>
      <c r="E632" s="667">
        <f t="shared" si="74"/>
        <v>852</v>
      </c>
      <c r="F632" s="644">
        <f t="shared" si="70"/>
        <v>71</v>
      </c>
      <c r="G632" s="666"/>
      <c r="H632" s="667"/>
      <c r="I632" s="120"/>
      <c r="J632" s="730"/>
      <c r="K632" s="667"/>
      <c r="L632" s="649"/>
      <c r="M632" s="666">
        <v>1200</v>
      </c>
      <c r="N632" s="667">
        <v>852</v>
      </c>
      <c r="O632" s="492">
        <f t="shared" si="73"/>
        <v>71</v>
      </c>
      <c r="P632" s="666"/>
      <c r="Q632" s="667"/>
      <c r="R632" s="737"/>
    </row>
    <row r="633" spans="1:18" s="723" customFormat="1" ht="48">
      <c r="A633" s="829">
        <v>4360</v>
      </c>
      <c r="B633" s="850" t="s">
        <v>982</v>
      </c>
      <c r="C633" s="666">
        <v>600</v>
      </c>
      <c r="D633" s="643">
        <f t="shared" si="67"/>
        <v>700</v>
      </c>
      <c r="E633" s="667">
        <f>SUM(H633+K633+N633+Q633)</f>
        <v>665</v>
      </c>
      <c r="F633" s="644">
        <f>E633/D633*100</f>
        <v>95</v>
      </c>
      <c r="G633" s="666"/>
      <c r="H633" s="667"/>
      <c r="I633" s="120"/>
      <c r="J633" s="730"/>
      <c r="K633" s="667"/>
      <c r="L633" s="649"/>
      <c r="M633" s="666">
        <f>600+100</f>
        <v>700</v>
      </c>
      <c r="N633" s="667">
        <v>665</v>
      </c>
      <c r="O633" s="492">
        <f t="shared" si="73"/>
        <v>95</v>
      </c>
      <c r="P633" s="666"/>
      <c r="Q633" s="667"/>
      <c r="R633" s="737"/>
    </row>
    <row r="634" spans="1:18" s="723" customFormat="1" ht="48">
      <c r="A634" s="829">
        <v>4370</v>
      </c>
      <c r="B634" s="850" t="s">
        <v>916</v>
      </c>
      <c r="C634" s="666">
        <v>1900</v>
      </c>
      <c r="D634" s="643">
        <f t="shared" si="67"/>
        <v>1900</v>
      </c>
      <c r="E634" s="667">
        <f>SUM(H634+K634+N634+Q634)</f>
        <v>1431</v>
      </c>
      <c r="F634" s="644">
        <f>E634/D634*100</f>
        <v>75.31578947368422</v>
      </c>
      <c r="G634" s="666"/>
      <c r="H634" s="667"/>
      <c r="I634" s="120"/>
      <c r="J634" s="730"/>
      <c r="K634" s="667"/>
      <c r="L634" s="649"/>
      <c r="M634" s="666">
        <v>1900</v>
      </c>
      <c r="N634" s="667">
        <v>1431</v>
      </c>
      <c r="O634" s="492">
        <f t="shared" si="73"/>
        <v>75.31578947368422</v>
      </c>
      <c r="P634" s="666"/>
      <c r="Q634" s="667"/>
      <c r="R634" s="737"/>
    </row>
    <row r="635" spans="1:18" s="723" customFormat="1" ht="36">
      <c r="A635" s="728">
        <v>4390</v>
      </c>
      <c r="B635" s="865" t="s">
        <v>743</v>
      </c>
      <c r="C635" s="666">
        <v>2400</v>
      </c>
      <c r="D635" s="643">
        <f t="shared" si="67"/>
        <v>3500</v>
      </c>
      <c r="E635" s="667">
        <f>SUM(H635+K635+N635+Q635)</f>
        <v>1850</v>
      </c>
      <c r="F635" s="644">
        <f>E635/D635*100</f>
        <v>52.85714285714286</v>
      </c>
      <c r="G635" s="666"/>
      <c r="H635" s="667"/>
      <c r="I635" s="120"/>
      <c r="J635" s="730"/>
      <c r="K635" s="667"/>
      <c r="L635" s="649"/>
      <c r="M635" s="666">
        <f>2400+1100</f>
        <v>3500</v>
      </c>
      <c r="N635" s="667">
        <v>1850</v>
      </c>
      <c r="O635" s="492">
        <f t="shared" si="73"/>
        <v>52.85714285714286</v>
      </c>
      <c r="P635" s="666"/>
      <c r="Q635" s="667"/>
      <c r="R635" s="737"/>
    </row>
    <row r="636" spans="1:18" s="723" customFormat="1" ht="18" customHeight="1">
      <c r="A636" s="728">
        <v>4410</v>
      </c>
      <c r="B636" s="735" t="s">
        <v>689</v>
      </c>
      <c r="C636" s="666">
        <v>1100</v>
      </c>
      <c r="D636" s="643">
        <f t="shared" si="67"/>
        <v>4100</v>
      </c>
      <c r="E636" s="667">
        <f t="shared" si="74"/>
        <v>2735</v>
      </c>
      <c r="F636" s="644">
        <f t="shared" si="70"/>
        <v>66.70731707317074</v>
      </c>
      <c r="G636" s="666"/>
      <c r="H636" s="667"/>
      <c r="I636" s="120"/>
      <c r="J636" s="730"/>
      <c r="K636" s="667"/>
      <c r="L636" s="649"/>
      <c r="M636" s="666">
        <f>1100+3000</f>
        <v>4100</v>
      </c>
      <c r="N636" s="667">
        <v>2735</v>
      </c>
      <c r="O636" s="492">
        <f t="shared" si="73"/>
        <v>66.70731707317074</v>
      </c>
      <c r="P636" s="666"/>
      <c r="Q636" s="667"/>
      <c r="R636" s="737"/>
    </row>
    <row r="637" spans="1:18" s="723" customFormat="1" ht="12.75">
      <c r="A637" s="728">
        <v>4440</v>
      </c>
      <c r="B637" s="735" t="s">
        <v>719</v>
      </c>
      <c r="C637" s="666">
        <v>71200</v>
      </c>
      <c r="D637" s="643">
        <f t="shared" si="67"/>
        <v>81800</v>
      </c>
      <c r="E637" s="667">
        <f t="shared" si="74"/>
        <v>81800</v>
      </c>
      <c r="F637" s="644">
        <f t="shared" si="70"/>
        <v>100</v>
      </c>
      <c r="G637" s="666"/>
      <c r="H637" s="667"/>
      <c r="I637" s="120"/>
      <c r="J637" s="730"/>
      <c r="K637" s="667"/>
      <c r="L637" s="649"/>
      <c r="M637" s="666">
        <f>71200+3600+7000</f>
        <v>81800</v>
      </c>
      <c r="N637" s="667">
        <v>81800</v>
      </c>
      <c r="O637" s="492">
        <f t="shared" si="73"/>
        <v>100</v>
      </c>
      <c r="P637" s="666"/>
      <c r="Q637" s="667"/>
      <c r="R637" s="737"/>
    </row>
    <row r="638" spans="1:18" s="723" customFormat="1" ht="36">
      <c r="A638" s="829">
        <v>4700</v>
      </c>
      <c r="B638" s="850" t="s">
        <v>813</v>
      </c>
      <c r="C638" s="666">
        <v>1700</v>
      </c>
      <c r="D638" s="643">
        <f t="shared" si="67"/>
        <v>1700</v>
      </c>
      <c r="E638" s="667">
        <f>SUM(H638+K638+N638+Q638)</f>
        <v>564</v>
      </c>
      <c r="F638" s="644">
        <f>E638/D638*100</f>
        <v>33.1764705882353</v>
      </c>
      <c r="G638" s="666"/>
      <c r="H638" s="667"/>
      <c r="I638" s="120"/>
      <c r="J638" s="730"/>
      <c r="K638" s="667"/>
      <c r="L638" s="649"/>
      <c r="M638" s="666">
        <v>1700</v>
      </c>
      <c r="N638" s="667">
        <v>564</v>
      </c>
      <c r="O638" s="492">
        <f t="shared" si="73"/>
        <v>33.1764705882353</v>
      </c>
      <c r="P638" s="666"/>
      <c r="Q638" s="667"/>
      <c r="R638" s="737"/>
    </row>
    <row r="639" spans="1:18" s="723" customFormat="1" ht="60">
      <c r="A639" s="756">
        <v>4740</v>
      </c>
      <c r="B639" s="851" t="s">
        <v>728</v>
      </c>
      <c r="C639" s="670">
        <v>1100</v>
      </c>
      <c r="D639" s="685">
        <f t="shared" si="67"/>
        <v>1100</v>
      </c>
      <c r="E639" s="686">
        <f>SUM(H639+K639+N639+Q639)</f>
        <v>692</v>
      </c>
      <c r="F639" s="668">
        <f>E639/D639*100</f>
        <v>62.909090909090914</v>
      </c>
      <c r="G639" s="670"/>
      <c r="H639" s="686"/>
      <c r="I639" s="140"/>
      <c r="J639" s="777"/>
      <c r="K639" s="686"/>
      <c r="L639" s="690"/>
      <c r="M639" s="670">
        <v>1100</v>
      </c>
      <c r="N639" s="686">
        <v>692</v>
      </c>
      <c r="O639" s="758">
        <f t="shared" si="73"/>
        <v>62.909090909090914</v>
      </c>
      <c r="P639" s="670"/>
      <c r="Q639" s="686"/>
      <c r="R639" s="760"/>
    </row>
    <row r="640" spans="1:18" s="723" customFormat="1" ht="36">
      <c r="A640" s="829">
        <v>4750</v>
      </c>
      <c r="B640" s="850" t="s">
        <v>814</v>
      </c>
      <c r="C640" s="666">
        <v>5900</v>
      </c>
      <c r="D640" s="643">
        <f t="shared" si="67"/>
        <v>3600</v>
      </c>
      <c r="E640" s="667">
        <f>SUM(H640+K640+N640+Q640)</f>
        <v>2046</v>
      </c>
      <c r="F640" s="644">
        <f>E640/D640*100</f>
        <v>56.833333333333336</v>
      </c>
      <c r="G640" s="666"/>
      <c r="H640" s="667"/>
      <c r="I640" s="120"/>
      <c r="J640" s="730"/>
      <c r="K640" s="667"/>
      <c r="L640" s="649"/>
      <c r="M640" s="666">
        <f>5900-2100-200</f>
        <v>3600</v>
      </c>
      <c r="N640" s="667">
        <v>2046</v>
      </c>
      <c r="O640" s="492">
        <f t="shared" si="73"/>
        <v>56.833333333333336</v>
      </c>
      <c r="P640" s="666"/>
      <c r="Q640" s="667"/>
      <c r="R640" s="737"/>
    </row>
    <row r="641" spans="1:18" s="723" customFormat="1" ht="24" hidden="1">
      <c r="A641" s="728">
        <v>6050</v>
      </c>
      <c r="B641" s="735" t="s">
        <v>739</v>
      </c>
      <c r="C641" s="666"/>
      <c r="D641" s="643">
        <f aca="true" t="shared" si="75" ref="D641:D704">G641+J641+P641+M641</f>
        <v>0</v>
      </c>
      <c r="E641" s="667">
        <f t="shared" si="74"/>
        <v>0</v>
      </c>
      <c r="F641" s="644" t="e">
        <f t="shared" si="70"/>
        <v>#DIV/0!</v>
      </c>
      <c r="G641" s="666"/>
      <c r="H641" s="667"/>
      <c r="I641" s="120"/>
      <c r="J641" s="730"/>
      <c r="K641" s="667"/>
      <c r="L641" s="649"/>
      <c r="M641" s="666"/>
      <c r="N641" s="667"/>
      <c r="O641" s="492" t="e">
        <f t="shared" si="73"/>
        <v>#DIV/0!</v>
      </c>
      <c r="P641" s="666"/>
      <c r="Q641" s="667"/>
      <c r="R641" s="737"/>
    </row>
    <row r="642" spans="1:18" s="723" customFormat="1" ht="36" hidden="1">
      <c r="A642" s="728">
        <v>6060</v>
      </c>
      <c r="B642" s="735" t="s">
        <v>856</v>
      </c>
      <c r="C642" s="666"/>
      <c r="D642" s="765">
        <f t="shared" si="75"/>
        <v>0</v>
      </c>
      <c r="E642" s="785">
        <f t="shared" si="74"/>
        <v>0</v>
      </c>
      <c r="F642" s="705" t="e">
        <f>E642/D642*100</f>
        <v>#DIV/0!</v>
      </c>
      <c r="G642" s="666"/>
      <c r="H642" s="667"/>
      <c r="I642" s="120"/>
      <c r="J642" s="730"/>
      <c r="K642" s="667"/>
      <c r="L642" s="649"/>
      <c r="M642" s="666"/>
      <c r="N642" s="667"/>
      <c r="O642" s="492" t="e">
        <f>N642/M642*100</f>
        <v>#DIV/0!</v>
      </c>
      <c r="P642" s="666"/>
      <c r="Q642" s="667"/>
      <c r="R642" s="737"/>
    </row>
    <row r="643" spans="1:18" s="723" customFormat="1" ht="36">
      <c r="A643" s="787">
        <v>80103</v>
      </c>
      <c r="B643" s="856" t="s">
        <v>1026</v>
      </c>
      <c r="C643" s="673">
        <f>SUM(C644:C654)</f>
        <v>732600</v>
      </c>
      <c r="D643" s="674">
        <f t="shared" si="75"/>
        <v>802138</v>
      </c>
      <c r="E643" s="674">
        <f>SUM(H643+K643+N643+Q643)</f>
        <v>592044</v>
      </c>
      <c r="F643" s="705">
        <f>E643/D643*100</f>
        <v>73.80824745866671</v>
      </c>
      <c r="G643" s="673">
        <f>SUM(G644:G654)</f>
        <v>802138</v>
      </c>
      <c r="H643" s="674">
        <f>SUM(H644:H654)</f>
        <v>592044</v>
      </c>
      <c r="I643" s="280">
        <f>H643/G643*100</f>
        <v>73.80824745866671</v>
      </c>
      <c r="J643" s="677"/>
      <c r="K643" s="674"/>
      <c r="L643" s="663"/>
      <c r="M643" s="901"/>
      <c r="N643" s="674"/>
      <c r="O643" s="791"/>
      <c r="P643" s="673"/>
      <c r="Q643" s="674"/>
      <c r="R643" s="828"/>
    </row>
    <row r="644" spans="1:18" s="723" customFormat="1" ht="48">
      <c r="A644" s="849">
        <v>2540</v>
      </c>
      <c r="B644" s="735" t="s">
        <v>1019</v>
      </c>
      <c r="C644" s="697">
        <v>47200</v>
      </c>
      <c r="D644" s="643">
        <f t="shared" si="75"/>
        <v>66248</v>
      </c>
      <c r="E644" s="667">
        <f aca="true" t="shared" si="76" ref="E644:E654">SUM(H644+K644+N644+Q644)</f>
        <v>55745</v>
      </c>
      <c r="F644" s="644">
        <f t="shared" si="70"/>
        <v>84.14593648110132</v>
      </c>
      <c r="G644" s="697">
        <f>47200+9048+10000-1120+1120</f>
        <v>66248</v>
      </c>
      <c r="H644" s="667">
        <v>55745</v>
      </c>
      <c r="I644" s="120">
        <f>H644/G644*100</f>
        <v>84.14593648110132</v>
      </c>
      <c r="J644" s="648"/>
      <c r="K644" s="643"/>
      <c r="L644" s="649"/>
      <c r="M644" s="948"/>
      <c r="N644" s="643"/>
      <c r="O644" s="647"/>
      <c r="P644" s="697"/>
      <c r="Q644" s="643"/>
      <c r="R644" s="737"/>
    </row>
    <row r="645" spans="1:18" s="723" customFormat="1" ht="36">
      <c r="A645" s="990">
        <v>3020</v>
      </c>
      <c r="B645" s="735" t="s">
        <v>1020</v>
      </c>
      <c r="C645" s="697">
        <v>700</v>
      </c>
      <c r="D645" s="643">
        <f t="shared" si="75"/>
        <v>700</v>
      </c>
      <c r="E645" s="667">
        <f t="shared" si="76"/>
        <v>244</v>
      </c>
      <c r="F645" s="644">
        <f>E645/D645*100</f>
        <v>34.85714285714286</v>
      </c>
      <c r="G645" s="697">
        <v>700</v>
      </c>
      <c r="H645" s="643">
        <f>243+1</f>
        <v>244</v>
      </c>
      <c r="I645" s="120">
        <f>H645/G645*100</f>
        <v>34.85714285714286</v>
      </c>
      <c r="J645" s="648"/>
      <c r="K645" s="643"/>
      <c r="L645" s="649"/>
      <c r="M645" s="948"/>
      <c r="N645" s="643"/>
      <c r="O645" s="647"/>
      <c r="P645" s="697"/>
      <c r="Q645" s="643"/>
      <c r="R645" s="737"/>
    </row>
    <row r="646" spans="1:18" s="723" customFormat="1" ht="24">
      <c r="A646" s="990">
        <v>4010</v>
      </c>
      <c r="B646" s="735" t="s">
        <v>697</v>
      </c>
      <c r="C646" s="697">
        <v>500100</v>
      </c>
      <c r="D646" s="643">
        <f t="shared" si="75"/>
        <v>531400</v>
      </c>
      <c r="E646" s="667">
        <f t="shared" si="76"/>
        <v>384431</v>
      </c>
      <c r="F646" s="644">
        <f t="shared" si="70"/>
        <v>72.34305607828378</v>
      </c>
      <c r="G646" s="697">
        <f>500100+31300</f>
        <v>531400</v>
      </c>
      <c r="H646" s="667">
        <v>384431</v>
      </c>
      <c r="I646" s="120">
        <f aca="true" t="shared" si="77" ref="I646:I702">H646/G646*100</f>
        <v>72.34305607828378</v>
      </c>
      <c r="J646" s="648"/>
      <c r="K646" s="643"/>
      <c r="L646" s="649"/>
      <c r="M646" s="948"/>
      <c r="N646" s="643"/>
      <c r="O646" s="647"/>
      <c r="P646" s="697"/>
      <c r="Q646" s="643"/>
      <c r="R646" s="737"/>
    </row>
    <row r="647" spans="1:18" s="723" customFormat="1" ht="24">
      <c r="A647" s="990">
        <v>4040</v>
      </c>
      <c r="B647" s="735" t="s">
        <v>801</v>
      </c>
      <c r="C647" s="697">
        <v>28900</v>
      </c>
      <c r="D647" s="643">
        <f t="shared" si="75"/>
        <v>27440</v>
      </c>
      <c r="E647" s="667">
        <f t="shared" si="76"/>
        <v>27417</v>
      </c>
      <c r="F647" s="644">
        <f t="shared" si="70"/>
        <v>99.91618075801749</v>
      </c>
      <c r="G647" s="697">
        <f>28900-1760+300</f>
        <v>27440</v>
      </c>
      <c r="H647" s="667">
        <f>27416+1</f>
        <v>27417</v>
      </c>
      <c r="I647" s="120">
        <f t="shared" si="77"/>
        <v>99.91618075801749</v>
      </c>
      <c r="J647" s="648"/>
      <c r="K647" s="643"/>
      <c r="L647" s="649"/>
      <c r="M647" s="948"/>
      <c r="N647" s="643"/>
      <c r="O647" s="647"/>
      <c r="P647" s="697"/>
      <c r="Q647" s="643"/>
      <c r="R647" s="737"/>
    </row>
    <row r="648" spans="1:18" s="723" customFormat="1" ht="24">
      <c r="A648" s="990">
        <v>4110</v>
      </c>
      <c r="B648" s="735" t="s">
        <v>703</v>
      </c>
      <c r="C648" s="697">
        <v>89400</v>
      </c>
      <c r="D648" s="643">
        <f t="shared" si="75"/>
        <v>93700</v>
      </c>
      <c r="E648" s="667">
        <f t="shared" si="76"/>
        <v>60999</v>
      </c>
      <c r="F648" s="644">
        <f t="shared" si="70"/>
        <v>65.10032017075774</v>
      </c>
      <c r="G648" s="697">
        <f>89400+4300</f>
        <v>93700</v>
      </c>
      <c r="H648" s="667">
        <v>60999</v>
      </c>
      <c r="I648" s="120">
        <f t="shared" si="77"/>
        <v>65.10032017075774</v>
      </c>
      <c r="J648" s="648"/>
      <c r="K648" s="643"/>
      <c r="L648" s="649"/>
      <c r="M648" s="948"/>
      <c r="N648" s="643"/>
      <c r="O648" s="647"/>
      <c r="P648" s="697"/>
      <c r="Q648" s="643"/>
      <c r="R648" s="737"/>
    </row>
    <row r="649" spans="1:18" s="723" customFormat="1" ht="12.75" customHeight="1">
      <c r="A649" s="990">
        <v>4120</v>
      </c>
      <c r="B649" s="735" t="s">
        <v>847</v>
      </c>
      <c r="C649" s="697">
        <v>12800</v>
      </c>
      <c r="D649" s="643">
        <f t="shared" si="75"/>
        <v>13500</v>
      </c>
      <c r="E649" s="667">
        <f t="shared" si="76"/>
        <v>9431</v>
      </c>
      <c r="F649" s="644">
        <f t="shared" si="70"/>
        <v>69.85925925925926</v>
      </c>
      <c r="G649" s="697">
        <f>12800+700</f>
        <v>13500</v>
      </c>
      <c r="H649" s="667">
        <v>9431</v>
      </c>
      <c r="I649" s="120">
        <f t="shared" si="77"/>
        <v>69.85925925925926</v>
      </c>
      <c r="J649" s="648"/>
      <c r="K649" s="643"/>
      <c r="L649" s="649"/>
      <c r="M649" s="948"/>
      <c r="N649" s="643"/>
      <c r="O649" s="647"/>
      <c r="P649" s="697"/>
      <c r="Q649" s="643"/>
      <c r="R649" s="737"/>
    </row>
    <row r="650" spans="1:18" s="723" customFormat="1" ht="12.75" customHeight="1">
      <c r="A650" s="990">
        <v>4140</v>
      </c>
      <c r="B650" s="735" t="s">
        <v>804</v>
      </c>
      <c r="C650" s="697">
        <v>1100</v>
      </c>
      <c r="D650" s="643">
        <f t="shared" si="75"/>
        <v>1100</v>
      </c>
      <c r="E650" s="667">
        <f t="shared" si="76"/>
        <v>931</v>
      </c>
      <c r="F650" s="644">
        <f t="shared" si="70"/>
        <v>84.63636363636363</v>
      </c>
      <c r="G650" s="697">
        <v>1100</v>
      </c>
      <c r="H650" s="667">
        <v>931</v>
      </c>
      <c r="I650" s="120">
        <f t="shared" si="77"/>
        <v>84.63636363636363</v>
      </c>
      <c r="J650" s="648"/>
      <c r="K650" s="643"/>
      <c r="L650" s="649"/>
      <c r="M650" s="948"/>
      <c r="N650" s="643"/>
      <c r="O650" s="647"/>
      <c r="P650" s="697"/>
      <c r="Q650" s="643"/>
      <c r="R650" s="737"/>
    </row>
    <row r="651" spans="1:18" s="723" customFormat="1" ht="24">
      <c r="A651" s="728">
        <v>4210</v>
      </c>
      <c r="B651" s="735" t="s">
        <v>707</v>
      </c>
      <c r="C651" s="697">
        <v>12000</v>
      </c>
      <c r="D651" s="643">
        <f t="shared" si="75"/>
        <v>19000</v>
      </c>
      <c r="E651" s="667">
        <f>SUM(H651+K651+N651+Q651)</f>
        <v>9800</v>
      </c>
      <c r="F651" s="644">
        <f>E651/D651*100</f>
        <v>51.578947368421055</v>
      </c>
      <c r="G651" s="697">
        <f>12000+7000</f>
        <v>19000</v>
      </c>
      <c r="H651" s="667">
        <f>9799+1</f>
        <v>9800</v>
      </c>
      <c r="I651" s="120">
        <f t="shared" si="77"/>
        <v>51.578947368421055</v>
      </c>
      <c r="J651" s="648"/>
      <c r="K651" s="643"/>
      <c r="L651" s="649"/>
      <c r="M651" s="948"/>
      <c r="N651" s="643"/>
      <c r="O651" s="647"/>
      <c r="P651" s="697"/>
      <c r="Q651" s="643"/>
      <c r="R651" s="737"/>
    </row>
    <row r="652" spans="1:18" s="723" customFormat="1" ht="36">
      <c r="A652" s="728">
        <v>4240</v>
      </c>
      <c r="B652" s="735" t="s">
        <v>832</v>
      </c>
      <c r="C652" s="697">
        <v>8000</v>
      </c>
      <c r="D652" s="643">
        <f t="shared" si="75"/>
        <v>15600</v>
      </c>
      <c r="E652" s="667">
        <f>SUM(H652+K652+N652+Q652)</f>
        <v>9596</v>
      </c>
      <c r="F652" s="644">
        <f>E652/D652*100</f>
        <v>61.51282051282051</v>
      </c>
      <c r="G652" s="697">
        <f>8000+7600</f>
        <v>15600</v>
      </c>
      <c r="H652" s="667">
        <v>9596</v>
      </c>
      <c r="I652" s="120">
        <f t="shared" si="77"/>
        <v>61.51282051282051</v>
      </c>
      <c r="J652" s="648"/>
      <c r="K652" s="643"/>
      <c r="L652" s="649"/>
      <c r="M652" s="948"/>
      <c r="N652" s="643"/>
      <c r="O652" s="647"/>
      <c r="P652" s="697"/>
      <c r="Q652" s="643"/>
      <c r="R652" s="737"/>
    </row>
    <row r="653" spans="1:18" s="723" customFormat="1" ht="24" hidden="1">
      <c r="A653" s="728">
        <v>4270</v>
      </c>
      <c r="B653" s="735" t="s">
        <v>713</v>
      </c>
      <c r="C653" s="697"/>
      <c r="D653" s="643">
        <f>G653+J653+P653+M653</f>
        <v>0</v>
      </c>
      <c r="E653" s="667">
        <f>SUM(H653+K653+N653+Q653)</f>
        <v>0</v>
      </c>
      <c r="F653" s="644" t="e">
        <f>E653/D653*100</f>
        <v>#DIV/0!</v>
      </c>
      <c r="G653" s="697"/>
      <c r="H653" s="667"/>
      <c r="I653" s="120" t="e">
        <f>H653/G653*100</f>
        <v>#DIV/0!</v>
      </c>
      <c r="J653" s="648"/>
      <c r="K653" s="643"/>
      <c r="L653" s="649"/>
      <c r="M653" s="948"/>
      <c r="N653" s="643"/>
      <c r="O653" s="647"/>
      <c r="P653" s="697"/>
      <c r="Q653" s="643"/>
      <c r="R653" s="737"/>
    </row>
    <row r="654" spans="1:18" s="723" customFormat="1" ht="12.75" customHeight="1">
      <c r="A654" s="991">
        <v>4440</v>
      </c>
      <c r="B654" s="780" t="s">
        <v>719</v>
      </c>
      <c r="C654" s="764">
        <v>32400</v>
      </c>
      <c r="D654" s="643">
        <f t="shared" si="75"/>
        <v>33450</v>
      </c>
      <c r="E654" s="667">
        <f t="shared" si="76"/>
        <v>33450</v>
      </c>
      <c r="F654" s="644">
        <f t="shared" si="70"/>
        <v>100</v>
      </c>
      <c r="G654" s="764">
        <f>32400+1350-300</f>
        <v>33450</v>
      </c>
      <c r="H654" s="785">
        <v>33450</v>
      </c>
      <c r="I654" s="120">
        <f t="shared" si="77"/>
        <v>100</v>
      </c>
      <c r="J654" s="767"/>
      <c r="K654" s="765"/>
      <c r="L654" s="768"/>
      <c r="M654" s="992"/>
      <c r="N654" s="765"/>
      <c r="O654" s="707"/>
      <c r="P654" s="764"/>
      <c r="Q654" s="765"/>
      <c r="R654" s="770"/>
    </row>
    <row r="655" spans="1:18" ht="12.75">
      <c r="A655" s="993">
        <v>80104</v>
      </c>
      <c r="B655" s="854" t="s">
        <v>1027</v>
      </c>
      <c r="C655" s="726">
        <f>SUM(C656:C658)</f>
        <v>11655500</v>
      </c>
      <c r="D655" s="674">
        <f t="shared" si="75"/>
        <v>12851500</v>
      </c>
      <c r="E655" s="657">
        <f>H655+K655+Q655+N655</f>
        <v>11039717</v>
      </c>
      <c r="F655" s="658">
        <f t="shared" si="70"/>
        <v>85.90216706221064</v>
      </c>
      <c r="G655" s="726">
        <f>SUM(G656:G658)</f>
        <v>12851500</v>
      </c>
      <c r="H655" s="657">
        <f>SUM(H656:H658)</f>
        <v>11039717</v>
      </c>
      <c r="I655" s="890">
        <f t="shared" si="77"/>
        <v>85.90216706221064</v>
      </c>
      <c r="J655" s="662"/>
      <c r="K655" s="657"/>
      <c r="L655" s="663"/>
      <c r="M655" s="657"/>
      <c r="N655" s="657"/>
      <c r="O655" s="317"/>
      <c r="P655" s="726"/>
      <c r="Q655" s="657"/>
      <c r="R655" s="842"/>
    </row>
    <row r="656" spans="1:18" s="723" customFormat="1" ht="36">
      <c r="A656" s="990">
        <v>2510</v>
      </c>
      <c r="B656" s="735" t="s">
        <v>1028</v>
      </c>
      <c r="C656" s="666">
        <v>11429000</v>
      </c>
      <c r="D656" s="643">
        <f t="shared" si="75"/>
        <v>11697000</v>
      </c>
      <c r="E656" s="667">
        <f>SUM(H656+K656+N656+Q656)</f>
        <v>9983900</v>
      </c>
      <c r="F656" s="644">
        <f t="shared" si="70"/>
        <v>85.35436436693169</v>
      </c>
      <c r="G656" s="666">
        <f>11429000+58000+210000</f>
        <v>11697000</v>
      </c>
      <c r="H656" s="667">
        <v>9983900</v>
      </c>
      <c r="I656" s="492">
        <f t="shared" si="77"/>
        <v>85.35436436693169</v>
      </c>
      <c r="J656" s="730"/>
      <c r="K656" s="667"/>
      <c r="L656" s="649"/>
      <c r="M656" s="667"/>
      <c r="N656" s="667"/>
      <c r="O656" s="731"/>
      <c r="P656" s="666"/>
      <c r="Q656" s="667"/>
      <c r="R656" s="737"/>
    </row>
    <row r="657" spans="1:18" s="723" customFormat="1" ht="48">
      <c r="A657" s="762">
        <v>2540</v>
      </c>
      <c r="B657" s="780" t="s">
        <v>1019</v>
      </c>
      <c r="C657" s="781">
        <v>226500</v>
      </c>
      <c r="D657" s="765">
        <f>G657+J657+P657+M657</f>
        <v>276500</v>
      </c>
      <c r="E657" s="785">
        <f>SUM(H657+K657+N657+Q657)</f>
        <v>225817</v>
      </c>
      <c r="F657" s="705">
        <f>E657/D657*100</f>
        <v>81.66980108499095</v>
      </c>
      <c r="G657" s="782">
        <f>226500+50000</f>
        <v>276500</v>
      </c>
      <c r="H657" s="782">
        <v>225817</v>
      </c>
      <c r="I657" s="766">
        <f t="shared" si="77"/>
        <v>81.66980108499095</v>
      </c>
      <c r="J657" s="782"/>
      <c r="K657" s="785"/>
      <c r="L657" s="768"/>
      <c r="M657" s="785"/>
      <c r="N657" s="785"/>
      <c r="O657" s="786"/>
      <c r="P657" s="782"/>
      <c r="Q657" s="785"/>
      <c r="R657" s="770"/>
    </row>
    <row r="658" spans="1:18" s="723" customFormat="1" ht="84">
      <c r="A658" s="990">
        <v>6210</v>
      </c>
      <c r="B658" s="735" t="s">
        <v>829</v>
      </c>
      <c r="C658" s="666"/>
      <c r="D658" s="643">
        <f>G658+J658+P658+M658</f>
        <v>878000</v>
      </c>
      <c r="E658" s="667">
        <f>SUM(H658+K658+N658+Q658)</f>
        <v>830000</v>
      </c>
      <c r="F658" s="644">
        <f>E658/D658*100</f>
        <v>94.53302961275627</v>
      </c>
      <c r="G658" s="730">
        <f>750000+80000+48000</f>
        <v>878000</v>
      </c>
      <c r="H658" s="730">
        <v>830000</v>
      </c>
      <c r="I658" s="492">
        <f t="shared" si="77"/>
        <v>94.53302961275627</v>
      </c>
      <c r="J658" s="730"/>
      <c r="K658" s="667"/>
      <c r="L658" s="649"/>
      <c r="M658" s="667"/>
      <c r="N658" s="667"/>
      <c r="O658" s="731"/>
      <c r="P658" s="730"/>
      <c r="Q658" s="667"/>
      <c r="R658" s="737"/>
    </row>
    <row r="659" spans="1:18" s="723" customFormat="1" ht="15" customHeight="1">
      <c r="A659" s="724">
        <v>80105</v>
      </c>
      <c r="B659" s="994" t="s">
        <v>1029</v>
      </c>
      <c r="C659" s="726">
        <f>SUM(C660:C675)</f>
        <v>557100</v>
      </c>
      <c r="D659" s="674">
        <f t="shared" si="75"/>
        <v>559600</v>
      </c>
      <c r="E659" s="657">
        <f>H659+K659+Q659+N659</f>
        <v>442990</v>
      </c>
      <c r="F659" s="658">
        <f t="shared" si="70"/>
        <v>79.16190135811294</v>
      </c>
      <c r="G659" s="657"/>
      <c r="H659" s="662"/>
      <c r="I659" s="280"/>
      <c r="J659" s="662"/>
      <c r="K659" s="657"/>
      <c r="L659" s="663"/>
      <c r="M659" s="657">
        <f>SUM(M660:M675)</f>
        <v>559600</v>
      </c>
      <c r="N659" s="657">
        <f>SUM(N660:N675)</f>
        <v>442990</v>
      </c>
      <c r="O659" s="665">
        <f aca="true" t="shared" si="78" ref="O659:O675">N659/M659*100</f>
        <v>79.16190135811294</v>
      </c>
      <c r="P659" s="657"/>
      <c r="Q659" s="657"/>
      <c r="R659" s="842"/>
    </row>
    <row r="660" spans="1:18" s="723" customFormat="1" ht="36">
      <c r="A660" s="728">
        <v>3020</v>
      </c>
      <c r="B660" s="735" t="s">
        <v>1020</v>
      </c>
      <c r="C660" s="666">
        <v>1600</v>
      </c>
      <c r="D660" s="643">
        <f t="shared" si="75"/>
        <v>1600</v>
      </c>
      <c r="E660" s="667">
        <f aca="true" t="shared" si="79" ref="E660:E670">SUM(H660+K660+N660+Q660)</f>
        <v>0</v>
      </c>
      <c r="F660" s="644">
        <f t="shared" si="70"/>
        <v>0</v>
      </c>
      <c r="G660" s="667"/>
      <c r="H660" s="730"/>
      <c r="I660" s="120"/>
      <c r="J660" s="730"/>
      <c r="K660" s="667"/>
      <c r="L660" s="649"/>
      <c r="M660" s="666">
        <v>1600</v>
      </c>
      <c r="N660" s="686"/>
      <c r="O660" s="492">
        <f t="shared" si="78"/>
        <v>0</v>
      </c>
      <c r="P660" s="667"/>
      <c r="Q660" s="667"/>
      <c r="R660" s="737"/>
    </row>
    <row r="661" spans="1:18" s="723" customFormat="1" ht="24">
      <c r="A661" s="728">
        <v>4010</v>
      </c>
      <c r="B661" s="995" t="s">
        <v>697</v>
      </c>
      <c r="C661" s="666">
        <v>390000</v>
      </c>
      <c r="D661" s="643">
        <f t="shared" si="75"/>
        <v>390000</v>
      </c>
      <c r="E661" s="667">
        <f t="shared" si="79"/>
        <v>307855</v>
      </c>
      <c r="F661" s="644">
        <f t="shared" si="70"/>
        <v>78.93717948717949</v>
      </c>
      <c r="G661" s="667"/>
      <c r="H661" s="730"/>
      <c r="I661" s="120"/>
      <c r="J661" s="730"/>
      <c r="K661" s="667"/>
      <c r="L661" s="649"/>
      <c r="M661" s="666">
        <v>390000</v>
      </c>
      <c r="N661" s="667">
        <v>307855</v>
      </c>
      <c r="O661" s="492">
        <f t="shared" si="78"/>
        <v>78.93717948717949</v>
      </c>
      <c r="P661" s="667"/>
      <c r="Q661" s="667"/>
      <c r="R661" s="737"/>
    </row>
    <row r="662" spans="1:18" s="723" customFormat="1" ht="24">
      <c r="A662" s="728">
        <v>4040</v>
      </c>
      <c r="B662" s="995" t="s">
        <v>701</v>
      </c>
      <c r="C662" s="666">
        <v>31000</v>
      </c>
      <c r="D662" s="643">
        <f t="shared" si="75"/>
        <v>31000</v>
      </c>
      <c r="E662" s="667">
        <f t="shared" si="79"/>
        <v>31000</v>
      </c>
      <c r="F662" s="644">
        <f t="shared" si="70"/>
        <v>100</v>
      </c>
      <c r="G662" s="667"/>
      <c r="H662" s="730"/>
      <c r="I662" s="120"/>
      <c r="J662" s="730"/>
      <c r="K662" s="667"/>
      <c r="L662" s="649"/>
      <c r="M662" s="666">
        <v>31000</v>
      </c>
      <c r="N662" s="667">
        <v>31000</v>
      </c>
      <c r="O662" s="492">
        <f t="shared" si="78"/>
        <v>100</v>
      </c>
      <c r="P662" s="667"/>
      <c r="Q662" s="667"/>
      <c r="R662" s="737"/>
    </row>
    <row r="663" spans="1:18" s="723" customFormat="1" ht="24">
      <c r="A663" s="728">
        <v>4110</v>
      </c>
      <c r="B663" s="995" t="s">
        <v>703</v>
      </c>
      <c r="C663" s="666">
        <v>74000</v>
      </c>
      <c r="D663" s="643">
        <f t="shared" si="75"/>
        <v>74000</v>
      </c>
      <c r="E663" s="667">
        <f t="shared" si="79"/>
        <v>49759</v>
      </c>
      <c r="F663" s="644">
        <f t="shared" si="70"/>
        <v>67.2418918918919</v>
      </c>
      <c r="G663" s="667"/>
      <c r="H663" s="730"/>
      <c r="I663" s="120"/>
      <c r="J663" s="730"/>
      <c r="K663" s="667"/>
      <c r="L663" s="649"/>
      <c r="M663" s="666">
        <v>74000</v>
      </c>
      <c r="N663" s="667">
        <v>49759</v>
      </c>
      <c r="O663" s="492">
        <f t="shared" si="78"/>
        <v>67.2418918918919</v>
      </c>
      <c r="P663" s="667"/>
      <c r="Q663" s="667"/>
      <c r="R663" s="737"/>
    </row>
    <row r="664" spans="1:18" s="723" customFormat="1" ht="12.75">
      <c r="A664" s="728">
        <v>4120</v>
      </c>
      <c r="B664" s="995" t="s">
        <v>847</v>
      </c>
      <c r="C664" s="666">
        <v>10000</v>
      </c>
      <c r="D664" s="643">
        <f t="shared" si="75"/>
        <v>10000</v>
      </c>
      <c r="E664" s="667">
        <f t="shared" si="79"/>
        <v>7707</v>
      </c>
      <c r="F664" s="644">
        <f t="shared" si="70"/>
        <v>77.07000000000001</v>
      </c>
      <c r="G664" s="667"/>
      <c r="H664" s="730"/>
      <c r="I664" s="120"/>
      <c r="J664" s="730"/>
      <c r="K664" s="667"/>
      <c r="L664" s="649"/>
      <c r="M664" s="666">
        <v>10000</v>
      </c>
      <c r="N664" s="667">
        <v>7707</v>
      </c>
      <c r="O664" s="492">
        <f t="shared" si="78"/>
        <v>77.07000000000001</v>
      </c>
      <c r="P664" s="667"/>
      <c r="Q664" s="667"/>
      <c r="R664" s="737"/>
    </row>
    <row r="665" spans="1:18" s="723" customFormat="1" ht="24">
      <c r="A665" s="728">
        <v>4210</v>
      </c>
      <c r="B665" s="995" t="s">
        <v>707</v>
      </c>
      <c r="C665" s="666">
        <v>7000</v>
      </c>
      <c r="D665" s="643">
        <f t="shared" si="75"/>
        <v>7000</v>
      </c>
      <c r="E665" s="667">
        <f t="shared" si="79"/>
        <v>4381</v>
      </c>
      <c r="F665" s="644">
        <f t="shared" si="70"/>
        <v>62.58571428571429</v>
      </c>
      <c r="G665" s="667"/>
      <c r="H665" s="730"/>
      <c r="I665" s="120"/>
      <c r="J665" s="730"/>
      <c r="K665" s="667"/>
      <c r="L665" s="649"/>
      <c r="M665" s="666">
        <v>7000</v>
      </c>
      <c r="N665" s="667">
        <f>4382-1</f>
        <v>4381</v>
      </c>
      <c r="O665" s="492">
        <f t="shared" si="78"/>
        <v>62.58571428571429</v>
      </c>
      <c r="P665" s="667"/>
      <c r="Q665" s="667"/>
      <c r="R665" s="737"/>
    </row>
    <row r="666" spans="1:18" s="723" customFormat="1" ht="36">
      <c r="A666" s="728">
        <v>4240</v>
      </c>
      <c r="B666" s="995" t="s">
        <v>832</v>
      </c>
      <c r="C666" s="666">
        <v>1000</v>
      </c>
      <c r="D666" s="643">
        <f t="shared" si="75"/>
        <v>1000</v>
      </c>
      <c r="E666" s="667">
        <f t="shared" si="79"/>
        <v>35</v>
      </c>
      <c r="F666" s="644">
        <f t="shared" si="70"/>
        <v>3.5000000000000004</v>
      </c>
      <c r="G666" s="667"/>
      <c r="H666" s="730"/>
      <c r="I666" s="120"/>
      <c r="J666" s="730"/>
      <c r="K666" s="667"/>
      <c r="L666" s="649"/>
      <c r="M666" s="666">
        <v>1000</v>
      </c>
      <c r="N666" s="667">
        <v>35</v>
      </c>
      <c r="O666" s="492">
        <f t="shared" si="78"/>
        <v>3.5000000000000004</v>
      </c>
      <c r="P666" s="667"/>
      <c r="Q666" s="667"/>
      <c r="R666" s="737"/>
    </row>
    <row r="667" spans="1:18" s="723" customFormat="1" ht="12.75">
      <c r="A667" s="728">
        <v>4260</v>
      </c>
      <c r="B667" s="995" t="s">
        <v>711</v>
      </c>
      <c r="C667" s="666">
        <v>18000</v>
      </c>
      <c r="D667" s="643">
        <f t="shared" si="75"/>
        <v>18000</v>
      </c>
      <c r="E667" s="667">
        <f t="shared" si="79"/>
        <v>18000</v>
      </c>
      <c r="F667" s="644">
        <f t="shared" si="70"/>
        <v>100</v>
      </c>
      <c r="G667" s="667"/>
      <c r="H667" s="730"/>
      <c r="I667" s="120"/>
      <c r="J667" s="730"/>
      <c r="K667" s="667"/>
      <c r="L667" s="649"/>
      <c r="M667" s="666">
        <v>18000</v>
      </c>
      <c r="N667" s="667">
        <v>18000</v>
      </c>
      <c r="O667" s="492">
        <f t="shared" si="78"/>
        <v>100</v>
      </c>
      <c r="P667" s="667"/>
      <c r="Q667" s="667"/>
      <c r="R667" s="737"/>
    </row>
    <row r="668" spans="1:18" s="723" customFormat="1" ht="15" customHeight="1">
      <c r="A668" s="728">
        <v>4270</v>
      </c>
      <c r="B668" s="995" t="s">
        <v>713</v>
      </c>
      <c r="C668" s="666">
        <v>2000</v>
      </c>
      <c r="D668" s="643">
        <f t="shared" si="75"/>
        <v>2000</v>
      </c>
      <c r="E668" s="667">
        <f t="shared" si="79"/>
        <v>2000</v>
      </c>
      <c r="F668" s="644">
        <f aca="true" t="shared" si="80" ref="F668:F731">E668/D668*100</f>
        <v>100</v>
      </c>
      <c r="G668" s="667"/>
      <c r="H668" s="730"/>
      <c r="I668" s="120"/>
      <c r="J668" s="730"/>
      <c r="K668" s="667"/>
      <c r="L668" s="649"/>
      <c r="M668" s="666">
        <v>2000</v>
      </c>
      <c r="N668" s="667">
        <v>2000</v>
      </c>
      <c r="O668" s="492">
        <f t="shared" si="78"/>
        <v>100</v>
      </c>
      <c r="P668" s="667"/>
      <c r="Q668" s="667"/>
      <c r="R668" s="737"/>
    </row>
    <row r="669" spans="1:18" s="723" customFormat="1" ht="15" customHeight="1">
      <c r="A669" s="728">
        <v>4280</v>
      </c>
      <c r="B669" s="735" t="s">
        <v>805</v>
      </c>
      <c r="C669" s="666">
        <v>500</v>
      </c>
      <c r="D669" s="643">
        <f t="shared" si="75"/>
        <v>500</v>
      </c>
      <c r="E669" s="667">
        <f t="shared" si="79"/>
        <v>445</v>
      </c>
      <c r="F669" s="644">
        <f t="shared" si="80"/>
        <v>89</v>
      </c>
      <c r="G669" s="667"/>
      <c r="H669" s="730"/>
      <c r="I669" s="120"/>
      <c r="J669" s="730"/>
      <c r="K669" s="667"/>
      <c r="L669" s="649"/>
      <c r="M669" s="666">
        <v>500</v>
      </c>
      <c r="N669" s="667">
        <v>445</v>
      </c>
      <c r="O669" s="492">
        <f t="shared" si="78"/>
        <v>89</v>
      </c>
      <c r="P669" s="667"/>
      <c r="Q669" s="667"/>
      <c r="R669" s="737"/>
    </row>
    <row r="670" spans="1:18" s="723" customFormat="1" ht="15" customHeight="1">
      <c r="A670" s="728">
        <v>4300</v>
      </c>
      <c r="B670" s="995" t="s">
        <v>715</v>
      </c>
      <c r="C670" s="666">
        <v>2500</v>
      </c>
      <c r="D670" s="643">
        <f t="shared" si="75"/>
        <v>2500</v>
      </c>
      <c r="E670" s="667">
        <f t="shared" si="79"/>
        <v>2358</v>
      </c>
      <c r="F670" s="644">
        <f t="shared" si="80"/>
        <v>94.32000000000001</v>
      </c>
      <c r="G670" s="667"/>
      <c r="H670" s="730"/>
      <c r="I670" s="120"/>
      <c r="J670" s="730"/>
      <c r="K670" s="667"/>
      <c r="L670" s="649"/>
      <c r="M670" s="666">
        <v>2500</v>
      </c>
      <c r="N670" s="667">
        <v>2358</v>
      </c>
      <c r="O670" s="492">
        <f t="shared" si="78"/>
        <v>94.32000000000001</v>
      </c>
      <c r="P670" s="667"/>
      <c r="Q670" s="667"/>
      <c r="R670" s="737"/>
    </row>
    <row r="671" spans="1:18" s="723" customFormat="1" ht="48">
      <c r="A671" s="829">
        <v>4370</v>
      </c>
      <c r="B671" s="850" t="s">
        <v>916</v>
      </c>
      <c r="C671" s="666">
        <v>1000</v>
      </c>
      <c r="D671" s="643">
        <f t="shared" si="75"/>
        <v>1000</v>
      </c>
      <c r="E671" s="667">
        <f>SUM(H671+K671+N671+Q671)</f>
        <v>0</v>
      </c>
      <c r="F671" s="644">
        <f t="shared" si="80"/>
        <v>0</v>
      </c>
      <c r="G671" s="667"/>
      <c r="H671" s="730"/>
      <c r="I671" s="120"/>
      <c r="J671" s="730"/>
      <c r="K671" s="667"/>
      <c r="L671" s="649"/>
      <c r="M671" s="666">
        <v>1000</v>
      </c>
      <c r="N671" s="667"/>
      <c r="O671" s="492">
        <f t="shared" si="78"/>
        <v>0</v>
      </c>
      <c r="P671" s="667"/>
      <c r="Q671" s="667"/>
      <c r="R671" s="737"/>
    </row>
    <row r="672" spans="1:18" s="723" customFormat="1" ht="15" customHeight="1">
      <c r="A672" s="728">
        <v>4440</v>
      </c>
      <c r="B672" s="818" t="s">
        <v>719</v>
      </c>
      <c r="C672" s="666">
        <v>16700</v>
      </c>
      <c r="D672" s="643">
        <f t="shared" si="75"/>
        <v>19200</v>
      </c>
      <c r="E672" s="667">
        <f>SUM(H672+K672+N672+Q672)</f>
        <v>19200</v>
      </c>
      <c r="F672" s="644">
        <f t="shared" si="80"/>
        <v>100</v>
      </c>
      <c r="G672" s="667"/>
      <c r="H672" s="730"/>
      <c r="I672" s="120"/>
      <c r="J672" s="730"/>
      <c r="K672" s="667"/>
      <c r="L672" s="649"/>
      <c r="M672" s="666">
        <f>16700+2500</f>
        <v>19200</v>
      </c>
      <c r="N672" s="667">
        <v>19200</v>
      </c>
      <c r="O672" s="492">
        <f t="shared" si="78"/>
        <v>100</v>
      </c>
      <c r="P672" s="667"/>
      <c r="Q672" s="667"/>
      <c r="R672" s="737"/>
    </row>
    <row r="673" spans="1:18" s="723" customFormat="1" ht="36">
      <c r="A673" s="829">
        <v>4700</v>
      </c>
      <c r="B673" s="850" t="s">
        <v>813</v>
      </c>
      <c r="C673" s="666">
        <v>800</v>
      </c>
      <c r="D673" s="643">
        <f t="shared" si="75"/>
        <v>800</v>
      </c>
      <c r="E673" s="667">
        <f>SUM(H673+K673+N673+Q673)</f>
        <v>250</v>
      </c>
      <c r="F673" s="644">
        <f t="shared" si="80"/>
        <v>31.25</v>
      </c>
      <c r="G673" s="667"/>
      <c r="H673" s="730"/>
      <c r="I673" s="120"/>
      <c r="J673" s="730"/>
      <c r="K673" s="667"/>
      <c r="L673" s="649"/>
      <c r="M673" s="666">
        <v>800</v>
      </c>
      <c r="N673" s="667">
        <v>250</v>
      </c>
      <c r="O673" s="492">
        <f t="shared" si="78"/>
        <v>31.25</v>
      </c>
      <c r="P673" s="667"/>
      <c r="Q673" s="667"/>
      <c r="R673" s="737"/>
    </row>
    <row r="674" spans="1:18" s="723" customFormat="1" ht="60">
      <c r="A674" s="829">
        <v>4740</v>
      </c>
      <c r="B674" s="850" t="s">
        <v>728</v>
      </c>
      <c r="C674" s="666">
        <v>500</v>
      </c>
      <c r="D674" s="643">
        <f>G674+J674+P674+M674</f>
        <v>500</v>
      </c>
      <c r="E674" s="667">
        <f>SUM(H674+K674+N674+Q674)</f>
        <v>0</v>
      </c>
      <c r="F674" s="644">
        <f>E674/D674*100</f>
        <v>0</v>
      </c>
      <c r="G674" s="667"/>
      <c r="H674" s="730"/>
      <c r="I674" s="120"/>
      <c r="J674" s="730"/>
      <c r="K674" s="667"/>
      <c r="L674" s="649"/>
      <c r="M674" s="666">
        <v>500</v>
      </c>
      <c r="N674" s="667"/>
      <c r="O674" s="492">
        <f t="shared" si="78"/>
        <v>0</v>
      </c>
      <c r="P674" s="667"/>
      <c r="Q674" s="667"/>
      <c r="R674" s="737"/>
    </row>
    <row r="675" spans="1:18" s="723" customFormat="1" ht="36">
      <c r="A675" s="756">
        <v>4750</v>
      </c>
      <c r="B675" s="851" t="s">
        <v>814</v>
      </c>
      <c r="C675" s="893">
        <v>500</v>
      </c>
      <c r="D675" s="894">
        <f t="shared" si="75"/>
        <v>500</v>
      </c>
      <c r="E675" s="895">
        <f>SUM(H675+K675+N675+Q675)</f>
        <v>0</v>
      </c>
      <c r="F675" s="658">
        <f t="shared" si="80"/>
        <v>0</v>
      </c>
      <c r="G675" s="895"/>
      <c r="H675" s="896"/>
      <c r="I675" s="280"/>
      <c r="J675" s="896"/>
      <c r="K675" s="895"/>
      <c r="L675" s="897"/>
      <c r="M675" s="893">
        <v>500</v>
      </c>
      <c r="N675" s="895"/>
      <c r="O675" s="758">
        <f t="shared" si="78"/>
        <v>0</v>
      </c>
      <c r="P675" s="895"/>
      <c r="Q675" s="895"/>
      <c r="R675" s="842"/>
    </row>
    <row r="676" spans="1:18" ht="12.75">
      <c r="A676" s="724">
        <v>80110</v>
      </c>
      <c r="B676" s="854" t="s">
        <v>508</v>
      </c>
      <c r="C676" s="726">
        <f>SUM(C677:C703)</f>
        <v>19570400</v>
      </c>
      <c r="D676" s="674">
        <f t="shared" si="75"/>
        <v>19771243</v>
      </c>
      <c r="E676" s="674">
        <f>H676+K676+Q676+N676</f>
        <v>15311399</v>
      </c>
      <c r="F676" s="996">
        <f t="shared" si="80"/>
        <v>77.44277383065901</v>
      </c>
      <c r="G676" s="726">
        <f>SUM(G677:G703)</f>
        <v>19771243</v>
      </c>
      <c r="H676" s="662">
        <f>SUM(H677:H703)</f>
        <v>15311399</v>
      </c>
      <c r="I676" s="890">
        <f t="shared" si="77"/>
        <v>77.44277383065901</v>
      </c>
      <c r="J676" s="662"/>
      <c r="K676" s="657"/>
      <c r="L676" s="663"/>
      <c r="M676" s="657"/>
      <c r="N676" s="657"/>
      <c r="O676" s="317"/>
      <c r="P676" s="726"/>
      <c r="Q676" s="657"/>
      <c r="R676" s="842"/>
    </row>
    <row r="677" spans="1:18" s="723" customFormat="1" ht="48">
      <c r="A677" s="728">
        <v>2540</v>
      </c>
      <c r="B677" s="735" t="s">
        <v>1019</v>
      </c>
      <c r="C677" s="666">
        <v>368000</v>
      </c>
      <c r="D677" s="643">
        <f t="shared" si="75"/>
        <v>428000</v>
      </c>
      <c r="E677" s="667">
        <f>SUM(H677+K677+N677+Q677)</f>
        <v>336642</v>
      </c>
      <c r="F677" s="644">
        <f t="shared" si="80"/>
        <v>78.65467289719626</v>
      </c>
      <c r="G677" s="666">
        <f>368000+60000</f>
        <v>428000</v>
      </c>
      <c r="H677" s="667">
        <v>336642</v>
      </c>
      <c r="I677" s="492">
        <f t="shared" si="77"/>
        <v>78.65467289719626</v>
      </c>
      <c r="J677" s="730"/>
      <c r="K677" s="667"/>
      <c r="L677" s="649"/>
      <c r="M677" s="667"/>
      <c r="N677" s="667"/>
      <c r="O677" s="731"/>
      <c r="P677" s="666"/>
      <c r="Q677" s="667"/>
      <c r="R677" s="737"/>
    </row>
    <row r="678" spans="1:18" ht="36">
      <c r="A678" s="728">
        <v>3020</v>
      </c>
      <c r="B678" s="735" t="s">
        <v>1020</v>
      </c>
      <c r="C678" s="666">
        <v>74900</v>
      </c>
      <c r="D678" s="643">
        <f t="shared" si="75"/>
        <v>88380</v>
      </c>
      <c r="E678" s="667">
        <f>SUM(H678+K678+N678+Q678)</f>
        <v>43305</v>
      </c>
      <c r="F678" s="644">
        <f t="shared" si="80"/>
        <v>48.99864222674813</v>
      </c>
      <c r="G678" s="666">
        <f>74900+900-1000+13580</f>
        <v>88380</v>
      </c>
      <c r="H678" s="667">
        <v>43305</v>
      </c>
      <c r="I678" s="492">
        <f t="shared" si="77"/>
        <v>48.99864222674813</v>
      </c>
      <c r="J678" s="730"/>
      <c r="K678" s="667"/>
      <c r="L678" s="649"/>
      <c r="M678" s="667"/>
      <c r="N678" s="667"/>
      <c r="O678" s="731"/>
      <c r="P678" s="666"/>
      <c r="Q678" s="667"/>
      <c r="R678" s="737"/>
    </row>
    <row r="679" spans="1:18" ht="24">
      <c r="A679" s="728">
        <v>4010</v>
      </c>
      <c r="B679" s="735" t="s">
        <v>697</v>
      </c>
      <c r="C679" s="666">
        <v>12728700</v>
      </c>
      <c r="D679" s="643">
        <f t="shared" si="75"/>
        <v>12715120</v>
      </c>
      <c r="E679" s="667">
        <f>SUM(H679+K679+N679+Q679)</f>
        <v>9894069</v>
      </c>
      <c r="F679" s="644">
        <f t="shared" si="80"/>
        <v>77.81341426585043</v>
      </c>
      <c r="G679" s="666">
        <f>12728700-13580</f>
        <v>12715120</v>
      </c>
      <c r="H679" s="667">
        <v>9894069</v>
      </c>
      <c r="I679" s="492">
        <f t="shared" si="77"/>
        <v>77.81341426585043</v>
      </c>
      <c r="J679" s="730"/>
      <c r="K679" s="667"/>
      <c r="L679" s="649"/>
      <c r="M679" s="667"/>
      <c r="N679" s="667"/>
      <c r="O679" s="731"/>
      <c r="P679" s="666"/>
      <c r="Q679" s="667"/>
      <c r="R679" s="737"/>
    </row>
    <row r="680" spans="1:18" ht="25.5" customHeight="1">
      <c r="A680" s="728">
        <v>4040</v>
      </c>
      <c r="B680" s="735" t="s">
        <v>801</v>
      </c>
      <c r="C680" s="666">
        <v>1024700</v>
      </c>
      <c r="D680" s="643">
        <f t="shared" si="75"/>
        <v>953660</v>
      </c>
      <c r="E680" s="667">
        <f>SUM(H680+K680+N680+Q680)</f>
        <v>953610</v>
      </c>
      <c r="F680" s="644">
        <f t="shared" si="80"/>
        <v>99.99475704129355</v>
      </c>
      <c r="G680" s="666">
        <f>1024700-87450+16410</f>
        <v>953660</v>
      </c>
      <c r="H680" s="667">
        <v>953610</v>
      </c>
      <c r="I680" s="492">
        <f t="shared" si="77"/>
        <v>99.99475704129355</v>
      </c>
      <c r="J680" s="730"/>
      <c r="K680" s="667"/>
      <c r="L680" s="649"/>
      <c r="M680" s="667"/>
      <c r="N680" s="667"/>
      <c r="O680" s="731"/>
      <c r="P680" s="666"/>
      <c r="Q680" s="667"/>
      <c r="R680" s="737"/>
    </row>
    <row r="681" spans="1:18" ht="24">
      <c r="A681" s="728">
        <v>4110</v>
      </c>
      <c r="B681" s="735" t="s">
        <v>703</v>
      </c>
      <c r="C681" s="666">
        <v>2199600</v>
      </c>
      <c r="D681" s="643">
        <f t="shared" si="75"/>
        <v>2199600</v>
      </c>
      <c r="E681" s="667">
        <f aca="true" t="shared" si="81" ref="E681:E702">SUM(H681+K681+N681+Q681)</f>
        <v>1523901</v>
      </c>
      <c r="F681" s="644">
        <f t="shared" si="80"/>
        <v>69.28082378614293</v>
      </c>
      <c r="G681" s="666">
        <v>2199600</v>
      </c>
      <c r="H681" s="667">
        <f>1523900+1</f>
        <v>1523901</v>
      </c>
      <c r="I681" s="492">
        <f t="shared" si="77"/>
        <v>69.28082378614293</v>
      </c>
      <c r="J681" s="730"/>
      <c r="K681" s="667"/>
      <c r="L681" s="649"/>
      <c r="M681" s="667"/>
      <c r="N681" s="667"/>
      <c r="O681" s="731"/>
      <c r="P681" s="666"/>
      <c r="Q681" s="667"/>
      <c r="R681" s="737"/>
    </row>
    <row r="682" spans="1:18" ht="12.75">
      <c r="A682" s="728">
        <v>4120</v>
      </c>
      <c r="B682" s="735" t="s">
        <v>847</v>
      </c>
      <c r="C682" s="666">
        <v>335400</v>
      </c>
      <c r="D682" s="643">
        <f t="shared" si="75"/>
        <v>335400</v>
      </c>
      <c r="E682" s="643">
        <f t="shared" si="81"/>
        <v>248561</v>
      </c>
      <c r="F682" s="644">
        <f t="shared" si="80"/>
        <v>74.10882528324389</v>
      </c>
      <c r="G682" s="666">
        <v>335400</v>
      </c>
      <c r="H682" s="667">
        <v>248561</v>
      </c>
      <c r="I682" s="492">
        <f t="shared" si="77"/>
        <v>74.10882528324389</v>
      </c>
      <c r="J682" s="730"/>
      <c r="K682" s="667"/>
      <c r="L682" s="649"/>
      <c r="M682" s="667"/>
      <c r="N682" s="667"/>
      <c r="O682" s="731"/>
      <c r="P682" s="666"/>
      <c r="Q682" s="667"/>
      <c r="R682" s="737"/>
    </row>
    <row r="683" spans="1:18" s="723" customFormat="1" ht="12.75">
      <c r="A683" s="728">
        <v>4140</v>
      </c>
      <c r="B683" s="735" t="s">
        <v>804</v>
      </c>
      <c r="C683" s="666">
        <v>51400</v>
      </c>
      <c r="D683" s="643">
        <f t="shared" si="75"/>
        <v>58800</v>
      </c>
      <c r="E683" s="643">
        <f t="shared" si="81"/>
        <v>42591</v>
      </c>
      <c r="F683" s="644">
        <f t="shared" si="80"/>
        <v>72.43367346938776</v>
      </c>
      <c r="G683" s="666">
        <f>51400+3100+4300</f>
        <v>58800</v>
      </c>
      <c r="H683" s="667">
        <v>42591</v>
      </c>
      <c r="I683" s="492">
        <f t="shared" si="77"/>
        <v>72.43367346938776</v>
      </c>
      <c r="J683" s="730"/>
      <c r="K683" s="667"/>
      <c r="L683" s="649"/>
      <c r="M683" s="667"/>
      <c r="N683" s="667"/>
      <c r="O683" s="731"/>
      <c r="P683" s="666"/>
      <c r="Q683" s="667"/>
      <c r="R683" s="737"/>
    </row>
    <row r="684" spans="1:18" s="723" customFormat="1" ht="24">
      <c r="A684" s="728">
        <v>4170</v>
      </c>
      <c r="B684" s="735" t="s">
        <v>742</v>
      </c>
      <c r="C684" s="666">
        <v>7700</v>
      </c>
      <c r="D684" s="643">
        <f t="shared" si="75"/>
        <v>7700</v>
      </c>
      <c r="E684" s="643">
        <f>SUM(H684+K684+N684+Q684)</f>
        <v>2500</v>
      </c>
      <c r="F684" s="644">
        <f t="shared" si="80"/>
        <v>32.467532467532465</v>
      </c>
      <c r="G684" s="666">
        <v>7700</v>
      </c>
      <c r="H684" s="667">
        <v>2500</v>
      </c>
      <c r="I684" s="492">
        <f t="shared" si="77"/>
        <v>32.467532467532465</v>
      </c>
      <c r="J684" s="730"/>
      <c r="K684" s="667"/>
      <c r="L684" s="649"/>
      <c r="M684" s="667"/>
      <c r="N684" s="667"/>
      <c r="O684" s="731"/>
      <c r="P684" s="666"/>
      <c r="Q684" s="667"/>
      <c r="R684" s="737"/>
    </row>
    <row r="685" spans="1:18" ht="24">
      <c r="A685" s="728">
        <v>4210</v>
      </c>
      <c r="B685" s="735" t="s">
        <v>707</v>
      </c>
      <c r="C685" s="666">
        <v>342300</v>
      </c>
      <c r="D685" s="643">
        <f t="shared" si="75"/>
        <v>366400</v>
      </c>
      <c r="E685" s="667">
        <f t="shared" si="81"/>
        <v>268270</v>
      </c>
      <c r="F685" s="644">
        <f t="shared" si="80"/>
        <v>73.21779475982532</v>
      </c>
      <c r="G685" s="666">
        <f>342300+1000+1500+1900+19700</f>
        <v>366400</v>
      </c>
      <c r="H685" s="667">
        <v>268270</v>
      </c>
      <c r="I685" s="492">
        <f t="shared" si="77"/>
        <v>73.21779475982532</v>
      </c>
      <c r="J685" s="730"/>
      <c r="K685" s="667"/>
      <c r="L685" s="649"/>
      <c r="M685" s="667"/>
      <c r="N685" s="667"/>
      <c r="O685" s="731"/>
      <c r="P685" s="666"/>
      <c r="Q685" s="667"/>
      <c r="R685" s="737"/>
    </row>
    <row r="686" spans="1:18" ht="36">
      <c r="A686" s="728">
        <v>4240</v>
      </c>
      <c r="B686" s="735" t="s">
        <v>1021</v>
      </c>
      <c r="C686" s="666">
        <v>45300</v>
      </c>
      <c r="D686" s="643">
        <f t="shared" si="75"/>
        <v>51700</v>
      </c>
      <c r="E686" s="667">
        <f t="shared" si="81"/>
        <v>30302</v>
      </c>
      <c r="F686" s="644">
        <f t="shared" si="80"/>
        <v>58.61121856866538</v>
      </c>
      <c r="G686" s="666">
        <f>45300+4200+2200</f>
        <v>51700</v>
      </c>
      <c r="H686" s="667">
        <v>30302</v>
      </c>
      <c r="I686" s="492">
        <f t="shared" si="77"/>
        <v>58.61121856866538</v>
      </c>
      <c r="J686" s="730"/>
      <c r="K686" s="667"/>
      <c r="L686" s="649"/>
      <c r="M686" s="667"/>
      <c r="N686" s="667"/>
      <c r="O686" s="731"/>
      <c r="P686" s="666"/>
      <c r="Q686" s="667"/>
      <c r="R686" s="737"/>
    </row>
    <row r="687" spans="1:18" ht="12.75">
      <c r="A687" s="728">
        <v>4260</v>
      </c>
      <c r="B687" s="876" t="s">
        <v>711</v>
      </c>
      <c r="C687" s="666">
        <v>932900</v>
      </c>
      <c r="D687" s="643">
        <f t="shared" si="75"/>
        <v>933900</v>
      </c>
      <c r="E687" s="667">
        <f t="shared" si="81"/>
        <v>704296</v>
      </c>
      <c r="F687" s="644">
        <f t="shared" si="80"/>
        <v>75.41449834029339</v>
      </c>
      <c r="G687" s="666">
        <f>932900+1000</f>
        <v>933900</v>
      </c>
      <c r="H687" s="667">
        <v>704296</v>
      </c>
      <c r="I687" s="492">
        <f t="shared" si="77"/>
        <v>75.41449834029339</v>
      </c>
      <c r="J687" s="730"/>
      <c r="K687" s="667"/>
      <c r="L687" s="649"/>
      <c r="M687" s="667"/>
      <c r="N687" s="667"/>
      <c r="O687" s="731"/>
      <c r="P687" s="666"/>
      <c r="Q687" s="667"/>
      <c r="R687" s="737"/>
    </row>
    <row r="688" spans="1:18" ht="24">
      <c r="A688" s="728">
        <v>4270</v>
      </c>
      <c r="B688" s="735" t="s">
        <v>713</v>
      </c>
      <c r="C688" s="666">
        <v>34500</v>
      </c>
      <c r="D688" s="643">
        <f t="shared" si="75"/>
        <v>84380</v>
      </c>
      <c r="E688" s="667">
        <f t="shared" si="81"/>
        <v>31536</v>
      </c>
      <c r="F688" s="644">
        <f t="shared" si="80"/>
        <v>37.37378525716994</v>
      </c>
      <c r="G688" s="666">
        <f>34500+5180+29000+6600+9100</f>
        <v>84380</v>
      </c>
      <c r="H688" s="667">
        <v>31536</v>
      </c>
      <c r="I688" s="492">
        <f t="shared" si="77"/>
        <v>37.37378525716994</v>
      </c>
      <c r="J688" s="730"/>
      <c r="K688" s="667"/>
      <c r="L688" s="649"/>
      <c r="M688" s="667"/>
      <c r="N688" s="667"/>
      <c r="O688" s="731"/>
      <c r="P688" s="666"/>
      <c r="Q688" s="667"/>
      <c r="R688" s="737"/>
    </row>
    <row r="689" spans="1:18" ht="24">
      <c r="A689" s="728">
        <v>4280</v>
      </c>
      <c r="B689" s="735" t="s">
        <v>805</v>
      </c>
      <c r="C689" s="666">
        <v>17200</v>
      </c>
      <c r="D689" s="643">
        <f t="shared" si="75"/>
        <v>17000</v>
      </c>
      <c r="E689" s="667">
        <f t="shared" si="81"/>
        <v>9316</v>
      </c>
      <c r="F689" s="644">
        <f t="shared" si="80"/>
        <v>54.800000000000004</v>
      </c>
      <c r="G689" s="666">
        <f>17200-200</f>
        <v>17000</v>
      </c>
      <c r="H689" s="667">
        <v>9316</v>
      </c>
      <c r="I689" s="492">
        <f t="shared" si="77"/>
        <v>54.800000000000004</v>
      </c>
      <c r="J689" s="730"/>
      <c r="K689" s="667"/>
      <c r="L689" s="649"/>
      <c r="M689" s="667"/>
      <c r="N689" s="667"/>
      <c r="O689" s="731"/>
      <c r="P689" s="666"/>
      <c r="Q689" s="667"/>
      <c r="R689" s="737"/>
    </row>
    <row r="690" spans="1:18" ht="24">
      <c r="A690" s="728">
        <v>4300</v>
      </c>
      <c r="B690" s="735" t="s">
        <v>715</v>
      </c>
      <c r="C690" s="666">
        <v>291800</v>
      </c>
      <c r="D690" s="643">
        <f t="shared" si="75"/>
        <v>294200</v>
      </c>
      <c r="E690" s="667">
        <f t="shared" si="81"/>
        <v>217742</v>
      </c>
      <c r="F690" s="644">
        <f t="shared" si="80"/>
        <v>74.01155676410605</v>
      </c>
      <c r="G690" s="666">
        <f>291800+8300+12000+2100-20000</f>
        <v>294200</v>
      </c>
      <c r="H690" s="667">
        <v>217742</v>
      </c>
      <c r="I690" s="492">
        <f t="shared" si="77"/>
        <v>74.01155676410605</v>
      </c>
      <c r="J690" s="730"/>
      <c r="K690" s="667"/>
      <c r="L690" s="649"/>
      <c r="M690" s="667"/>
      <c r="N690" s="667"/>
      <c r="O690" s="731"/>
      <c r="P690" s="666"/>
      <c r="Q690" s="667"/>
      <c r="R690" s="737"/>
    </row>
    <row r="691" spans="1:18" ht="24">
      <c r="A691" s="728">
        <v>4350</v>
      </c>
      <c r="B691" s="735" t="s">
        <v>807</v>
      </c>
      <c r="C691" s="666">
        <v>9900</v>
      </c>
      <c r="D691" s="643">
        <f t="shared" si="75"/>
        <v>9600</v>
      </c>
      <c r="E691" s="667">
        <f t="shared" si="81"/>
        <v>4077</v>
      </c>
      <c r="F691" s="644">
        <f t="shared" si="80"/>
        <v>42.46875</v>
      </c>
      <c r="G691" s="666">
        <f>9900-300</f>
        <v>9600</v>
      </c>
      <c r="H691" s="667">
        <v>4077</v>
      </c>
      <c r="I691" s="492">
        <f t="shared" si="77"/>
        <v>42.46875</v>
      </c>
      <c r="J691" s="730"/>
      <c r="K691" s="667"/>
      <c r="L691" s="649"/>
      <c r="M691" s="667"/>
      <c r="N691" s="667"/>
      <c r="O691" s="731"/>
      <c r="P691" s="666"/>
      <c r="Q691" s="667"/>
      <c r="R691" s="737"/>
    </row>
    <row r="692" spans="1:18" ht="48">
      <c r="A692" s="829">
        <v>4360</v>
      </c>
      <c r="B692" s="850" t="s">
        <v>982</v>
      </c>
      <c r="C692" s="666">
        <v>1200</v>
      </c>
      <c r="D692" s="643">
        <f t="shared" si="75"/>
        <v>800</v>
      </c>
      <c r="E692" s="667">
        <f>SUM(H692+K692+N692+Q692)</f>
        <v>689</v>
      </c>
      <c r="F692" s="644">
        <f>E692/D692*100</f>
        <v>86.125</v>
      </c>
      <c r="G692" s="666">
        <f>1200-400</f>
        <v>800</v>
      </c>
      <c r="H692" s="667">
        <v>689</v>
      </c>
      <c r="I692" s="492">
        <f t="shared" si="77"/>
        <v>86.125</v>
      </c>
      <c r="J692" s="730"/>
      <c r="K692" s="667"/>
      <c r="L692" s="649"/>
      <c r="M692" s="667"/>
      <c r="N692" s="667"/>
      <c r="O692" s="731"/>
      <c r="P692" s="666"/>
      <c r="Q692" s="667"/>
      <c r="R692" s="737"/>
    </row>
    <row r="693" spans="1:18" ht="48">
      <c r="A693" s="756">
        <v>4370</v>
      </c>
      <c r="B693" s="851" t="s">
        <v>916</v>
      </c>
      <c r="C693" s="670">
        <v>48600</v>
      </c>
      <c r="D693" s="685">
        <f t="shared" si="75"/>
        <v>47800</v>
      </c>
      <c r="E693" s="686">
        <f>SUM(H693+K693+N693+Q693)</f>
        <v>26523</v>
      </c>
      <c r="F693" s="668">
        <f>E693/D693*100</f>
        <v>55.487447698744774</v>
      </c>
      <c r="G693" s="670">
        <f>48600-800</f>
        <v>47800</v>
      </c>
      <c r="H693" s="686">
        <v>26523</v>
      </c>
      <c r="I693" s="758">
        <f t="shared" si="77"/>
        <v>55.487447698744774</v>
      </c>
      <c r="J693" s="777"/>
      <c r="K693" s="686"/>
      <c r="L693" s="690"/>
      <c r="M693" s="686"/>
      <c r="N693" s="686"/>
      <c r="O693" s="779"/>
      <c r="P693" s="670"/>
      <c r="Q693" s="686"/>
      <c r="R693" s="760"/>
    </row>
    <row r="694" spans="1:18" ht="36">
      <c r="A694" s="728">
        <v>4390</v>
      </c>
      <c r="B694" s="865" t="s">
        <v>743</v>
      </c>
      <c r="C694" s="666">
        <v>37800</v>
      </c>
      <c r="D694" s="643">
        <f t="shared" si="75"/>
        <v>36575</v>
      </c>
      <c r="E694" s="667">
        <f>SUM(H694+K694+N694+Q694)</f>
        <v>19043</v>
      </c>
      <c r="F694" s="644">
        <f>E694/D694*100</f>
        <v>52.06561859193438</v>
      </c>
      <c r="G694" s="666">
        <f>37800-800-425</f>
        <v>36575</v>
      </c>
      <c r="H694" s="667">
        <v>19043</v>
      </c>
      <c r="I694" s="492">
        <f t="shared" si="77"/>
        <v>52.06561859193438</v>
      </c>
      <c r="J694" s="730"/>
      <c r="K694" s="667"/>
      <c r="L694" s="649"/>
      <c r="M694" s="667"/>
      <c r="N694" s="667"/>
      <c r="O694" s="731"/>
      <c r="P694" s="666"/>
      <c r="Q694" s="667"/>
      <c r="R694" s="737"/>
    </row>
    <row r="695" spans="1:18" ht="24">
      <c r="A695" s="728">
        <v>4410</v>
      </c>
      <c r="B695" s="735" t="s">
        <v>689</v>
      </c>
      <c r="C695" s="666">
        <v>24300</v>
      </c>
      <c r="D695" s="643">
        <f t="shared" si="75"/>
        <v>24300</v>
      </c>
      <c r="E695" s="667">
        <f t="shared" si="81"/>
        <v>11526</v>
      </c>
      <c r="F695" s="644">
        <f t="shared" si="80"/>
        <v>47.4320987654321</v>
      </c>
      <c r="G695" s="666">
        <v>24300</v>
      </c>
      <c r="H695" s="667">
        <v>11526</v>
      </c>
      <c r="I695" s="492">
        <f t="shared" si="77"/>
        <v>47.4320987654321</v>
      </c>
      <c r="J695" s="730"/>
      <c r="K695" s="667"/>
      <c r="L695" s="649"/>
      <c r="M695" s="667"/>
      <c r="N695" s="667"/>
      <c r="O695" s="731"/>
      <c r="P695" s="666"/>
      <c r="Q695" s="667"/>
      <c r="R695" s="737"/>
    </row>
    <row r="696" spans="1:18" ht="24">
      <c r="A696" s="728">
        <v>4420</v>
      </c>
      <c r="B696" s="735" t="s">
        <v>823</v>
      </c>
      <c r="C696" s="666">
        <v>1400</v>
      </c>
      <c r="D696" s="643">
        <f t="shared" si="75"/>
        <v>500</v>
      </c>
      <c r="E696" s="667">
        <f t="shared" si="81"/>
        <v>75</v>
      </c>
      <c r="F696" s="644">
        <f t="shared" si="80"/>
        <v>15</v>
      </c>
      <c r="G696" s="666">
        <f>1400-900</f>
        <v>500</v>
      </c>
      <c r="H696" s="667">
        <v>75</v>
      </c>
      <c r="I696" s="492">
        <f t="shared" si="77"/>
        <v>15</v>
      </c>
      <c r="J696" s="730"/>
      <c r="K696" s="667"/>
      <c r="L696" s="649"/>
      <c r="M696" s="667"/>
      <c r="N696" s="667"/>
      <c r="O696" s="731"/>
      <c r="P696" s="666"/>
      <c r="Q696" s="667"/>
      <c r="R696" s="737"/>
    </row>
    <row r="697" spans="1:18" ht="12.75">
      <c r="A697" s="728">
        <v>4430</v>
      </c>
      <c r="B697" s="735" t="s">
        <v>717</v>
      </c>
      <c r="C697" s="666">
        <v>300</v>
      </c>
      <c r="D697" s="643">
        <f t="shared" si="75"/>
        <v>300</v>
      </c>
      <c r="E697" s="667">
        <f>SUM(H697+K697+N697+Q697)</f>
        <v>238</v>
      </c>
      <c r="F697" s="644">
        <f>E697/D697*100</f>
        <v>79.33333333333333</v>
      </c>
      <c r="G697" s="666">
        <v>300</v>
      </c>
      <c r="H697" s="667">
        <v>238</v>
      </c>
      <c r="I697" s="492">
        <f t="shared" si="77"/>
        <v>79.33333333333333</v>
      </c>
      <c r="J697" s="730"/>
      <c r="K697" s="667"/>
      <c r="L697" s="649"/>
      <c r="M697" s="667"/>
      <c r="N697" s="667"/>
      <c r="O697" s="731"/>
      <c r="P697" s="666"/>
      <c r="Q697" s="667"/>
      <c r="R697" s="737"/>
    </row>
    <row r="698" spans="1:18" ht="12.75">
      <c r="A698" s="728">
        <v>4440</v>
      </c>
      <c r="B698" s="735" t="s">
        <v>719</v>
      </c>
      <c r="C698" s="666">
        <v>752700</v>
      </c>
      <c r="D698" s="643">
        <f t="shared" si="75"/>
        <v>800450</v>
      </c>
      <c r="E698" s="667">
        <f>SUM(H698+K698+N698+Q698)</f>
        <v>800450</v>
      </c>
      <c r="F698" s="644">
        <f>E698/D698*100</f>
        <v>100</v>
      </c>
      <c r="G698" s="666">
        <f>752700+50640-2890</f>
        <v>800450</v>
      </c>
      <c r="H698" s="667">
        <v>800450</v>
      </c>
      <c r="I698" s="492">
        <f t="shared" si="77"/>
        <v>100</v>
      </c>
      <c r="J698" s="730"/>
      <c r="K698" s="667"/>
      <c r="L698" s="649"/>
      <c r="M698" s="667"/>
      <c r="N698" s="667"/>
      <c r="O698" s="731"/>
      <c r="P698" s="666"/>
      <c r="Q698" s="667"/>
      <c r="R698" s="737"/>
    </row>
    <row r="699" spans="1:18" s="723" customFormat="1" ht="36">
      <c r="A699" s="829">
        <v>4700</v>
      </c>
      <c r="B699" s="850" t="s">
        <v>813</v>
      </c>
      <c r="C699" s="666">
        <v>21600</v>
      </c>
      <c r="D699" s="643">
        <f t="shared" si="75"/>
        <v>21600</v>
      </c>
      <c r="E699" s="667">
        <f t="shared" si="81"/>
        <v>12851</v>
      </c>
      <c r="F699" s="644">
        <f t="shared" si="80"/>
        <v>59.495370370370374</v>
      </c>
      <c r="G699" s="666">
        <v>21600</v>
      </c>
      <c r="H699" s="667">
        <v>12851</v>
      </c>
      <c r="I699" s="492">
        <f t="shared" si="77"/>
        <v>59.495370370370374</v>
      </c>
      <c r="J699" s="730"/>
      <c r="K699" s="667"/>
      <c r="L699" s="649"/>
      <c r="M699" s="667"/>
      <c r="N699" s="667"/>
      <c r="O699" s="731"/>
      <c r="P699" s="666"/>
      <c r="Q699" s="667"/>
      <c r="R699" s="737"/>
    </row>
    <row r="700" spans="1:18" s="723" customFormat="1" ht="60">
      <c r="A700" s="829">
        <v>4740</v>
      </c>
      <c r="B700" s="850" t="s">
        <v>728</v>
      </c>
      <c r="C700" s="666">
        <v>28100</v>
      </c>
      <c r="D700" s="643">
        <f t="shared" si="75"/>
        <v>23825</v>
      </c>
      <c r="E700" s="667">
        <f>SUM(H700+K700+N700+Q700)</f>
        <v>12806</v>
      </c>
      <c r="F700" s="644">
        <f>E700/D700*100</f>
        <v>53.750262329485835</v>
      </c>
      <c r="G700" s="666">
        <f>28100-800-3475</f>
        <v>23825</v>
      </c>
      <c r="H700" s="667">
        <v>12806</v>
      </c>
      <c r="I700" s="492">
        <f t="shared" si="77"/>
        <v>53.750262329485835</v>
      </c>
      <c r="J700" s="730"/>
      <c r="K700" s="667"/>
      <c r="L700" s="649"/>
      <c r="M700" s="667"/>
      <c r="N700" s="667"/>
      <c r="O700" s="731"/>
      <c r="P700" s="666"/>
      <c r="Q700" s="667"/>
      <c r="R700" s="737"/>
    </row>
    <row r="701" spans="1:18" s="723" customFormat="1" ht="36">
      <c r="A701" s="829">
        <v>4750</v>
      </c>
      <c r="B701" s="850" t="s">
        <v>814</v>
      </c>
      <c r="C701" s="666">
        <v>39700</v>
      </c>
      <c r="D701" s="643">
        <f t="shared" si="75"/>
        <v>39700</v>
      </c>
      <c r="E701" s="667">
        <f>SUM(H701+K701+N701+Q701)</f>
        <v>27304</v>
      </c>
      <c r="F701" s="644">
        <f>E701/D701*100</f>
        <v>68.77581863979849</v>
      </c>
      <c r="G701" s="666">
        <v>39700</v>
      </c>
      <c r="H701" s="667">
        <v>27304</v>
      </c>
      <c r="I701" s="492">
        <f t="shared" si="77"/>
        <v>68.77581863979849</v>
      </c>
      <c r="J701" s="730"/>
      <c r="K701" s="667"/>
      <c r="L701" s="649"/>
      <c r="M701" s="667"/>
      <c r="N701" s="667"/>
      <c r="O701" s="731"/>
      <c r="P701" s="666"/>
      <c r="Q701" s="667"/>
      <c r="R701" s="737"/>
    </row>
    <row r="702" spans="1:18" s="723" customFormat="1" ht="60">
      <c r="A702" s="728">
        <v>6050</v>
      </c>
      <c r="B702" s="735" t="s">
        <v>0</v>
      </c>
      <c r="C702" s="666">
        <v>149300</v>
      </c>
      <c r="D702" s="643">
        <f t="shared" si="75"/>
        <v>231553</v>
      </c>
      <c r="E702" s="667">
        <f t="shared" si="81"/>
        <v>89176</v>
      </c>
      <c r="F702" s="644">
        <f t="shared" si="80"/>
        <v>38.512133291298326</v>
      </c>
      <c r="G702" s="666">
        <f>149300+43900+13140-9000+3413+34800-4000</f>
        <v>231553</v>
      </c>
      <c r="H702" s="667">
        <v>89176</v>
      </c>
      <c r="I702" s="492">
        <f t="shared" si="77"/>
        <v>38.512133291298326</v>
      </c>
      <c r="J702" s="730"/>
      <c r="K702" s="667"/>
      <c r="L702" s="649"/>
      <c r="M702" s="667"/>
      <c r="N702" s="667"/>
      <c r="O702" s="731"/>
      <c r="P702" s="666"/>
      <c r="Q702" s="667"/>
      <c r="R702" s="737"/>
    </row>
    <row r="703" spans="1:18" s="723" customFormat="1" ht="36">
      <c r="A703" s="728">
        <v>6060</v>
      </c>
      <c r="B703" s="735" t="s">
        <v>856</v>
      </c>
      <c r="C703" s="666">
        <v>1100</v>
      </c>
      <c r="D703" s="643">
        <f t="shared" si="75"/>
        <v>0</v>
      </c>
      <c r="E703" s="667">
        <f>SUM(H703+K703+N703+Q703)</f>
        <v>0</v>
      </c>
      <c r="F703" s="644"/>
      <c r="G703" s="666">
        <f>1100-1100</f>
        <v>0</v>
      </c>
      <c r="H703" s="667"/>
      <c r="I703" s="492"/>
      <c r="J703" s="730"/>
      <c r="K703" s="667"/>
      <c r="L703" s="649"/>
      <c r="M703" s="667"/>
      <c r="N703" s="667"/>
      <c r="O703" s="731"/>
      <c r="P703" s="666"/>
      <c r="Q703" s="667"/>
      <c r="R703" s="737"/>
    </row>
    <row r="704" spans="1:18" s="882" customFormat="1" ht="12.75">
      <c r="A704" s="724">
        <v>80111</v>
      </c>
      <c r="B704" s="854" t="s">
        <v>1</v>
      </c>
      <c r="C704" s="726">
        <f>SUM(C705:C725)</f>
        <v>2183900</v>
      </c>
      <c r="D704" s="674">
        <f t="shared" si="75"/>
        <v>2211860</v>
      </c>
      <c r="E704" s="657">
        <f>H704+K704+Q704+N704</f>
        <v>1813460</v>
      </c>
      <c r="F704" s="658">
        <f t="shared" si="80"/>
        <v>81.98801009105459</v>
      </c>
      <c r="G704" s="893"/>
      <c r="H704" s="895"/>
      <c r="I704" s="280"/>
      <c r="J704" s="896"/>
      <c r="K704" s="895"/>
      <c r="L704" s="897"/>
      <c r="M704" s="657">
        <f>SUM(M705:M725)</f>
        <v>2211860</v>
      </c>
      <c r="N704" s="657">
        <f>SUM(N705:N725)</f>
        <v>1813460</v>
      </c>
      <c r="O704" s="890">
        <f aca="true" t="shared" si="82" ref="O704:O749">N704/M704*100</f>
        <v>81.98801009105459</v>
      </c>
      <c r="P704" s="726"/>
      <c r="Q704" s="657"/>
      <c r="R704" s="842"/>
    </row>
    <row r="705" spans="1:18" s="882" customFormat="1" ht="36">
      <c r="A705" s="709">
        <v>3020</v>
      </c>
      <c r="B705" s="735" t="s">
        <v>1020</v>
      </c>
      <c r="C705" s="670">
        <v>6900</v>
      </c>
      <c r="D705" s="685">
        <f aca="true" t="shared" si="83" ref="D705:D746">G705+J705+P705+M705</f>
        <v>6900</v>
      </c>
      <c r="E705" s="686">
        <f aca="true" t="shared" si="84" ref="E705:E746">SUM(H705+K705+N705+Q705)</f>
        <v>2367</v>
      </c>
      <c r="F705" s="668">
        <f t="shared" si="80"/>
        <v>34.30434782608695</v>
      </c>
      <c r="G705" s="670"/>
      <c r="H705" s="686"/>
      <c r="I705" s="140"/>
      <c r="J705" s="777"/>
      <c r="K705" s="686"/>
      <c r="L705" s="690"/>
      <c r="M705" s="670">
        <v>6900</v>
      </c>
      <c r="N705" s="686">
        <v>2367</v>
      </c>
      <c r="O705" s="758">
        <f t="shared" si="82"/>
        <v>34.30434782608695</v>
      </c>
      <c r="P705" s="670"/>
      <c r="Q705" s="686"/>
      <c r="R705" s="760"/>
    </row>
    <row r="706" spans="1:18" s="882" customFormat="1" ht="24">
      <c r="A706" s="728">
        <v>4010</v>
      </c>
      <c r="B706" s="735" t="s">
        <v>697</v>
      </c>
      <c r="C706" s="666">
        <v>1502000</v>
      </c>
      <c r="D706" s="643">
        <f t="shared" si="83"/>
        <v>1508200</v>
      </c>
      <c r="E706" s="667">
        <f t="shared" si="84"/>
        <v>1228298</v>
      </c>
      <c r="F706" s="644">
        <f t="shared" si="80"/>
        <v>81.44132077973744</v>
      </c>
      <c r="G706" s="666"/>
      <c r="H706" s="667"/>
      <c r="I706" s="120"/>
      <c r="J706" s="730"/>
      <c r="K706" s="667"/>
      <c r="L706" s="649"/>
      <c r="M706" s="666">
        <f>1502000+6200</f>
        <v>1508200</v>
      </c>
      <c r="N706" s="667">
        <v>1228298</v>
      </c>
      <c r="O706" s="492">
        <f t="shared" si="82"/>
        <v>81.44132077973744</v>
      </c>
      <c r="P706" s="666"/>
      <c r="Q706" s="667"/>
      <c r="R706" s="737"/>
    </row>
    <row r="707" spans="1:18" s="882" customFormat="1" ht="24">
      <c r="A707" s="728">
        <v>4040</v>
      </c>
      <c r="B707" s="735" t="s">
        <v>701</v>
      </c>
      <c r="C707" s="666">
        <v>117000</v>
      </c>
      <c r="D707" s="643">
        <f t="shared" si="83"/>
        <v>116060</v>
      </c>
      <c r="E707" s="667">
        <f t="shared" si="84"/>
        <v>116059</v>
      </c>
      <c r="F707" s="644">
        <f t="shared" si="80"/>
        <v>99.99913837670171</v>
      </c>
      <c r="G707" s="666"/>
      <c r="H707" s="667"/>
      <c r="I707" s="120"/>
      <c r="J707" s="730"/>
      <c r="K707" s="667"/>
      <c r="L707" s="649"/>
      <c r="M707" s="666">
        <f>117000-940</f>
        <v>116060</v>
      </c>
      <c r="N707" s="667">
        <v>116059</v>
      </c>
      <c r="O707" s="492">
        <f t="shared" si="82"/>
        <v>99.99913837670171</v>
      </c>
      <c r="P707" s="666"/>
      <c r="Q707" s="667"/>
      <c r="R707" s="737"/>
    </row>
    <row r="708" spans="1:18" s="882" customFormat="1" ht="24">
      <c r="A708" s="728">
        <v>4110</v>
      </c>
      <c r="B708" s="735" t="s">
        <v>703</v>
      </c>
      <c r="C708" s="666">
        <v>258000</v>
      </c>
      <c r="D708" s="643">
        <f t="shared" si="83"/>
        <v>259000</v>
      </c>
      <c r="E708" s="667">
        <f t="shared" si="84"/>
        <v>201260</v>
      </c>
      <c r="F708" s="644">
        <f t="shared" si="80"/>
        <v>77.7065637065637</v>
      </c>
      <c r="G708" s="666"/>
      <c r="H708" s="667"/>
      <c r="I708" s="120"/>
      <c r="J708" s="730"/>
      <c r="K708" s="667"/>
      <c r="L708" s="649"/>
      <c r="M708" s="666">
        <f>258000+1000</f>
        <v>259000</v>
      </c>
      <c r="N708" s="667">
        <v>201260</v>
      </c>
      <c r="O708" s="492">
        <f t="shared" si="82"/>
        <v>77.7065637065637</v>
      </c>
      <c r="P708" s="666"/>
      <c r="Q708" s="667"/>
      <c r="R708" s="737"/>
    </row>
    <row r="709" spans="1:18" s="882" customFormat="1" ht="15.75" customHeight="1">
      <c r="A709" s="709">
        <v>4120</v>
      </c>
      <c r="B709" s="776" t="s">
        <v>847</v>
      </c>
      <c r="C709" s="670">
        <v>38900</v>
      </c>
      <c r="D709" s="685">
        <f t="shared" si="83"/>
        <v>39000</v>
      </c>
      <c r="E709" s="686">
        <f t="shared" si="84"/>
        <v>31916</v>
      </c>
      <c r="F709" s="668">
        <f t="shared" si="80"/>
        <v>81.83589743589744</v>
      </c>
      <c r="G709" s="670"/>
      <c r="H709" s="686"/>
      <c r="I709" s="140"/>
      <c r="J709" s="777"/>
      <c r="K709" s="686"/>
      <c r="L709" s="690"/>
      <c r="M709" s="670">
        <f>38900+100</f>
        <v>39000</v>
      </c>
      <c r="N709" s="686">
        <v>31916</v>
      </c>
      <c r="O709" s="758">
        <f t="shared" si="82"/>
        <v>81.83589743589744</v>
      </c>
      <c r="P709" s="670"/>
      <c r="Q709" s="686"/>
      <c r="R709" s="760"/>
    </row>
    <row r="710" spans="1:18" s="882" customFormat="1" ht="15.75" customHeight="1">
      <c r="A710" s="728">
        <v>4140</v>
      </c>
      <c r="B710" s="735" t="s">
        <v>804</v>
      </c>
      <c r="C710" s="666">
        <v>1800</v>
      </c>
      <c r="D710" s="643">
        <f t="shared" si="83"/>
        <v>1800</v>
      </c>
      <c r="E710" s="667">
        <f t="shared" si="84"/>
        <v>1337</v>
      </c>
      <c r="F710" s="644">
        <f t="shared" si="80"/>
        <v>74.27777777777777</v>
      </c>
      <c r="G710" s="666"/>
      <c r="H710" s="667"/>
      <c r="I710" s="120"/>
      <c r="J710" s="730"/>
      <c r="K710" s="667"/>
      <c r="L710" s="649"/>
      <c r="M710" s="666">
        <v>1800</v>
      </c>
      <c r="N710" s="667">
        <v>1337</v>
      </c>
      <c r="O710" s="492">
        <f t="shared" si="82"/>
        <v>74.27777777777777</v>
      </c>
      <c r="P710" s="730"/>
      <c r="Q710" s="667"/>
      <c r="R710" s="737"/>
    </row>
    <row r="711" spans="1:18" s="882" customFormat="1" ht="24">
      <c r="A711" s="728">
        <v>4210</v>
      </c>
      <c r="B711" s="735" t="s">
        <v>707</v>
      </c>
      <c r="C711" s="666">
        <v>22500</v>
      </c>
      <c r="D711" s="643">
        <f t="shared" si="83"/>
        <v>28500</v>
      </c>
      <c r="E711" s="667">
        <f t="shared" si="84"/>
        <v>18183</v>
      </c>
      <c r="F711" s="644">
        <f t="shared" si="80"/>
        <v>63.800000000000004</v>
      </c>
      <c r="G711" s="666"/>
      <c r="H711" s="667"/>
      <c r="I711" s="120"/>
      <c r="J711" s="730"/>
      <c r="K711" s="667"/>
      <c r="L711" s="649"/>
      <c r="M711" s="666">
        <f>22500+6000</f>
        <v>28500</v>
      </c>
      <c r="N711" s="667">
        <v>18183</v>
      </c>
      <c r="O711" s="492">
        <f t="shared" si="82"/>
        <v>63.800000000000004</v>
      </c>
      <c r="P711" s="667"/>
      <c r="Q711" s="667"/>
      <c r="R711" s="737"/>
    </row>
    <row r="712" spans="1:18" s="882" customFormat="1" ht="36">
      <c r="A712" s="728">
        <v>4240</v>
      </c>
      <c r="B712" s="735" t="s">
        <v>2</v>
      </c>
      <c r="C712" s="666">
        <v>4000</v>
      </c>
      <c r="D712" s="643">
        <f t="shared" si="83"/>
        <v>4000</v>
      </c>
      <c r="E712" s="667">
        <f t="shared" si="84"/>
        <v>2154</v>
      </c>
      <c r="F712" s="644">
        <f t="shared" si="80"/>
        <v>53.849999999999994</v>
      </c>
      <c r="G712" s="666"/>
      <c r="H712" s="667"/>
      <c r="I712" s="120"/>
      <c r="J712" s="730"/>
      <c r="K712" s="667"/>
      <c r="L712" s="649"/>
      <c r="M712" s="666">
        <v>4000</v>
      </c>
      <c r="N712" s="667">
        <v>2154</v>
      </c>
      <c r="O712" s="492">
        <f t="shared" si="82"/>
        <v>53.849999999999994</v>
      </c>
      <c r="P712" s="667"/>
      <c r="Q712" s="667"/>
      <c r="R712" s="737"/>
    </row>
    <row r="713" spans="1:18" s="882" customFormat="1" ht="18.75" customHeight="1">
      <c r="A713" s="728">
        <v>4260</v>
      </c>
      <c r="B713" s="735" t="s">
        <v>711</v>
      </c>
      <c r="C713" s="666">
        <v>90000</v>
      </c>
      <c r="D713" s="643">
        <f t="shared" si="83"/>
        <v>90000</v>
      </c>
      <c r="E713" s="667">
        <f t="shared" si="84"/>
        <v>79590</v>
      </c>
      <c r="F713" s="644">
        <f t="shared" si="80"/>
        <v>88.43333333333334</v>
      </c>
      <c r="G713" s="666"/>
      <c r="H713" s="667"/>
      <c r="I713" s="120"/>
      <c r="J713" s="730"/>
      <c r="K713" s="667"/>
      <c r="L713" s="649"/>
      <c r="M713" s="666">
        <v>90000</v>
      </c>
      <c r="N713" s="667">
        <v>79590</v>
      </c>
      <c r="O713" s="492">
        <f t="shared" si="82"/>
        <v>88.43333333333334</v>
      </c>
      <c r="P713" s="667"/>
      <c r="Q713" s="667"/>
      <c r="R713" s="737"/>
    </row>
    <row r="714" spans="1:18" s="882" customFormat="1" ht="18.75" customHeight="1">
      <c r="A714" s="728">
        <v>4270</v>
      </c>
      <c r="B714" s="735" t="s">
        <v>713</v>
      </c>
      <c r="C714" s="666">
        <v>3900</v>
      </c>
      <c r="D714" s="643">
        <f t="shared" si="83"/>
        <v>3900</v>
      </c>
      <c r="E714" s="667">
        <f t="shared" si="84"/>
        <v>2890</v>
      </c>
      <c r="F714" s="644">
        <f t="shared" si="80"/>
        <v>74.1025641025641</v>
      </c>
      <c r="G714" s="666"/>
      <c r="H714" s="667"/>
      <c r="I714" s="120"/>
      <c r="J714" s="730"/>
      <c r="K714" s="667"/>
      <c r="L714" s="649"/>
      <c r="M714" s="666">
        <v>3900</v>
      </c>
      <c r="N714" s="667">
        <v>2890</v>
      </c>
      <c r="O714" s="492">
        <f t="shared" si="82"/>
        <v>74.1025641025641</v>
      </c>
      <c r="P714" s="667"/>
      <c r="Q714" s="667"/>
      <c r="R714" s="737"/>
    </row>
    <row r="715" spans="1:18" s="882" customFormat="1" ht="18.75" customHeight="1">
      <c r="A715" s="728">
        <v>4280</v>
      </c>
      <c r="B715" s="735" t="s">
        <v>805</v>
      </c>
      <c r="C715" s="666">
        <v>1500</v>
      </c>
      <c r="D715" s="643">
        <f t="shared" si="83"/>
        <v>1500</v>
      </c>
      <c r="E715" s="667">
        <f t="shared" si="84"/>
        <v>999</v>
      </c>
      <c r="F715" s="644">
        <f t="shared" si="80"/>
        <v>66.60000000000001</v>
      </c>
      <c r="G715" s="666"/>
      <c r="H715" s="667"/>
      <c r="I715" s="120"/>
      <c r="J715" s="730"/>
      <c r="K715" s="667"/>
      <c r="L715" s="649"/>
      <c r="M715" s="666">
        <v>1500</v>
      </c>
      <c r="N715" s="667">
        <v>999</v>
      </c>
      <c r="O715" s="492">
        <f t="shared" si="82"/>
        <v>66.60000000000001</v>
      </c>
      <c r="P715" s="667"/>
      <c r="Q715" s="667"/>
      <c r="R715" s="737"/>
    </row>
    <row r="716" spans="1:18" s="882" customFormat="1" ht="18.75" customHeight="1">
      <c r="A716" s="728">
        <v>4300</v>
      </c>
      <c r="B716" s="735" t="s">
        <v>715</v>
      </c>
      <c r="C716" s="666">
        <v>47000</v>
      </c>
      <c r="D716" s="643">
        <f t="shared" si="83"/>
        <v>51300</v>
      </c>
      <c r="E716" s="667">
        <f t="shared" si="84"/>
        <v>35052</v>
      </c>
      <c r="F716" s="644">
        <f t="shared" si="80"/>
        <v>68.32748538011695</v>
      </c>
      <c r="G716" s="666"/>
      <c r="H716" s="667"/>
      <c r="I716" s="120"/>
      <c r="J716" s="730"/>
      <c r="K716" s="667"/>
      <c r="L716" s="649"/>
      <c r="M716" s="666">
        <f>47000+4300</f>
        <v>51300</v>
      </c>
      <c r="N716" s="667">
        <v>35052</v>
      </c>
      <c r="O716" s="492">
        <f t="shared" si="82"/>
        <v>68.32748538011695</v>
      </c>
      <c r="P716" s="667"/>
      <c r="Q716" s="667"/>
      <c r="R716" s="737"/>
    </row>
    <row r="717" spans="1:18" s="882" customFormat="1" ht="24">
      <c r="A717" s="728">
        <v>4350</v>
      </c>
      <c r="B717" s="735" t="s">
        <v>807</v>
      </c>
      <c r="C717" s="666">
        <v>1000</v>
      </c>
      <c r="D717" s="643">
        <f t="shared" si="83"/>
        <v>1000</v>
      </c>
      <c r="E717" s="667">
        <f t="shared" si="84"/>
        <v>969</v>
      </c>
      <c r="F717" s="644">
        <f t="shared" si="80"/>
        <v>96.89999999999999</v>
      </c>
      <c r="G717" s="666"/>
      <c r="H717" s="667"/>
      <c r="I717" s="120"/>
      <c r="J717" s="730"/>
      <c r="K717" s="667"/>
      <c r="L717" s="649"/>
      <c r="M717" s="666">
        <v>1000</v>
      </c>
      <c r="N717" s="667">
        <v>969</v>
      </c>
      <c r="O717" s="492">
        <f t="shared" si="82"/>
        <v>96.89999999999999</v>
      </c>
      <c r="P717" s="667"/>
      <c r="Q717" s="667"/>
      <c r="R717" s="737"/>
    </row>
    <row r="718" spans="1:18" s="882" customFormat="1" ht="48">
      <c r="A718" s="829">
        <v>4360</v>
      </c>
      <c r="B718" s="850" t="s">
        <v>982</v>
      </c>
      <c r="C718" s="666">
        <v>300</v>
      </c>
      <c r="D718" s="643">
        <f t="shared" si="83"/>
        <v>400</v>
      </c>
      <c r="E718" s="667">
        <f>SUM(H718+K718+N718+Q718)</f>
        <v>339</v>
      </c>
      <c r="F718" s="644">
        <f>E718/D718*100</f>
        <v>84.75</v>
      </c>
      <c r="G718" s="666"/>
      <c r="H718" s="667"/>
      <c r="I718" s="120"/>
      <c r="J718" s="730"/>
      <c r="K718" s="667"/>
      <c r="L718" s="649"/>
      <c r="M718" s="666">
        <f>300+100</f>
        <v>400</v>
      </c>
      <c r="N718" s="667">
        <v>339</v>
      </c>
      <c r="O718" s="492">
        <f t="shared" si="82"/>
        <v>84.75</v>
      </c>
      <c r="P718" s="667"/>
      <c r="Q718" s="667"/>
      <c r="R718" s="737"/>
    </row>
    <row r="719" spans="1:18" s="882" customFormat="1" ht="48">
      <c r="A719" s="829">
        <v>4370</v>
      </c>
      <c r="B719" s="850" t="s">
        <v>916</v>
      </c>
      <c r="C719" s="666">
        <v>2300</v>
      </c>
      <c r="D719" s="643">
        <f t="shared" si="83"/>
        <v>2300</v>
      </c>
      <c r="E719" s="667">
        <f>SUM(H719+K719+N719+Q719)</f>
        <v>2017</v>
      </c>
      <c r="F719" s="644">
        <f>E719/D719*100</f>
        <v>87.69565217391305</v>
      </c>
      <c r="G719" s="666"/>
      <c r="H719" s="667"/>
      <c r="I719" s="120"/>
      <c r="J719" s="730"/>
      <c r="K719" s="667"/>
      <c r="L719" s="649"/>
      <c r="M719" s="666">
        <v>2300</v>
      </c>
      <c r="N719" s="667">
        <v>2017</v>
      </c>
      <c r="O719" s="492">
        <f t="shared" si="82"/>
        <v>87.69565217391305</v>
      </c>
      <c r="P719" s="667"/>
      <c r="Q719" s="667"/>
      <c r="R719" s="737"/>
    </row>
    <row r="720" spans="1:18" s="882" customFormat="1" ht="36">
      <c r="A720" s="728">
        <v>4390</v>
      </c>
      <c r="B720" s="865" t="s">
        <v>743</v>
      </c>
      <c r="C720" s="666">
        <v>3000</v>
      </c>
      <c r="D720" s="643">
        <f t="shared" si="83"/>
        <v>4500</v>
      </c>
      <c r="E720" s="667">
        <f>SUM(H720+K720+N720+Q720)</f>
        <v>1569</v>
      </c>
      <c r="F720" s="644">
        <f>E720/D720*100</f>
        <v>34.86666666666667</v>
      </c>
      <c r="G720" s="666"/>
      <c r="H720" s="667"/>
      <c r="I720" s="120"/>
      <c r="J720" s="730"/>
      <c r="K720" s="667"/>
      <c r="L720" s="649"/>
      <c r="M720" s="666">
        <f>3000+1500</f>
        <v>4500</v>
      </c>
      <c r="N720" s="667">
        <v>1569</v>
      </c>
      <c r="O720" s="492">
        <f t="shared" si="82"/>
        <v>34.86666666666667</v>
      </c>
      <c r="P720" s="667"/>
      <c r="Q720" s="667"/>
      <c r="R720" s="737"/>
    </row>
    <row r="721" spans="1:18" s="882" customFormat="1" ht="18.75" customHeight="1">
      <c r="A721" s="728">
        <v>4410</v>
      </c>
      <c r="B721" s="735" t="s">
        <v>689</v>
      </c>
      <c r="C721" s="666">
        <v>1700</v>
      </c>
      <c r="D721" s="643">
        <f t="shared" si="83"/>
        <v>1700</v>
      </c>
      <c r="E721" s="667">
        <f t="shared" si="84"/>
        <v>1314</v>
      </c>
      <c r="F721" s="644">
        <f t="shared" si="80"/>
        <v>77.29411764705883</v>
      </c>
      <c r="G721" s="666"/>
      <c r="H721" s="667"/>
      <c r="I721" s="120"/>
      <c r="J721" s="730"/>
      <c r="K721" s="667"/>
      <c r="L721" s="649"/>
      <c r="M721" s="666">
        <v>1700</v>
      </c>
      <c r="N721" s="667">
        <v>1314</v>
      </c>
      <c r="O721" s="492">
        <f t="shared" si="82"/>
        <v>77.29411764705883</v>
      </c>
      <c r="P721" s="667"/>
      <c r="Q721" s="667"/>
      <c r="R721" s="737"/>
    </row>
    <row r="722" spans="1:18" s="882" customFormat="1" ht="12.75">
      <c r="A722" s="728">
        <v>4440</v>
      </c>
      <c r="B722" s="818" t="s">
        <v>719</v>
      </c>
      <c r="C722" s="666">
        <v>74300</v>
      </c>
      <c r="D722" s="643">
        <f t="shared" si="83"/>
        <v>84200</v>
      </c>
      <c r="E722" s="667">
        <f t="shared" si="84"/>
        <v>84200</v>
      </c>
      <c r="F722" s="644">
        <f t="shared" si="80"/>
        <v>100</v>
      </c>
      <c r="G722" s="666"/>
      <c r="H722" s="667"/>
      <c r="I722" s="120"/>
      <c r="J722" s="730"/>
      <c r="K722" s="667"/>
      <c r="L722" s="649"/>
      <c r="M722" s="666">
        <f>74300+5700+4200</f>
        <v>84200</v>
      </c>
      <c r="N722" s="667">
        <v>84200</v>
      </c>
      <c r="O722" s="492">
        <f t="shared" si="82"/>
        <v>100</v>
      </c>
      <c r="P722" s="667"/>
      <c r="Q722" s="667"/>
      <c r="R722" s="737"/>
    </row>
    <row r="723" spans="1:18" s="882" customFormat="1" ht="36">
      <c r="A723" s="829">
        <v>4700</v>
      </c>
      <c r="B723" s="850" t="s">
        <v>813</v>
      </c>
      <c r="C723" s="666">
        <v>2300</v>
      </c>
      <c r="D723" s="643">
        <f t="shared" si="83"/>
        <v>2300</v>
      </c>
      <c r="E723" s="667">
        <f>SUM(H723+K723+N723+Q723)</f>
        <v>1114</v>
      </c>
      <c r="F723" s="644">
        <f>E723/D723*100</f>
        <v>48.434782608695656</v>
      </c>
      <c r="G723" s="666"/>
      <c r="H723" s="667"/>
      <c r="I723" s="120"/>
      <c r="J723" s="730"/>
      <c r="K723" s="667"/>
      <c r="L723" s="649"/>
      <c r="M723" s="666">
        <v>2300</v>
      </c>
      <c r="N723" s="667">
        <v>1114</v>
      </c>
      <c r="O723" s="492">
        <f t="shared" si="82"/>
        <v>48.434782608695656</v>
      </c>
      <c r="P723" s="667"/>
      <c r="Q723" s="667"/>
      <c r="R723" s="737"/>
    </row>
    <row r="724" spans="1:18" s="882" customFormat="1" ht="60">
      <c r="A724" s="829">
        <v>4740</v>
      </c>
      <c r="B724" s="850" t="s">
        <v>728</v>
      </c>
      <c r="C724" s="666">
        <v>1500</v>
      </c>
      <c r="D724" s="643">
        <f t="shared" si="83"/>
        <v>1500</v>
      </c>
      <c r="E724" s="667">
        <f>SUM(H724+K724+N724+Q724)</f>
        <v>215</v>
      </c>
      <c r="F724" s="644">
        <f>E724/D724*100</f>
        <v>14.333333333333334</v>
      </c>
      <c r="G724" s="666"/>
      <c r="H724" s="667"/>
      <c r="I724" s="120"/>
      <c r="J724" s="730"/>
      <c r="K724" s="667"/>
      <c r="L724" s="649"/>
      <c r="M724" s="666">
        <v>1500</v>
      </c>
      <c r="N724" s="667">
        <v>215</v>
      </c>
      <c r="O724" s="492">
        <f t="shared" si="82"/>
        <v>14.333333333333334</v>
      </c>
      <c r="P724" s="667"/>
      <c r="Q724" s="667"/>
      <c r="R724" s="737"/>
    </row>
    <row r="725" spans="1:18" s="882" customFormat="1" ht="36">
      <c r="A725" s="829">
        <v>4750</v>
      </c>
      <c r="B725" s="850" t="s">
        <v>814</v>
      </c>
      <c r="C725" s="666">
        <v>4000</v>
      </c>
      <c r="D725" s="643">
        <f t="shared" si="83"/>
        <v>3800</v>
      </c>
      <c r="E725" s="667">
        <f t="shared" si="84"/>
        <v>1618</v>
      </c>
      <c r="F725" s="644">
        <f t="shared" si="80"/>
        <v>42.578947368421055</v>
      </c>
      <c r="G725" s="666"/>
      <c r="H725" s="667"/>
      <c r="I725" s="120"/>
      <c r="J725" s="730"/>
      <c r="K725" s="667"/>
      <c r="L725" s="649"/>
      <c r="M725" s="666">
        <f>4000-200</f>
        <v>3800</v>
      </c>
      <c r="N725" s="667">
        <v>1618</v>
      </c>
      <c r="O725" s="492">
        <f t="shared" si="82"/>
        <v>42.578947368421055</v>
      </c>
      <c r="P725" s="667"/>
      <c r="Q725" s="667"/>
      <c r="R725" s="737"/>
    </row>
    <row r="726" spans="1:18" s="882" customFormat="1" ht="60">
      <c r="A726" s="787">
        <v>80114</v>
      </c>
      <c r="B726" s="856" t="s">
        <v>3</v>
      </c>
      <c r="C726" s="673">
        <f>SUM(C727:C746)</f>
        <v>1600600</v>
      </c>
      <c r="D726" s="674">
        <f t="shared" si="83"/>
        <v>1758650</v>
      </c>
      <c r="E726" s="674">
        <f t="shared" si="84"/>
        <v>1442793</v>
      </c>
      <c r="F726" s="675">
        <f t="shared" si="80"/>
        <v>82.03980325818098</v>
      </c>
      <c r="G726" s="673">
        <f>SUM(G727:G746)</f>
        <v>1758650</v>
      </c>
      <c r="H726" s="674">
        <f>SUM(H727:H746)</f>
        <v>1442793</v>
      </c>
      <c r="I726" s="130">
        <f>H726/G726*100</f>
        <v>82.03980325818098</v>
      </c>
      <c r="J726" s="677"/>
      <c r="K726" s="674"/>
      <c r="L726" s="663"/>
      <c r="M726" s="673"/>
      <c r="N726" s="674"/>
      <c r="O726" s="972"/>
      <c r="P726" s="674"/>
      <c r="Q726" s="674"/>
      <c r="R726" s="828"/>
    </row>
    <row r="727" spans="1:18" s="882" customFormat="1" ht="36">
      <c r="A727" s="728">
        <v>3020</v>
      </c>
      <c r="B727" s="735" t="s">
        <v>1020</v>
      </c>
      <c r="C727" s="670">
        <v>300</v>
      </c>
      <c r="D727" s="643">
        <f t="shared" si="83"/>
        <v>300</v>
      </c>
      <c r="E727" s="667">
        <f t="shared" si="84"/>
        <v>150</v>
      </c>
      <c r="F727" s="644">
        <f t="shared" si="80"/>
        <v>50</v>
      </c>
      <c r="G727" s="670">
        <v>300</v>
      </c>
      <c r="H727" s="686">
        <f>150+1-1</f>
        <v>150</v>
      </c>
      <c r="I727" s="120">
        <f>H727/G727*100</f>
        <v>50</v>
      </c>
      <c r="J727" s="777"/>
      <c r="K727" s="686"/>
      <c r="L727" s="690"/>
      <c r="M727" s="670"/>
      <c r="N727" s="686"/>
      <c r="O727" s="758"/>
      <c r="P727" s="686"/>
      <c r="Q727" s="686"/>
      <c r="R727" s="760"/>
    </row>
    <row r="728" spans="1:18" s="882" customFormat="1" ht="24">
      <c r="A728" s="728">
        <v>4010</v>
      </c>
      <c r="B728" s="735" t="s">
        <v>973</v>
      </c>
      <c r="C728" s="666">
        <v>625400</v>
      </c>
      <c r="D728" s="643">
        <f t="shared" si="83"/>
        <v>625400</v>
      </c>
      <c r="E728" s="667">
        <f t="shared" si="84"/>
        <v>469241</v>
      </c>
      <c r="F728" s="644">
        <f t="shared" si="80"/>
        <v>75.03054045410937</v>
      </c>
      <c r="G728" s="666">
        <v>625400</v>
      </c>
      <c r="H728" s="667">
        <v>469241</v>
      </c>
      <c r="I728" s="120">
        <f>H728/G728*100</f>
        <v>75.03054045410937</v>
      </c>
      <c r="J728" s="730"/>
      <c r="K728" s="667"/>
      <c r="L728" s="649"/>
      <c r="M728" s="666"/>
      <c r="N728" s="667"/>
      <c r="O728" s="492"/>
      <c r="P728" s="667"/>
      <c r="Q728" s="667"/>
      <c r="R728" s="737"/>
    </row>
    <row r="729" spans="1:18" s="882" customFormat="1" ht="24">
      <c r="A729" s="728">
        <v>4040</v>
      </c>
      <c r="B729" s="735" t="s">
        <v>701</v>
      </c>
      <c r="C729" s="666">
        <v>48600</v>
      </c>
      <c r="D729" s="643">
        <f t="shared" si="83"/>
        <v>48950</v>
      </c>
      <c r="E729" s="667">
        <f t="shared" si="84"/>
        <v>48946</v>
      </c>
      <c r="F729" s="644">
        <f t="shared" si="80"/>
        <v>99.99182839632277</v>
      </c>
      <c r="G729" s="666">
        <f>48600+350</f>
        <v>48950</v>
      </c>
      <c r="H729" s="667">
        <v>48946</v>
      </c>
      <c r="I729" s="120">
        <f aca="true" t="shared" si="85" ref="I729:I746">H729/G729*100</f>
        <v>99.99182839632277</v>
      </c>
      <c r="J729" s="730"/>
      <c r="K729" s="667"/>
      <c r="L729" s="649"/>
      <c r="M729" s="666"/>
      <c r="N729" s="667"/>
      <c r="O729" s="492"/>
      <c r="P729" s="667"/>
      <c r="Q729" s="667"/>
      <c r="R729" s="737"/>
    </row>
    <row r="730" spans="1:18" s="882" customFormat="1" ht="24">
      <c r="A730" s="728">
        <v>4110</v>
      </c>
      <c r="B730" s="735" t="s">
        <v>703</v>
      </c>
      <c r="C730" s="666">
        <v>90600</v>
      </c>
      <c r="D730" s="643">
        <f t="shared" si="83"/>
        <v>90600</v>
      </c>
      <c r="E730" s="667">
        <f t="shared" si="84"/>
        <v>70428</v>
      </c>
      <c r="F730" s="644">
        <f t="shared" si="80"/>
        <v>77.73509933774835</v>
      </c>
      <c r="G730" s="666">
        <v>90600</v>
      </c>
      <c r="H730" s="667">
        <v>70428</v>
      </c>
      <c r="I730" s="120">
        <f t="shared" si="85"/>
        <v>77.73509933774835</v>
      </c>
      <c r="J730" s="730"/>
      <c r="K730" s="667"/>
      <c r="L730" s="649"/>
      <c r="M730" s="666"/>
      <c r="N730" s="667"/>
      <c r="O730" s="492"/>
      <c r="P730" s="667"/>
      <c r="Q730" s="667"/>
      <c r="R730" s="737"/>
    </row>
    <row r="731" spans="1:18" s="882" customFormat="1" ht="12.75">
      <c r="A731" s="728">
        <v>4120</v>
      </c>
      <c r="B731" s="735" t="s">
        <v>847</v>
      </c>
      <c r="C731" s="666">
        <v>15600</v>
      </c>
      <c r="D731" s="643">
        <f t="shared" si="83"/>
        <v>15600</v>
      </c>
      <c r="E731" s="667">
        <f t="shared" si="84"/>
        <v>10823</v>
      </c>
      <c r="F731" s="644">
        <f t="shared" si="80"/>
        <v>69.37820512820512</v>
      </c>
      <c r="G731" s="666">
        <v>15600</v>
      </c>
      <c r="H731" s="667">
        <v>10823</v>
      </c>
      <c r="I731" s="120">
        <f t="shared" si="85"/>
        <v>69.37820512820512</v>
      </c>
      <c r="J731" s="730"/>
      <c r="K731" s="667"/>
      <c r="L731" s="649"/>
      <c r="M731" s="666"/>
      <c r="N731" s="667"/>
      <c r="O731" s="492"/>
      <c r="P731" s="667"/>
      <c r="Q731" s="667"/>
      <c r="R731" s="737"/>
    </row>
    <row r="732" spans="1:18" s="882" customFormat="1" ht="24">
      <c r="A732" s="728">
        <v>4170</v>
      </c>
      <c r="B732" s="735" t="s">
        <v>742</v>
      </c>
      <c r="C732" s="666"/>
      <c r="D732" s="643">
        <f t="shared" si="83"/>
        <v>400</v>
      </c>
      <c r="E732" s="667">
        <f t="shared" si="84"/>
        <v>400</v>
      </c>
      <c r="F732" s="644">
        <f aca="true" t="shared" si="86" ref="F732:F793">E732/D732*100</f>
        <v>100</v>
      </c>
      <c r="G732" s="666">
        <v>400</v>
      </c>
      <c r="H732" s="667">
        <v>400</v>
      </c>
      <c r="I732" s="120">
        <f t="shared" si="85"/>
        <v>100</v>
      </c>
      <c r="J732" s="730"/>
      <c r="K732" s="667"/>
      <c r="L732" s="649"/>
      <c r="M732" s="666"/>
      <c r="N732" s="667"/>
      <c r="O732" s="492"/>
      <c r="P732" s="667"/>
      <c r="Q732" s="667"/>
      <c r="R732" s="737"/>
    </row>
    <row r="733" spans="1:18" s="882" customFormat="1" ht="24">
      <c r="A733" s="728">
        <v>4210</v>
      </c>
      <c r="B733" s="735" t="s">
        <v>707</v>
      </c>
      <c r="C733" s="666">
        <v>23900</v>
      </c>
      <c r="D733" s="643">
        <f t="shared" si="83"/>
        <v>31400</v>
      </c>
      <c r="E733" s="667">
        <f t="shared" si="84"/>
        <v>15379</v>
      </c>
      <c r="F733" s="644">
        <f t="shared" si="86"/>
        <v>48.97770700636943</v>
      </c>
      <c r="G733" s="666">
        <f>23900+500+7000</f>
        <v>31400</v>
      </c>
      <c r="H733" s="667">
        <v>15379</v>
      </c>
      <c r="I733" s="120">
        <f t="shared" si="85"/>
        <v>48.97770700636943</v>
      </c>
      <c r="J733" s="730"/>
      <c r="K733" s="667"/>
      <c r="L733" s="649"/>
      <c r="M733" s="666"/>
      <c r="N733" s="667"/>
      <c r="O733" s="492"/>
      <c r="P733" s="667"/>
      <c r="Q733" s="667"/>
      <c r="R733" s="737"/>
    </row>
    <row r="734" spans="1:18" s="882" customFormat="1" ht="12.75">
      <c r="A734" s="728">
        <v>4260</v>
      </c>
      <c r="B734" s="735" t="s">
        <v>711</v>
      </c>
      <c r="C734" s="666">
        <v>12100</v>
      </c>
      <c r="D734" s="643">
        <f t="shared" si="83"/>
        <v>12100</v>
      </c>
      <c r="E734" s="667">
        <f t="shared" si="84"/>
        <v>9469</v>
      </c>
      <c r="F734" s="644">
        <f t="shared" si="86"/>
        <v>78.25619834710744</v>
      </c>
      <c r="G734" s="666">
        <v>12100</v>
      </c>
      <c r="H734" s="667">
        <v>9469</v>
      </c>
      <c r="I734" s="120">
        <f t="shared" si="85"/>
        <v>78.25619834710744</v>
      </c>
      <c r="J734" s="730"/>
      <c r="K734" s="667"/>
      <c r="L734" s="649"/>
      <c r="M734" s="666"/>
      <c r="N734" s="667"/>
      <c r="O734" s="492"/>
      <c r="P734" s="667"/>
      <c r="Q734" s="667"/>
      <c r="R734" s="737"/>
    </row>
    <row r="735" spans="1:18" s="882" customFormat="1" ht="24">
      <c r="A735" s="728">
        <v>4270</v>
      </c>
      <c r="B735" s="735" t="s">
        <v>713</v>
      </c>
      <c r="C735" s="666">
        <v>300000</v>
      </c>
      <c r="D735" s="643">
        <f t="shared" si="83"/>
        <v>425000</v>
      </c>
      <c r="E735" s="667">
        <f t="shared" si="84"/>
        <v>349783</v>
      </c>
      <c r="F735" s="644">
        <f t="shared" si="86"/>
        <v>82.30188235294118</v>
      </c>
      <c r="G735" s="666">
        <f>300000+85000+40000</f>
        <v>425000</v>
      </c>
      <c r="H735" s="667">
        <v>349783</v>
      </c>
      <c r="I735" s="120">
        <f t="shared" si="85"/>
        <v>82.30188235294118</v>
      </c>
      <c r="J735" s="730"/>
      <c r="K735" s="667"/>
      <c r="L735" s="649"/>
      <c r="M735" s="666"/>
      <c r="N735" s="667"/>
      <c r="O735" s="492"/>
      <c r="P735" s="667"/>
      <c r="Q735" s="667"/>
      <c r="R735" s="737"/>
    </row>
    <row r="736" spans="1:18" s="882" customFormat="1" ht="24">
      <c r="A736" s="728">
        <v>4280</v>
      </c>
      <c r="B736" s="735" t="s">
        <v>805</v>
      </c>
      <c r="C736" s="666">
        <v>200</v>
      </c>
      <c r="D736" s="643">
        <f t="shared" si="83"/>
        <v>200</v>
      </c>
      <c r="E736" s="667">
        <f t="shared" si="84"/>
        <v>0</v>
      </c>
      <c r="F736" s="644">
        <f t="shared" si="86"/>
        <v>0</v>
      </c>
      <c r="G736" s="666">
        <v>200</v>
      </c>
      <c r="H736" s="667"/>
      <c r="I736" s="120">
        <f t="shared" si="85"/>
        <v>0</v>
      </c>
      <c r="J736" s="730"/>
      <c r="K736" s="667"/>
      <c r="L736" s="649"/>
      <c r="M736" s="666"/>
      <c r="N736" s="667"/>
      <c r="O736" s="492"/>
      <c r="P736" s="667"/>
      <c r="Q736" s="667"/>
      <c r="R736" s="737"/>
    </row>
    <row r="737" spans="1:18" s="882" customFormat="1" ht="24">
      <c r="A737" s="728">
        <v>4300</v>
      </c>
      <c r="B737" s="735" t="s">
        <v>733</v>
      </c>
      <c r="C737" s="666">
        <v>27800</v>
      </c>
      <c r="D737" s="643">
        <f t="shared" si="83"/>
        <v>32300</v>
      </c>
      <c r="E737" s="667">
        <f t="shared" si="84"/>
        <v>21649</v>
      </c>
      <c r="F737" s="644">
        <f t="shared" si="86"/>
        <v>67.02476780185759</v>
      </c>
      <c r="G737" s="666">
        <f>27800+4500</f>
        <v>32300</v>
      </c>
      <c r="H737" s="667">
        <v>21649</v>
      </c>
      <c r="I737" s="120">
        <f t="shared" si="85"/>
        <v>67.02476780185759</v>
      </c>
      <c r="J737" s="730"/>
      <c r="K737" s="667"/>
      <c r="L737" s="649"/>
      <c r="M737" s="666"/>
      <c r="N737" s="667"/>
      <c r="O737" s="492"/>
      <c r="P737" s="667"/>
      <c r="Q737" s="667"/>
      <c r="R737" s="737"/>
    </row>
    <row r="738" spans="1:18" s="882" customFormat="1" ht="24">
      <c r="A738" s="728">
        <v>4350</v>
      </c>
      <c r="B738" s="735" t="s">
        <v>807</v>
      </c>
      <c r="C738" s="666">
        <v>2300</v>
      </c>
      <c r="D738" s="643">
        <f t="shared" si="83"/>
        <v>2300</v>
      </c>
      <c r="E738" s="667">
        <f t="shared" si="84"/>
        <v>2187</v>
      </c>
      <c r="F738" s="644">
        <f t="shared" si="86"/>
        <v>95.08695652173913</v>
      </c>
      <c r="G738" s="666">
        <v>2300</v>
      </c>
      <c r="H738" s="667">
        <v>2187</v>
      </c>
      <c r="I738" s="120">
        <f t="shared" si="85"/>
        <v>95.08695652173913</v>
      </c>
      <c r="J738" s="730"/>
      <c r="K738" s="667"/>
      <c r="L738" s="649"/>
      <c r="M738" s="666"/>
      <c r="N738" s="667"/>
      <c r="O738" s="492"/>
      <c r="P738" s="667"/>
      <c r="Q738" s="667"/>
      <c r="R738" s="737"/>
    </row>
    <row r="739" spans="1:18" s="882" customFormat="1" ht="48">
      <c r="A739" s="829">
        <v>4370</v>
      </c>
      <c r="B739" s="850" t="s">
        <v>916</v>
      </c>
      <c r="C739" s="666">
        <v>7700</v>
      </c>
      <c r="D739" s="643">
        <f t="shared" si="83"/>
        <v>7700</v>
      </c>
      <c r="E739" s="667">
        <f t="shared" si="84"/>
        <v>5435</v>
      </c>
      <c r="F739" s="644">
        <f t="shared" si="86"/>
        <v>70.58441558441558</v>
      </c>
      <c r="G739" s="666">
        <v>7700</v>
      </c>
      <c r="H739" s="667">
        <v>5435</v>
      </c>
      <c r="I739" s="120">
        <f t="shared" si="85"/>
        <v>70.58441558441558</v>
      </c>
      <c r="J739" s="730"/>
      <c r="K739" s="667"/>
      <c r="L739" s="649"/>
      <c r="M739" s="666"/>
      <c r="N739" s="667"/>
      <c r="O739" s="492"/>
      <c r="P739" s="667"/>
      <c r="Q739" s="667"/>
      <c r="R739" s="737"/>
    </row>
    <row r="740" spans="1:18" s="882" customFormat="1" ht="24">
      <c r="A740" s="728">
        <v>4410</v>
      </c>
      <c r="B740" s="735" t="s">
        <v>689</v>
      </c>
      <c r="C740" s="666">
        <v>3300</v>
      </c>
      <c r="D740" s="643">
        <f t="shared" si="83"/>
        <v>3300</v>
      </c>
      <c r="E740" s="667">
        <f t="shared" si="84"/>
        <v>3084</v>
      </c>
      <c r="F740" s="644">
        <f t="shared" si="86"/>
        <v>93.45454545454545</v>
      </c>
      <c r="G740" s="666">
        <v>3300</v>
      </c>
      <c r="H740" s="667">
        <v>3084</v>
      </c>
      <c r="I740" s="120">
        <f t="shared" si="85"/>
        <v>93.45454545454545</v>
      </c>
      <c r="J740" s="730"/>
      <c r="K740" s="667"/>
      <c r="L740" s="649"/>
      <c r="M740" s="666"/>
      <c r="N740" s="667"/>
      <c r="O740" s="492"/>
      <c r="P740" s="667"/>
      <c r="Q740" s="667"/>
      <c r="R740" s="737"/>
    </row>
    <row r="741" spans="1:18" s="882" customFormat="1" ht="12.75">
      <c r="A741" s="728">
        <v>4430</v>
      </c>
      <c r="B741" s="735" t="s">
        <v>717</v>
      </c>
      <c r="C741" s="666">
        <v>900</v>
      </c>
      <c r="D741" s="643">
        <f t="shared" si="83"/>
        <v>900</v>
      </c>
      <c r="E741" s="667">
        <f t="shared" si="84"/>
        <v>777</v>
      </c>
      <c r="F741" s="644">
        <f t="shared" si="86"/>
        <v>86.33333333333333</v>
      </c>
      <c r="G741" s="666">
        <v>900</v>
      </c>
      <c r="H741" s="667">
        <v>777</v>
      </c>
      <c r="I741" s="120">
        <f t="shared" si="85"/>
        <v>86.33333333333333</v>
      </c>
      <c r="J741" s="730"/>
      <c r="K741" s="667"/>
      <c r="L741" s="649"/>
      <c r="M741" s="666"/>
      <c r="N741" s="667"/>
      <c r="O741" s="492"/>
      <c r="P741" s="667"/>
      <c r="Q741" s="667"/>
      <c r="R741" s="737"/>
    </row>
    <row r="742" spans="1:18" s="882" customFormat="1" ht="12.75">
      <c r="A742" s="728">
        <v>4440</v>
      </c>
      <c r="B742" s="735" t="s">
        <v>719</v>
      </c>
      <c r="C742" s="666">
        <v>15500</v>
      </c>
      <c r="D742" s="643">
        <f t="shared" si="83"/>
        <v>16200</v>
      </c>
      <c r="E742" s="667">
        <f t="shared" si="84"/>
        <v>15866</v>
      </c>
      <c r="F742" s="644">
        <f t="shared" si="86"/>
        <v>97.93827160493828</v>
      </c>
      <c r="G742" s="666">
        <f>15500+700</f>
        <v>16200</v>
      </c>
      <c r="H742" s="667">
        <v>15866</v>
      </c>
      <c r="I742" s="120">
        <f t="shared" si="85"/>
        <v>97.93827160493828</v>
      </c>
      <c r="J742" s="730"/>
      <c r="K742" s="667"/>
      <c r="L742" s="649"/>
      <c r="M742" s="666"/>
      <c r="N742" s="667"/>
      <c r="O742" s="492"/>
      <c r="P742" s="667"/>
      <c r="Q742" s="667"/>
      <c r="R742" s="737"/>
    </row>
    <row r="743" spans="1:18" s="882" customFormat="1" ht="36">
      <c r="A743" s="874">
        <v>4700</v>
      </c>
      <c r="B743" s="875" t="s">
        <v>813</v>
      </c>
      <c r="C743" s="781">
        <v>3000</v>
      </c>
      <c r="D743" s="765">
        <f t="shared" si="83"/>
        <v>3000</v>
      </c>
      <c r="E743" s="785">
        <f t="shared" si="84"/>
        <v>2300</v>
      </c>
      <c r="F743" s="705">
        <f t="shared" si="86"/>
        <v>76.66666666666667</v>
      </c>
      <c r="G743" s="781">
        <v>3000</v>
      </c>
      <c r="H743" s="785">
        <v>2300</v>
      </c>
      <c r="I743" s="299">
        <f t="shared" si="85"/>
        <v>76.66666666666667</v>
      </c>
      <c r="J743" s="782"/>
      <c r="K743" s="785"/>
      <c r="L743" s="768"/>
      <c r="M743" s="781"/>
      <c r="N743" s="785"/>
      <c r="O743" s="766"/>
      <c r="P743" s="785"/>
      <c r="Q743" s="785"/>
      <c r="R743" s="770"/>
    </row>
    <row r="744" spans="1:18" s="882" customFormat="1" ht="60">
      <c r="A744" s="829">
        <v>4740</v>
      </c>
      <c r="B744" s="850" t="s">
        <v>728</v>
      </c>
      <c r="C744" s="666">
        <v>3300</v>
      </c>
      <c r="D744" s="643">
        <f t="shared" si="83"/>
        <v>3300</v>
      </c>
      <c r="E744" s="667">
        <f t="shared" si="84"/>
        <v>2168</v>
      </c>
      <c r="F744" s="644">
        <f t="shared" si="86"/>
        <v>65.6969696969697</v>
      </c>
      <c r="G744" s="666">
        <v>3300</v>
      </c>
      <c r="H744" s="667">
        <v>2168</v>
      </c>
      <c r="I744" s="120">
        <f t="shared" si="85"/>
        <v>65.6969696969697</v>
      </c>
      <c r="J744" s="730"/>
      <c r="K744" s="667"/>
      <c r="L744" s="649"/>
      <c r="M744" s="666"/>
      <c r="N744" s="667"/>
      <c r="O744" s="492"/>
      <c r="P744" s="667"/>
      <c r="Q744" s="667"/>
      <c r="R744" s="737"/>
    </row>
    <row r="745" spans="1:18" s="882" customFormat="1" ht="36">
      <c r="A745" s="829">
        <v>4750</v>
      </c>
      <c r="B745" s="850" t="s">
        <v>814</v>
      </c>
      <c r="C745" s="666">
        <v>20100</v>
      </c>
      <c r="D745" s="643">
        <f t="shared" si="83"/>
        <v>19700</v>
      </c>
      <c r="E745" s="667">
        <f t="shared" si="84"/>
        <v>15044</v>
      </c>
      <c r="F745" s="644">
        <f t="shared" si="86"/>
        <v>76.36548223350253</v>
      </c>
      <c r="G745" s="666">
        <f>20100-400</f>
        <v>19700</v>
      </c>
      <c r="H745" s="667">
        <f>15045-1</f>
        <v>15044</v>
      </c>
      <c r="I745" s="120">
        <f t="shared" si="85"/>
        <v>76.36548223350253</v>
      </c>
      <c r="J745" s="730"/>
      <c r="K745" s="667"/>
      <c r="L745" s="649"/>
      <c r="M745" s="666"/>
      <c r="N745" s="667"/>
      <c r="O745" s="492"/>
      <c r="P745" s="667"/>
      <c r="Q745" s="667"/>
      <c r="R745" s="737"/>
    </row>
    <row r="746" spans="1:18" s="882" customFormat="1" ht="48">
      <c r="A746" s="728">
        <v>6050</v>
      </c>
      <c r="B746" s="818" t="s">
        <v>4</v>
      </c>
      <c r="C746" s="781">
        <v>400000</v>
      </c>
      <c r="D746" s="643">
        <f t="shared" si="83"/>
        <v>420000</v>
      </c>
      <c r="E746" s="667">
        <f t="shared" si="84"/>
        <v>399664</v>
      </c>
      <c r="F746" s="644">
        <f t="shared" si="86"/>
        <v>95.15809523809524</v>
      </c>
      <c r="G746" s="781">
        <f>400000+20000</f>
        <v>420000</v>
      </c>
      <c r="H746" s="785">
        <v>399664</v>
      </c>
      <c r="I746" s="120">
        <f t="shared" si="85"/>
        <v>95.15809523809524</v>
      </c>
      <c r="J746" s="782"/>
      <c r="K746" s="785"/>
      <c r="L746" s="768"/>
      <c r="M746" s="781"/>
      <c r="N746" s="785"/>
      <c r="O746" s="766"/>
      <c r="P746" s="785"/>
      <c r="Q746" s="785"/>
      <c r="R746" s="770"/>
    </row>
    <row r="747" spans="1:18" s="882" customFormat="1" ht="15.75" customHeight="1">
      <c r="A747" s="724">
        <v>80120</v>
      </c>
      <c r="B747" s="854" t="s">
        <v>512</v>
      </c>
      <c r="C747" s="726">
        <f>SUM(C748:C775)</f>
        <v>13611650</v>
      </c>
      <c r="D747" s="674">
        <f>G747+J747+P747+M747</f>
        <v>13845347</v>
      </c>
      <c r="E747" s="657">
        <f>H747+K747+Q747+N747</f>
        <v>11129613</v>
      </c>
      <c r="F747" s="658">
        <f t="shared" si="86"/>
        <v>80.38522255888567</v>
      </c>
      <c r="G747" s="893"/>
      <c r="H747" s="895"/>
      <c r="I747" s="280"/>
      <c r="J747" s="896"/>
      <c r="K747" s="895"/>
      <c r="L747" s="897"/>
      <c r="M747" s="726">
        <f>SUM(M748:M775)</f>
        <v>13845347</v>
      </c>
      <c r="N747" s="657">
        <f>SUM(N748:N775)</f>
        <v>11129613</v>
      </c>
      <c r="O747" s="890">
        <f t="shared" si="82"/>
        <v>80.38522255888567</v>
      </c>
      <c r="P747" s="657"/>
      <c r="Q747" s="657"/>
      <c r="R747" s="842"/>
    </row>
    <row r="748" spans="1:18" s="882" customFormat="1" ht="48">
      <c r="A748" s="728">
        <v>2540</v>
      </c>
      <c r="B748" s="735" t="s">
        <v>1019</v>
      </c>
      <c r="C748" s="666">
        <v>1700000</v>
      </c>
      <c r="D748" s="643">
        <f>G748+J748+P748+M748</f>
        <v>1840000</v>
      </c>
      <c r="E748" s="667">
        <f aca="true" t="shared" si="87" ref="E748:E775">SUM(H748+K748+N748+Q748)</f>
        <v>1494805</v>
      </c>
      <c r="F748" s="644">
        <f t="shared" si="86"/>
        <v>81.23940217391305</v>
      </c>
      <c r="G748" s="666"/>
      <c r="H748" s="667"/>
      <c r="I748" s="120"/>
      <c r="J748" s="730"/>
      <c r="K748" s="667"/>
      <c r="L748" s="649"/>
      <c r="M748" s="666">
        <f>1700000+140000</f>
        <v>1840000</v>
      </c>
      <c r="N748" s="667">
        <v>1494805</v>
      </c>
      <c r="O748" s="492">
        <f t="shared" si="82"/>
        <v>81.23940217391305</v>
      </c>
      <c r="P748" s="667"/>
      <c r="Q748" s="667"/>
      <c r="R748" s="737"/>
    </row>
    <row r="749" spans="1:18" s="882" customFormat="1" ht="36">
      <c r="A749" s="728">
        <v>3020</v>
      </c>
      <c r="B749" s="735" t="s">
        <v>1020</v>
      </c>
      <c r="C749" s="666">
        <v>36000</v>
      </c>
      <c r="D749" s="643">
        <f>G749+J749+P749+M749</f>
        <v>36000</v>
      </c>
      <c r="E749" s="667">
        <f t="shared" si="87"/>
        <v>18213</v>
      </c>
      <c r="F749" s="644">
        <f t="shared" si="86"/>
        <v>50.59166666666667</v>
      </c>
      <c r="G749" s="666"/>
      <c r="H749" s="667"/>
      <c r="I749" s="120"/>
      <c r="J749" s="730"/>
      <c r="K749" s="667"/>
      <c r="L749" s="649"/>
      <c r="M749" s="666">
        <v>36000</v>
      </c>
      <c r="N749" s="667">
        <v>18213</v>
      </c>
      <c r="O749" s="492">
        <f t="shared" si="82"/>
        <v>50.59166666666667</v>
      </c>
      <c r="P749" s="667"/>
      <c r="Q749" s="667"/>
      <c r="R749" s="737"/>
    </row>
    <row r="750" spans="1:18" s="882" customFormat="1" ht="24" hidden="1">
      <c r="A750" s="728">
        <v>3030</v>
      </c>
      <c r="B750" s="735" t="s">
        <v>695</v>
      </c>
      <c r="C750" s="666"/>
      <c r="D750" s="643"/>
      <c r="E750" s="667" t="s">
        <v>374</v>
      </c>
      <c r="F750" s="644" t="s">
        <v>374</v>
      </c>
      <c r="G750" s="666"/>
      <c r="H750" s="667"/>
      <c r="I750" s="120"/>
      <c r="J750" s="730"/>
      <c r="K750" s="667"/>
      <c r="L750" s="649"/>
      <c r="M750" s="666"/>
      <c r="N750" s="667"/>
      <c r="O750" s="492"/>
      <c r="P750" s="667"/>
      <c r="Q750" s="667"/>
      <c r="R750" s="737"/>
    </row>
    <row r="751" spans="1:18" s="882" customFormat="1" ht="24">
      <c r="A751" s="728">
        <v>4010</v>
      </c>
      <c r="B751" s="735" t="s">
        <v>697</v>
      </c>
      <c r="C751" s="666">
        <v>8000000</v>
      </c>
      <c r="D751" s="643">
        <f aca="true" t="shared" si="88" ref="D751:D775">G751+J751+P751+M751</f>
        <v>7994000</v>
      </c>
      <c r="E751" s="667">
        <f t="shared" si="87"/>
        <v>6338930</v>
      </c>
      <c r="F751" s="644">
        <f t="shared" si="86"/>
        <v>79.2960970728046</v>
      </c>
      <c r="G751" s="666"/>
      <c r="H751" s="667"/>
      <c r="I751" s="120"/>
      <c r="J751" s="730"/>
      <c r="K751" s="667"/>
      <c r="L751" s="649"/>
      <c r="M751" s="666">
        <f>8000000-6000</f>
        <v>7994000</v>
      </c>
      <c r="N751" s="667">
        <v>6338930</v>
      </c>
      <c r="O751" s="492">
        <f aca="true" t="shared" si="89" ref="O751:O814">N751/M751*100</f>
        <v>79.2960970728046</v>
      </c>
      <c r="P751" s="667"/>
      <c r="Q751" s="667"/>
      <c r="R751" s="737"/>
    </row>
    <row r="752" spans="1:18" s="882" customFormat="1" ht="24">
      <c r="A752" s="728">
        <v>4040</v>
      </c>
      <c r="B752" s="735" t="s">
        <v>701</v>
      </c>
      <c r="C752" s="666">
        <v>667000</v>
      </c>
      <c r="D752" s="643">
        <f t="shared" si="88"/>
        <v>639056</v>
      </c>
      <c r="E752" s="667">
        <f t="shared" si="87"/>
        <v>639055</v>
      </c>
      <c r="F752" s="644">
        <f t="shared" si="86"/>
        <v>99.99984351919082</v>
      </c>
      <c r="G752" s="666"/>
      <c r="H752" s="667"/>
      <c r="I752" s="120"/>
      <c r="J752" s="730"/>
      <c r="K752" s="667"/>
      <c r="L752" s="649"/>
      <c r="M752" s="666">
        <f>667000-27944</f>
        <v>639056</v>
      </c>
      <c r="N752" s="667">
        <v>639055</v>
      </c>
      <c r="O752" s="492">
        <f t="shared" si="89"/>
        <v>99.99984351919082</v>
      </c>
      <c r="P752" s="667"/>
      <c r="Q752" s="667"/>
      <c r="R752" s="737"/>
    </row>
    <row r="753" spans="1:18" s="882" customFormat="1" ht="24">
      <c r="A753" s="728">
        <v>4110</v>
      </c>
      <c r="B753" s="735" t="s">
        <v>703</v>
      </c>
      <c r="C753" s="666">
        <v>1456100</v>
      </c>
      <c r="D753" s="643">
        <f t="shared" si="88"/>
        <v>1456100</v>
      </c>
      <c r="E753" s="667">
        <f t="shared" si="87"/>
        <v>1003801</v>
      </c>
      <c r="F753" s="644">
        <f t="shared" si="86"/>
        <v>68.93764164549138</v>
      </c>
      <c r="G753" s="666"/>
      <c r="H753" s="667"/>
      <c r="I753" s="120"/>
      <c r="J753" s="730"/>
      <c r="K753" s="667"/>
      <c r="L753" s="649"/>
      <c r="M753" s="666">
        <v>1456100</v>
      </c>
      <c r="N753" s="667">
        <v>1003801</v>
      </c>
      <c r="O753" s="492">
        <f t="shared" si="89"/>
        <v>68.93764164549138</v>
      </c>
      <c r="P753" s="667"/>
      <c r="Q753" s="667"/>
      <c r="R753" s="737"/>
    </row>
    <row r="754" spans="1:18" s="882" customFormat="1" ht="12.75">
      <c r="A754" s="728">
        <v>4120</v>
      </c>
      <c r="B754" s="735" t="s">
        <v>847</v>
      </c>
      <c r="C754" s="666">
        <v>211000</v>
      </c>
      <c r="D754" s="643">
        <f t="shared" si="88"/>
        <v>211000</v>
      </c>
      <c r="E754" s="667">
        <f t="shared" si="87"/>
        <v>161752</v>
      </c>
      <c r="F754" s="644">
        <f t="shared" si="86"/>
        <v>76.65971563981043</v>
      </c>
      <c r="G754" s="666"/>
      <c r="H754" s="667"/>
      <c r="I754" s="120"/>
      <c r="J754" s="730"/>
      <c r="K754" s="667"/>
      <c r="L754" s="649"/>
      <c r="M754" s="666">
        <v>211000</v>
      </c>
      <c r="N754" s="667">
        <v>161752</v>
      </c>
      <c r="O754" s="492">
        <f t="shared" si="89"/>
        <v>76.65971563981043</v>
      </c>
      <c r="P754" s="667"/>
      <c r="Q754" s="667"/>
      <c r="R754" s="737"/>
    </row>
    <row r="755" spans="1:18" s="882" customFormat="1" ht="24">
      <c r="A755" s="728">
        <v>4170</v>
      </c>
      <c r="B755" s="735" t="s">
        <v>742</v>
      </c>
      <c r="C755" s="666"/>
      <c r="D755" s="643">
        <f>G755+J755+P755+M755</f>
        <v>6000</v>
      </c>
      <c r="E755" s="667">
        <f>SUM(H755+K755+N755+Q755)</f>
        <v>6000</v>
      </c>
      <c r="F755" s="644">
        <f>E755/D755*100</f>
        <v>100</v>
      </c>
      <c r="G755" s="666"/>
      <c r="H755" s="667"/>
      <c r="I755" s="120"/>
      <c r="J755" s="730"/>
      <c r="K755" s="667"/>
      <c r="L755" s="649"/>
      <c r="M755" s="666">
        <v>6000</v>
      </c>
      <c r="N755" s="667">
        <v>6000</v>
      </c>
      <c r="O755" s="492">
        <f t="shared" si="89"/>
        <v>100</v>
      </c>
      <c r="P755" s="667"/>
      <c r="Q755" s="667"/>
      <c r="R755" s="737"/>
    </row>
    <row r="756" spans="1:18" s="882" customFormat="1" ht="24">
      <c r="A756" s="728">
        <v>4210</v>
      </c>
      <c r="B756" s="735" t="s">
        <v>707</v>
      </c>
      <c r="C756" s="666">
        <v>162000</v>
      </c>
      <c r="D756" s="643">
        <f t="shared" si="88"/>
        <v>182800</v>
      </c>
      <c r="E756" s="667">
        <f t="shared" si="87"/>
        <v>149728</v>
      </c>
      <c r="F756" s="644">
        <f t="shared" si="86"/>
        <v>81.90809628008753</v>
      </c>
      <c r="G756" s="666"/>
      <c r="H756" s="667"/>
      <c r="I756" s="120"/>
      <c r="J756" s="730"/>
      <c r="K756" s="667"/>
      <c r="L756" s="649"/>
      <c r="M756" s="666">
        <f>162000+4500+10000+11300-5000</f>
        <v>182800</v>
      </c>
      <c r="N756" s="667">
        <v>149728</v>
      </c>
      <c r="O756" s="492">
        <f t="shared" si="89"/>
        <v>81.90809628008753</v>
      </c>
      <c r="P756" s="667"/>
      <c r="Q756" s="667"/>
      <c r="R756" s="737"/>
    </row>
    <row r="757" spans="1:18" s="882" customFormat="1" ht="36">
      <c r="A757" s="728">
        <v>4240</v>
      </c>
      <c r="B757" s="735" t="s">
        <v>832</v>
      </c>
      <c r="C757" s="666">
        <v>71000</v>
      </c>
      <c r="D757" s="643">
        <f t="shared" si="88"/>
        <v>71000</v>
      </c>
      <c r="E757" s="643">
        <f>H757+K757+Q757+N757</f>
        <v>52493</v>
      </c>
      <c r="F757" s="644">
        <f t="shared" si="86"/>
        <v>73.9338028169014</v>
      </c>
      <c r="G757" s="666"/>
      <c r="H757" s="667"/>
      <c r="I757" s="120"/>
      <c r="J757" s="730"/>
      <c r="K757" s="667"/>
      <c r="L757" s="649"/>
      <c r="M757" s="666">
        <v>71000</v>
      </c>
      <c r="N757" s="667">
        <v>52493</v>
      </c>
      <c r="O757" s="492">
        <f t="shared" si="89"/>
        <v>73.9338028169014</v>
      </c>
      <c r="P757" s="667"/>
      <c r="Q757" s="667"/>
      <c r="R757" s="737"/>
    </row>
    <row r="758" spans="1:18" s="882" customFormat="1" ht="18" customHeight="1">
      <c r="A758" s="728">
        <v>4260</v>
      </c>
      <c r="B758" s="735" t="s">
        <v>711</v>
      </c>
      <c r="C758" s="666">
        <v>500000</v>
      </c>
      <c r="D758" s="643">
        <f t="shared" si="88"/>
        <v>500000</v>
      </c>
      <c r="E758" s="667">
        <f t="shared" si="87"/>
        <v>450685</v>
      </c>
      <c r="F758" s="644">
        <f t="shared" si="86"/>
        <v>90.137</v>
      </c>
      <c r="G758" s="666"/>
      <c r="H758" s="667"/>
      <c r="I758" s="120"/>
      <c r="J758" s="730"/>
      <c r="K758" s="667"/>
      <c r="L758" s="649"/>
      <c r="M758" s="666">
        <v>500000</v>
      </c>
      <c r="N758" s="667">
        <v>450685</v>
      </c>
      <c r="O758" s="492">
        <f t="shared" si="89"/>
        <v>90.137</v>
      </c>
      <c r="P758" s="667"/>
      <c r="Q758" s="667"/>
      <c r="R758" s="737"/>
    </row>
    <row r="759" spans="1:18" s="882" customFormat="1" ht="18" customHeight="1">
      <c r="A759" s="728">
        <v>4270</v>
      </c>
      <c r="B759" s="735" t="s">
        <v>713</v>
      </c>
      <c r="C759" s="666">
        <v>29000</v>
      </c>
      <c r="D759" s="643">
        <f t="shared" si="88"/>
        <v>38000</v>
      </c>
      <c r="E759" s="667">
        <f t="shared" si="87"/>
        <v>24832</v>
      </c>
      <c r="F759" s="644">
        <f t="shared" si="86"/>
        <v>65.34736842105264</v>
      </c>
      <c r="G759" s="666"/>
      <c r="H759" s="667"/>
      <c r="I759" s="120"/>
      <c r="J759" s="730"/>
      <c r="K759" s="667"/>
      <c r="L759" s="649"/>
      <c r="M759" s="666">
        <f>29000+6000+3000</f>
        <v>38000</v>
      </c>
      <c r="N759" s="667">
        <v>24832</v>
      </c>
      <c r="O759" s="492">
        <f t="shared" si="89"/>
        <v>65.34736842105264</v>
      </c>
      <c r="P759" s="667"/>
      <c r="Q759" s="667"/>
      <c r="R759" s="737"/>
    </row>
    <row r="760" spans="1:18" s="882" customFormat="1" ht="18" customHeight="1" hidden="1">
      <c r="A760" s="728">
        <v>4270</v>
      </c>
      <c r="B760" s="735" t="s">
        <v>5</v>
      </c>
      <c r="C760" s="666"/>
      <c r="D760" s="643">
        <f t="shared" si="88"/>
        <v>0</v>
      </c>
      <c r="E760" s="667">
        <f t="shared" si="87"/>
        <v>0</v>
      </c>
      <c r="F760" s="644" t="e">
        <f t="shared" si="86"/>
        <v>#DIV/0!</v>
      </c>
      <c r="G760" s="666"/>
      <c r="H760" s="667"/>
      <c r="I760" s="120"/>
      <c r="J760" s="730"/>
      <c r="K760" s="667"/>
      <c r="L760" s="649"/>
      <c r="M760" s="666"/>
      <c r="N760" s="667"/>
      <c r="O760" s="492" t="e">
        <f t="shared" si="89"/>
        <v>#DIV/0!</v>
      </c>
      <c r="P760" s="667"/>
      <c r="Q760" s="667"/>
      <c r="R760" s="737"/>
    </row>
    <row r="761" spans="1:18" s="882" customFormat="1" ht="18" customHeight="1">
      <c r="A761" s="728">
        <v>4280</v>
      </c>
      <c r="B761" s="735" t="s">
        <v>805</v>
      </c>
      <c r="C761" s="666">
        <v>8900</v>
      </c>
      <c r="D761" s="643">
        <f t="shared" si="88"/>
        <v>8900</v>
      </c>
      <c r="E761" s="667">
        <f t="shared" si="87"/>
        <v>1979</v>
      </c>
      <c r="F761" s="644">
        <f t="shared" si="86"/>
        <v>22.235955056179776</v>
      </c>
      <c r="G761" s="666"/>
      <c r="H761" s="667"/>
      <c r="I761" s="120"/>
      <c r="J761" s="730"/>
      <c r="K761" s="667"/>
      <c r="L761" s="649"/>
      <c r="M761" s="666">
        <v>8900</v>
      </c>
      <c r="N761" s="667">
        <v>1979</v>
      </c>
      <c r="O761" s="492">
        <f t="shared" si="89"/>
        <v>22.235955056179776</v>
      </c>
      <c r="P761" s="667"/>
      <c r="Q761" s="667"/>
      <c r="R761" s="737"/>
    </row>
    <row r="762" spans="1:18" s="882" customFormat="1" ht="18" customHeight="1">
      <c r="A762" s="728">
        <v>4300</v>
      </c>
      <c r="B762" s="735" t="s">
        <v>715</v>
      </c>
      <c r="C762" s="666">
        <v>94000</v>
      </c>
      <c r="D762" s="643">
        <f t="shared" si="88"/>
        <v>122100</v>
      </c>
      <c r="E762" s="667">
        <f t="shared" si="87"/>
        <v>106092</v>
      </c>
      <c r="F762" s="644">
        <f t="shared" si="86"/>
        <v>86.8894348894349</v>
      </c>
      <c r="G762" s="666"/>
      <c r="H762" s="667"/>
      <c r="I762" s="120"/>
      <c r="J762" s="730"/>
      <c r="K762" s="667"/>
      <c r="L762" s="649"/>
      <c r="M762" s="666">
        <f>94000+800+7000+9300+11000</f>
        <v>122100</v>
      </c>
      <c r="N762" s="667">
        <v>106092</v>
      </c>
      <c r="O762" s="492">
        <f t="shared" si="89"/>
        <v>86.8894348894349</v>
      </c>
      <c r="P762" s="667"/>
      <c r="Q762" s="667"/>
      <c r="R762" s="737"/>
    </row>
    <row r="763" spans="1:18" s="882" customFormat="1" ht="24">
      <c r="A763" s="762">
        <v>4350</v>
      </c>
      <c r="B763" s="780" t="s">
        <v>807</v>
      </c>
      <c r="C763" s="781">
        <v>9400</v>
      </c>
      <c r="D763" s="765">
        <f t="shared" si="88"/>
        <v>9400</v>
      </c>
      <c r="E763" s="785">
        <f t="shared" si="87"/>
        <v>6576</v>
      </c>
      <c r="F763" s="705">
        <f t="shared" si="86"/>
        <v>69.95744680851064</v>
      </c>
      <c r="G763" s="781"/>
      <c r="H763" s="785"/>
      <c r="I763" s="299"/>
      <c r="J763" s="782"/>
      <c r="K763" s="785"/>
      <c r="L763" s="768"/>
      <c r="M763" s="781">
        <v>9400</v>
      </c>
      <c r="N763" s="785">
        <v>6576</v>
      </c>
      <c r="O763" s="766">
        <f t="shared" si="89"/>
        <v>69.95744680851064</v>
      </c>
      <c r="P763" s="785"/>
      <c r="Q763" s="785"/>
      <c r="R763" s="770"/>
    </row>
    <row r="764" spans="1:18" s="882" customFormat="1" ht="48">
      <c r="A764" s="829">
        <v>4360</v>
      </c>
      <c r="B764" s="850" t="s">
        <v>982</v>
      </c>
      <c r="C764" s="666">
        <v>1100</v>
      </c>
      <c r="D764" s="643">
        <f t="shared" si="88"/>
        <v>1100</v>
      </c>
      <c r="E764" s="667">
        <f>SUM(H764+K764+N764+Q764)</f>
        <v>720</v>
      </c>
      <c r="F764" s="644">
        <f t="shared" si="86"/>
        <v>65.45454545454545</v>
      </c>
      <c r="G764" s="666"/>
      <c r="H764" s="667"/>
      <c r="I764" s="120"/>
      <c r="J764" s="730"/>
      <c r="K764" s="667"/>
      <c r="L764" s="649"/>
      <c r="M764" s="666">
        <v>1100</v>
      </c>
      <c r="N764" s="667">
        <v>720</v>
      </c>
      <c r="O764" s="492">
        <f t="shared" si="89"/>
        <v>65.45454545454545</v>
      </c>
      <c r="P764" s="667"/>
      <c r="Q764" s="667"/>
      <c r="R764" s="737"/>
    </row>
    <row r="765" spans="1:18" s="882" customFormat="1" ht="48">
      <c r="A765" s="829">
        <v>4370</v>
      </c>
      <c r="B765" s="850" t="s">
        <v>916</v>
      </c>
      <c r="C765" s="666">
        <v>30000</v>
      </c>
      <c r="D765" s="643">
        <f t="shared" si="88"/>
        <v>32000</v>
      </c>
      <c r="E765" s="667">
        <f>SUM(H765+K765+N765+Q765)</f>
        <v>22677</v>
      </c>
      <c r="F765" s="644">
        <f t="shared" si="86"/>
        <v>70.865625</v>
      </c>
      <c r="G765" s="666"/>
      <c r="H765" s="667"/>
      <c r="I765" s="120"/>
      <c r="J765" s="730"/>
      <c r="K765" s="667"/>
      <c r="L765" s="649"/>
      <c r="M765" s="666">
        <f>30000+2000</f>
        <v>32000</v>
      </c>
      <c r="N765" s="667">
        <v>22677</v>
      </c>
      <c r="O765" s="492">
        <f t="shared" si="89"/>
        <v>70.865625</v>
      </c>
      <c r="P765" s="667"/>
      <c r="Q765" s="667"/>
      <c r="R765" s="737"/>
    </row>
    <row r="766" spans="1:18" s="882" customFormat="1" ht="36">
      <c r="A766" s="728">
        <v>4390</v>
      </c>
      <c r="B766" s="865" t="s">
        <v>743</v>
      </c>
      <c r="C766" s="666">
        <v>22000</v>
      </c>
      <c r="D766" s="643">
        <f t="shared" si="88"/>
        <v>17600</v>
      </c>
      <c r="E766" s="667">
        <f>SUM(H766+K766+N766+Q766)</f>
        <v>7148</v>
      </c>
      <c r="F766" s="644">
        <f t="shared" si="86"/>
        <v>40.61363636363636</v>
      </c>
      <c r="G766" s="666"/>
      <c r="H766" s="667"/>
      <c r="I766" s="120"/>
      <c r="J766" s="730"/>
      <c r="K766" s="667"/>
      <c r="L766" s="649"/>
      <c r="M766" s="666">
        <f>22000-4400</f>
        <v>17600</v>
      </c>
      <c r="N766" s="667">
        <v>7148</v>
      </c>
      <c r="O766" s="492">
        <f t="shared" si="89"/>
        <v>40.61363636363636</v>
      </c>
      <c r="P766" s="667"/>
      <c r="Q766" s="667"/>
      <c r="R766" s="737"/>
    </row>
    <row r="767" spans="1:18" s="882" customFormat="1" ht="15.75" customHeight="1">
      <c r="A767" s="728">
        <v>4410</v>
      </c>
      <c r="B767" s="735" t="s">
        <v>689</v>
      </c>
      <c r="C767" s="666">
        <v>26300</v>
      </c>
      <c r="D767" s="643">
        <f t="shared" si="88"/>
        <v>26300</v>
      </c>
      <c r="E767" s="667">
        <f t="shared" si="87"/>
        <v>19792</v>
      </c>
      <c r="F767" s="644">
        <f t="shared" si="86"/>
        <v>75.25475285171103</v>
      </c>
      <c r="G767" s="666"/>
      <c r="H767" s="667"/>
      <c r="I767" s="120"/>
      <c r="J767" s="730"/>
      <c r="K767" s="667"/>
      <c r="L767" s="649"/>
      <c r="M767" s="666">
        <v>26300</v>
      </c>
      <c r="N767" s="667">
        <v>19792</v>
      </c>
      <c r="O767" s="492">
        <f t="shared" si="89"/>
        <v>75.25475285171103</v>
      </c>
      <c r="P767" s="667"/>
      <c r="Q767" s="667"/>
      <c r="R767" s="737"/>
    </row>
    <row r="768" spans="1:18" s="882" customFormat="1" ht="27" customHeight="1">
      <c r="A768" s="728">
        <v>4420</v>
      </c>
      <c r="B768" s="735" t="s">
        <v>823</v>
      </c>
      <c r="C768" s="666">
        <v>500</v>
      </c>
      <c r="D768" s="643">
        <f t="shared" si="88"/>
        <v>500</v>
      </c>
      <c r="E768" s="667">
        <f t="shared" si="87"/>
        <v>500</v>
      </c>
      <c r="F768" s="644">
        <f t="shared" si="86"/>
        <v>100</v>
      </c>
      <c r="G768" s="666"/>
      <c r="H768" s="667"/>
      <c r="I768" s="120"/>
      <c r="J768" s="730"/>
      <c r="K768" s="667"/>
      <c r="L768" s="649"/>
      <c r="M768" s="666">
        <v>500</v>
      </c>
      <c r="N768" s="667">
        <v>500</v>
      </c>
      <c r="O768" s="492">
        <f t="shared" si="89"/>
        <v>100</v>
      </c>
      <c r="P768" s="667"/>
      <c r="Q768" s="667"/>
      <c r="R768" s="737"/>
    </row>
    <row r="769" spans="1:18" s="882" customFormat="1" ht="12.75">
      <c r="A769" s="728">
        <v>4430</v>
      </c>
      <c r="B769" s="735" t="s">
        <v>717</v>
      </c>
      <c r="C769" s="666">
        <v>500</v>
      </c>
      <c r="D769" s="643">
        <f>G769+J769+P769+M769</f>
        <v>500</v>
      </c>
      <c r="E769" s="667">
        <f>SUM(H769+K769+N769+Q769)</f>
        <v>0</v>
      </c>
      <c r="F769" s="644">
        <f>E769/D769*100</f>
        <v>0</v>
      </c>
      <c r="G769" s="666"/>
      <c r="H769" s="667"/>
      <c r="I769" s="120"/>
      <c r="J769" s="730"/>
      <c r="K769" s="667"/>
      <c r="L769" s="649"/>
      <c r="M769" s="666">
        <v>500</v>
      </c>
      <c r="N769" s="667"/>
      <c r="O769" s="492">
        <f t="shared" si="89"/>
        <v>0</v>
      </c>
      <c r="P769" s="667"/>
      <c r="Q769" s="667"/>
      <c r="R769" s="737"/>
    </row>
    <row r="770" spans="1:18" s="882" customFormat="1" ht="12.75">
      <c r="A770" s="728">
        <v>4440</v>
      </c>
      <c r="B770" s="735" t="s">
        <v>719</v>
      </c>
      <c r="C770" s="666">
        <v>472350</v>
      </c>
      <c r="D770" s="643">
        <f t="shared" si="88"/>
        <v>512091</v>
      </c>
      <c r="E770" s="667">
        <f t="shared" si="87"/>
        <v>512091</v>
      </c>
      <c r="F770" s="644">
        <f t="shared" si="86"/>
        <v>100</v>
      </c>
      <c r="G770" s="666"/>
      <c r="H770" s="667"/>
      <c r="I770" s="120"/>
      <c r="J770" s="730"/>
      <c r="K770" s="667"/>
      <c r="L770" s="649"/>
      <c r="M770" s="666">
        <f>472350+23587+16154</f>
        <v>512091</v>
      </c>
      <c r="N770" s="667">
        <v>512091</v>
      </c>
      <c r="O770" s="492">
        <f t="shared" si="89"/>
        <v>100</v>
      </c>
      <c r="P770" s="667"/>
      <c r="Q770" s="667"/>
      <c r="R770" s="737"/>
    </row>
    <row r="771" spans="1:18" s="882" customFormat="1" ht="36">
      <c r="A771" s="829">
        <v>4700</v>
      </c>
      <c r="B771" s="850" t="s">
        <v>813</v>
      </c>
      <c r="C771" s="666">
        <v>15000</v>
      </c>
      <c r="D771" s="643">
        <f t="shared" si="88"/>
        <v>14400</v>
      </c>
      <c r="E771" s="667">
        <f>SUM(H771+K771+N771+Q771)</f>
        <v>9863</v>
      </c>
      <c r="F771" s="644">
        <f t="shared" si="86"/>
        <v>68.49305555555556</v>
      </c>
      <c r="G771" s="666"/>
      <c r="H771" s="667"/>
      <c r="I771" s="120"/>
      <c r="J771" s="730"/>
      <c r="K771" s="667"/>
      <c r="L771" s="649"/>
      <c r="M771" s="666">
        <f>15000-600</f>
        <v>14400</v>
      </c>
      <c r="N771" s="667">
        <v>9863</v>
      </c>
      <c r="O771" s="492">
        <f t="shared" si="89"/>
        <v>68.49305555555556</v>
      </c>
      <c r="P771" s="667"/>
      <c r="Q771" s="667"/>
      <c r="R771" s="737"/>
    </row>
    <row r="772" spans="1:18" s="882" customFormat="1" ht="60">
      <c r="A772" s="829">
        <v>4740</v>
      </c>
      <c r="B772" s="850" t="s">
        <v>728</v>
      </c>
      <c r="C772" s="666">
        <v>15000</v>
      </c>
      <c r="D772" s="643">
        <f t="shared" si="88"/>
        <v>17000</v>
      </c>
      <c r="E772" s="667">
        <f>SUM(H772+K772+N772+Q772)</f>
        <v>8340</v>
      </c>
      <c r="F772" s="644">
        <f t="shared" si="86"/>
        <v>49.05882352941177</v>
      </c>
      <c r="G772" s="666"/>
      <c r="H772" s="667"/>
      <c r="I772" s="120"/>
      <c r="J772" s="730"/>
      <c r="K772" s="667"/>
      <c r="L772" s="649"/>
      <c r="M772" s="666">
        <f>15000+2000</f>
        <v>17000</v>
      </c>
      <c r="N772" s="667">
        <v>8340</v>
      </c>
      <c r="O772" s="492">
        <f t="shared" si="89"/>
        <v>49.05882352941177</v>
      </c>
      <c r="P772" s="667"/>
      <c r="Q772" s="667"/>
      <c r="R772" s="737"/>
    </row>
    <row r="773" spans="1:18" s="882" customFormat="1" ht="36">
      <c r="A773" s="829">
        <v>4750</v>
      </c>
      <c r="B773" s="850" t="s">
        <v>814</v>
      </c>
      <c r="C773" s="666">
        <v>20000</v>
      </c>
      <c r="D773" s="643">
        <f t="shared" si="88"/>
        <v>28000</v>
      </c>
      <c r="E773" s="667">
        <f t="shared" si="87"/>
        <v>20175</v>
      </c>
      <c r="F773" s="644">
        <f t="shared" si="86"/>
        <v>72.05357142857143</v>
      </c>
      <c r="G773" s="666"/>
      <c r="H773" s="667"/>
      <c r="I773" s="120"/>
      <c r="J773" s="730"/>
      <c r="K773" s="667"/>
      <c r="L773" s="649"/>
      <c r="M773" s="666">
        <f>20000+10000-2000</f>
        <v>28000</v>
      </c>
      <c r="N773" s="667">
        <v>20175</v>
      </c>
      <c r="O773" s="492">
        <f t="shared" si="89"/>
        <v>72.05357142857143</v>
      </c>
      <c r="P773" s="667"/>
      <c r="Q773" s="667"/>
      <c r="R773" s="737"/>
    </row>
    <row r="774" spans="1:18" s="882" customFormat="1" ht="24">
      <c r="A774" s="728">
        <v>6050</v>
      </c>
      <c r="B774" s="818" t="s">
        <v>739</v>
      </c>
      <c r="C774" s="666">
        <v>64500</v>
      </c>
      <c r="D774" s="643">
        <f t="shared" si="88"/>
        <v>81500</v>
      </c>
      <c r="E774" s="667">
        <f t="shared" si="87"/>
        <v>73366</v>
      </c>
      <c r="F774" s="644">
        <f t="shared" si="86"/>
        <v>90.0196319018405</v>
      </c>
      <c r="G774" s="666"/>
      <c r="H774" s="667"/>
      <c r="I774" s="120"/>
      <c r="J774" s="730"/>
      <c r="K774" s="667"/>
      <c r="L774" s="649"/>
      <c r="M774" s="666">
        <f>64500+24000-7000</f>
        <v>81500</v>
      </c>
      <c r="N774" s="667">
        <f>73365+1</f>
        <v>73366</v>
      </c>
      <c r="O774" s="492">
        <f t="shared" si="89"/>
        <v>90.0196319018405</v>
      </c>
      <c r="P774" s="667"/>
      <c r="Q774" s="667"/>
      <c r="R774" s="737"/>
    </row>
    <row r="775" spans="1:18" s="882" customFormat="1" ht="36" hidden="1">
      <c r="A775" s="762">
        <v>6060</v>
      </c>
      <c r="B775" s="763" t="s">
        <v>856</v>
      </c>
      <c r="C775" s="781"/>
      <c r="D775" s="765">
        <f t="shared" si="88"/>
        <v>0</v>
      </c>
      <c r="E775" s="785">
        <f t="shared" si="87"/>
        <v>0</v>
      </c>
      <c r="F775" s="705" t="e">
        <f t="shared" si="86"/>
        <v>#DIV/0!</v>
      </c>
      <c r="G775" s="781"/>
      <c r="H775" s="785"/>
      <c r="I775" s="299"/>
      <c r="J775" s="782"/>
      <c r="K775" s="785"/>
      <c r="L775" s="768"/>
      <c r="M775" s="781"/>
      <c r="N775" s="785"/>
      <c r="O775" s="492" t="e">
        <f t="shared" si="89"/>
        <v>#DIV/0!</v>
      </c>
      <c r="P775" s="785"/>
      <c r="Q775" s="785"/>
      <c r="R775" s="770"/>
    </row>
    <row r="776" spans="1:18" s="864" customFormat="1" ht="16.5" customHeight="1">
      <c r="A776" s="787">
        <v>80123</v>
      </c>
      <c r="B776" s="856" t="s">
        <v>6</v>
      </c>
      <c r="C776" s="673">
        <f>SUM(C777:C797)</f>
        <v>1846800</v>
      </c>
      <c r="D776" s="674">
        <f>G776+J776+P776+M776</f>
        <v>1858469</v>
      </c>
      <c r="E776" s="657">
        <f>H776+K776+Q776+N776</f>
        <v>1414747</v>
      </c>
      <c r="F776" s="658">
        <f t="shared" si="86"/>
        <v>76.12432599090972</v>
      </c>
      <c r="G776" s="673"/>
      <c r="H776" s="674"/>
      <c r="I776" s="280"/>
      <c r="J776" s="677"/>
      <c r="K776" s="674"/>
      <c r="L776" s="663"/>
      <c r="M776" s="673">
        <f>SUM(M777:M797)</f>
        <v>1858469</v>
      </c>
      <c r="N776" s="674">
        <f>SUM(N777:N797)</f>
        <v>1414747</v>
      </c>
      <c r="O776" s="890">
        <f t="shared" si="89"/>
        <v>76.12432599090972</v>
      </c>
      <c r="P776" s="674"/>
      <c r="Q776" s="674"/>
      <c r="R776" s="828"/>
    </row>
    <row r="777" spans="1:18" s="882" customFormat="1" ht="36">
      <c r="A777" s="709">
        <v>3020</v>
      </c>
      <c r="B777" s="735" t="s">
        <v>1020</v>
      </c>
      <c r="C777" s="670">
        <v>7100</v>
      </c>
      <c r="D777" s="685">
        <f aca="true" t="shared" si="90" ref="D777:D827">G777+J777+P777+M777</f>
        <v>7100</v>
      </c>
      <c r="E777" s="686">
        <f aca="true" t="shared" si="91" ref="E777:E797">SUM(H777+K777+N777+Q777)</f>
        <v>2745</v>
      </c>
      <c r="F777" s="668">
        <f t="shared" si="86"/>
        <v>38.66197183098591</v>
      </c>
      <c r="G777" s="670"/>
      <c r="H777" s="686"/>
      <c r="I777" s="140"/>
      <c r="J777" s="777"/>
      <c r="K777" s="686"/>
      <c r="L777" s="690"/>
      <c r="M777" s="670">
        <v>7100</v>
      </c>
      <c r="N777" s="686">
        <v>2745</v>
      </c>
      <c r="O777" s="668">
        <f>N777/M777*100</f>
        <v>38.66197183098591</v>
      </c>
      <c r="P777" s="670"/>
      <c r="Q777" s="686"/>
      <c r="R777" s="760"/>
    </row>
    <row r="778" spans="1:18" s="882" customFormat="1" ht="24">
      <c r="A778" s="728">
        <v>4010</v>
      </c>
      <c r="B778" s="735" t="s">
        <v>697</v>
      </c>
      <c r="C778" s="666">
        <v>1244500</v>
      </c>
      <c r="D778" s="643">
        <f t="shared" si="90"/>
        <v>1244500</v>
      </c>
      <c r="E778" s="667">
        <f t="shared" si="91"/>
        <v>940232</v>
      </c>
      <c r="F778" s="644">
        <f t="shared" si="86"/>
        <v>75.55098433105665</v>
      </c>
      <c r="G778" s="666"/>
      <c r="H778" s="667"/>
      <c r="I778" s="120"/>
      <c r="J778" s="730"/>
      <c r="K778" s="667"/>
      <c r="L778" s="649"/>
      <c r="M778" s="666">
        <v>1244500</v>
      </c>
      <c r="N778" s="667">
        <v>940232</v>
      </c>
      <c r="O778" s="644">
        <f aca="true" t="shared" si="92" ref="O778:O797">N778/M778*100</f>
        <v>75.55098433105665</v>
      </c>
      <c r="P778" s="667"/>
      <c r="Q778" s="667"/>
      <c r="R778" s="737"/>
    </row>
    <row r="779" spans="1:18" s="882" customFormat="1" ht="24">
      <c r="A779" s="728">
        <v>4040</v>
      </c>
      <c r="B779" s="735" t="s">
        <v>701</v>
      </c>
      <c r="C779" s="666">
        <v>109000</v>
      </c>
      <c r="D779" s="643">
        <f t="shared" si="90"/>
        <v>97919</v>
      </c>
      <c r="E779" s="667">
        <f t="shared" si="91"/>
        <v>97908</v>
      </c>
      <c r="F779" s="644">
        <f t="shared" si="86"/>
        <v>99.98876622514527</v>
      </c>
      <c r="G779" s="666"/>
      <c r="H779" s="667"/>
      <c r="I779" s="120"/>
      <c r="J779" s="730"/>
      <c r="K779" s="667"/>
      <c r="L779" s="649"/>
      <c r="M779" s="666">
        <f>109000-11081</f>
        <v>97919</v>
      </c>
      <c r="N779" s="667">
        <f>97906+2</f>
        <v>97908</v>
      </c>
      <c r="O779" s="644">
        <f t="shared" si="92"/>
        <v>99.98876622514527</v>
      </c>
      <c r="P779" s="667"/>
      <c r="Q779" s="667"/>
      <c r="R779" s="737"/>
    </row>
    <row r="780" spans="1:18" s="882" customFormat="1" ht="24">
      <c r="A780" s="728">
        <v>4110</v>
      </c>
      <c r="B780" s="735" t="s">
        <v>703</v>
      </c>
      <c r="C780" s="666">
        <v>225300</v>
      </c>
      <c r="D780" s="643">
        <f t="shared" si="90"/>
        <v>225300</v>
      </c>
      <c r="E780" s="667">
        <f t="shared" si="91"/>
        <v>152304</v>
      </c>
      <c r="F780" s="644">
        <f t="shared" si="86"/>
        <v>67.6005326231691</v>
      </c>
      <c r="G780" s="666"/>
      <c r="H780" s="667"/>
      <c r="I780" s="120"/>
      <c r="J780" s="730"/>
      <c r="K780" s="667"/>
      <c r="L780" s="649"/>
      <c r="M780" s="666">
        <v>225300</v>
      </c>
      <c r="N780" s="667">
        <v>152304</v>
      </c>
      <c r="O780" s="644">
        <f t="shared" si="92"/>
        <v>67.6005326231691</v>
      </c>
      <c r="P780" s="667"/>
      <c r="Q780" s="667"/>
      <c r="R780" s="737"/>
    </row>
    <row r="781" spans="1:18" s="882" customFormat="1" ht="12.75">
      <c r="A781" s="728">
        <v>4120</v>
      </c>
      <c r="B781" s="735" t="s">
        <v>847</v>
      </c>
      <c r="C781" s="666">
        <v>32600</v>
      </c>
      <c r="D781" s="643">
        <f t="shared" si="90"/>
        <v>32600</v>
      </c>
      <c r="E781" s="667">
        <f t="shared" si="91"/>
        <v>24734</v>
      </c>
      <c r="F781" s="644">
        <f t="shared" si="86"/>
        <v>75.87116564417178</v>
      </c>
      <c r="G781" s="666"/>
      <c r="H781" s="667"/>
      <c r="I781" s="120"/>
      <c r="J781" s="730"/>
      <c r="K781" s="667"/>
      <c r="L781" s="649"/>
      <c r="M781" s="666">
        <v>32600</v>
      </c>
      <c r="N781" s="667">
        <v>24734</v>
      </c>
      <c r="O781" s="644">
        <f t="shared" si="92"/>
        <v>75.87116564417178</v>
      </c>
      <c r="P781" s="667"/>
      <c r="Q781" s="667"/>
      <c r="R781" s="737"/>
    </row>
    <row r="782" spans="1:18" s="882" customFormat="1" ht="12.75">
      <c r="A782" s="762">
        <v>4140</v>
      </c>
      <c r="B782" s="780" t="s">
        <v>804</v>
      </c>
      <c r="C782" s="781">
        <v>5100</v>
      </c>
      <c r="D782" s="765">
        <f t="shared" si="90"/>
        <v>4600</v>
      </c>
      <c r="E782" s="785">
        <f t="shared" si="91"/>
        <v>2914</v>
      </c>
      <c r="F782" s="705">
        <f t="shared" si="86"/>
        <v>63.34782608695653</v>
      </c>
      <c r="G782" s="781"/>
      <c r="H782" s="785"/>
      <c r="I782" s="299"/>
      <c r="J782" s="782"/>
      <c r="K782" s="785"/>
      <c r="L782" s="768"/>
      <c r="M782" s="781">
        <f>5100-500</f>
        <v>4600</v>
      </c>
      <c r="N782" s="785">
        <v>2914</v>
      </c>
      <c r="O782" s="705">
        <f t="shared" si="92"/>
        <v>63.34782608695653</v>
      </c>
      <c r="P782" s="785"/>
      <c r="Q782" s="785"/>
      <c r="R782" s="770"/>
    </row>
    <row r="783" spans="1:18" s="882" customFormat="1" ht="24">
      <c r="A783" s="728">
        <v>4210</v>
      </c>
      <c r="B783" s="735" t="s">
        <v>707</v>
      </c>
      <c r="C783" s="666">
        <v>25000</v>
      </c>
      <c r="D783" s="643">
        <f t="shared" si="90"/>
        <v>28900</v>
      </c>
      <c r="E783" s="667">
        <f t="shared" si="91"/>
        <v>20198</v>
      </c>
      <c r="F783" s="644">
        <f t="shared" si="86"/>
        <v>69.88927335640139</v>
      </c>
      <c r="G783" s="666"/>
      <c r="H783" s="667"/>
      <c r="I783" s="120"/>
      <c r="J783" s="730"/>
      <c r="K783" s="667"/>
      <c r="L783" s="649"/>
      <c r="M783" s="666">
        <f>25000+3900</f>
        <v>28900</v>
      </c>
      <c r="N783" s="667">
        <v>20198</v>
      </c>
      <c r="O783" s="644">
        <f t="shared" si="92"/>
        <v>69.88927335640139</v>
      </c>
      <c r="P783" s="667"/>
      <c r="Q783" s="667"/>
      <c r="R783" s="737"/>
    </row>
    <row r="784" spans="1:18" s="882" customFormat="1" ht="24">
      <c r="A784" s="728">
        <v>4240</v>
      </c>
      <c r="B784" s="735" t="s">
        <v>967</v>
      </c>
      <c r="C784" s="666">
        <v>9900</v>
      </c>
      <c r="D784" s="643">
        <f t="shared" si="90"/>
        <v>9900</v>
      </c>
      <c r="E784" s="667">
        <f t="shared" si="91"/>
        <v>304</v>
      </c>
      <c r="F784" s="644">
        <f t="shared" si="86"/>
        <v>3.0707070707070705</v>
      </c>
      <c r="G784" s="666"/>
      <c r="H784" s="667"/>
      <c r="I784" s="120"/>
      <c r="J784" s="730"/>
      <c r="K784" s="667"/>
      <c r="L784" s="649"/>
      <c r="M784" s="666">
        <v>9900</v>
      </c>
      <c r="N784" s="667">
        <v>304</v>
      </c>
      <c r="O784" s="644">
        <f t="shared" si="92"/>
        <v>3.0707070707070705</v>
      </c>
      <c r="P784" s="667"/>
      <c r="Q784" s="667"/>
      <c r="R784" s="737"/>
    </row>
    <row r="785" spans="1:18" s="882" customFormat="1" ht="12.75">
      <c r="A785" s="728">
        <v>4260</v>
      </c>
      <c r="B785" s="735" t="s">
        <v>711</v>
      </c>
      <c r="C785" s="666">
        <v>74500</v>
      </c>
      <c r="D785" s="643">
        <f t="shared" si="90"/>
        <v>64500</v>
      </c>
      <c r="E785" s="667">
        <f t="shared" si="91"/>
        <v>58974</v>
      </c>
      <c r="F785" s="644">
        <f t="shared" si="86"/>
        <v>91.43255813953488</v>
      </c>
      <c r="G785" s="666"/>
      <c r="H785" s="667"/>
      <c r="I785" s="120"/>
      <c r="J785" s="730"/>
      <c r="K785" s="667"/>
      <c r="L785" s="649"/>
      <c r="M785" s="666">
        <f>74500-10000</f>
        <v>64500</v>
      </c>
      <c r="N785" s="667">
        <v>58974</v>
      </c>
      <c r="O785" s="644">
        <f t="shared" si="92"/>
        <v>91.43255813953488</v>
      </c>
      <c r="P785" s="667"/>
      <c r="Q785" s="667"/>
      <c r="R785" s="737"/>
    </row>
    <row r="786" spans="1:18" s="882" customFormat="1" ht="24">
      <c r="A786" s="728">
        <v>4270</v>
      </c>
      <c r="B786" s="735" t="s">
        <v>713</v>
      </c>
      <c r="C786" s="666">
        <v>4400</v>
      </c>
      <c r="D786" s="643">
        <f t="shared" si="90"/>
        <v>4400</v>
      </c>
      <c r="E786" s="667">
        <f t="shared" si="91"/>
        <v>1346</v>
      </c>
      <c r="F786" s="644">
        <f t="shared" si="86"/>
        <v>30.59090909090909</v>
      </c>
      <c r="G786" s="666"/>
      <c r="H786" s="667"/>
      <c r="I786" s="120"/>
      <c r="J786" s="730"/>
      <c r="K786" s="667"/>
      <c r="L786" s="649"/>
      <c r="M786" s="666">
        <v>4400</v>
      </c>
      <c r="N786" s="667">
        <v>1346</v>
      </c>
      <c r="O786" s="644">
        <f t="shared" si="92"/>
        <v>30.59090909090909</v>
      </c>
      <c r="P786" s="667"/>
      <c r="Q786" s="667"/>
      <c r="R786" s="737"/>
    </row>
    <row r="787" spans="1:18" s="882" customFormat="1" ht="24">
      <c r="A787" s="728">
        <v>4280</v>
      </c>
      <c r="B787" s="735" t="s">
        <v>805</v>
      </c>
      <c r="C787" s="666">
        <v>2200</v>
      </c>
      <c r="D787" s="643">
        <f t="shared" si="90"/>
        <v>2200</v>
      </c>
      <c r="E787" s="667">
        <f t="shared" si="91"/>
        <v>758</v>
      </c>
      <c r="F787" s="644">
        <f t="shared" si="86"/>
        <v>34.45454545454545</v>
      </c>
      <c r="G787" s="666"/>
      <c r="H787" s="667"/>
      <c r="I787" s="120"/>
      <c r="J787" s="730"/>
      <c r="K787" s="667"/>
      <c r="L787" s="649"/>
      <c r="M787" s="666">
        <v>2200</v>
      </c>
      <c r="N787" s="667">
        <v>758</v>
      </c>
      <c r="O787" s="644">
        <f t="shared" si="92"/>
        <v>34.45454545454545</v>
      </c>
      <c r="P787" s="667"/>
      <c r="Q787" s="667"/>
      <c r="R787" s="737"/>
    </row>
    <row r="788" spans="1:18" s="882" customFormat="1" ht="24">
      <c r="A788" s="728">
        <v>4300</v>
      </c>
      <c r="B788" s="735" t="s">
        <v>715</v>
      </c>
      <c r="C788" s="666">
        <v>11700</v>
      </c>
      <c r="D788" s="643">
        <f t="shared" si="90"/>
        <v>23200</v>
      </c>
      <c r="E788" s="667">
        <f t="shared" si="91"/>
        <v>10094</v>
      </c>
      <c r="F788" s="644">
        <f t="shared" si="86"/>
        <v>43.50862068965517</v>
      </c>
      <c r="G788" s="666"/>
      <c r="H788" s="667"/>
      <c r="I788" s="120"/>
      <c r="J788" s="730"/>
      <c r="K788" s="667"/>
      <c r="L788" s="649"/>
      <c r="M788" s="666">
        <f>11700+10000+1500</f>
        <v>23200</v>
      </c>
      <c r="N788" s="667">
        <v>10094</v>
      </c>
      <c r="O788" s="644">
        <f t="shared" si="92"/>
        <v>43.50862068965517</v>
      </c>
      <c r="P788" s="667"/>
      <c r="Q788" s="667"/>
      <c r="R788" s="737"/>
    </row>
    <row r="789" spans="1:18" s="882" customFormat="1" ht="24">
      <c r="A789" s="728">
        <v>4350</v>
      </c>
      <c r="B789" s="735" t="s">
        <v>807</v>
      </c>
      <c r="C789" s="666">
        <v>1100</v>
      </c>
      <c r="D789" s="643">
        <f t="shared" si="90"/>
        <v>1100</v>
      </c>
      <c r="E789" s="667">
        <f t="shared" si="91"/>
        <v>801</v>
      </c>
      <c r="F789" s="644">
        <f t="shared" si="86"/>
        <v>72.81818181818181</v>
      </c>
      <c r="G789" s="730"/>
      <c r="H789" s="730"/>
      <c r="I789" s="120"/>
      <c r="J789" s="730"/>
      <c r="K789" s="667"/>
      <c r="L789" s="649"/>
      <c r="M789" s="666">
        <f>1100+500-500</f>
        <v>1100</v>
      </c>
      <c r="N789" s="667">
        <v>801</v>
      </c>
      <c r="O789" s="644">
        <f t="shared" si="92"/>
        <v>72.81818181818181</v>
      </c>
      <c r="P789" s="667"/>
      <c r="Q789" s="667"/>
      <c r="R789" s="737"/>
    </row>
    <row r="790" spans="1:18" s="882" customFormat="1" ht="48">
      <c r="A790" s="829">
        <v>4360</v>
      </c>
      <c r="B790" s="850" t="s">
        <v>982</v>
      </c>
      <c r="C790" s="666">
        <v>300</v>
      </c>
      <c r="D790" s="643">
        <f>G790+J790+P790+M790</f>
        <v>600</v>
      </c>
      <c r="E790" s="667">
        <f>SUM(H790+K790+N790+Q790)</f>
        <v>398</v>
      </c>
      <c r="F790" s="644">
        <f>E790/D790*100</f>
        <v>66.33333333333333</v>
      </c>
      <c r="G790" s="730"/>
      <c r="H790" s="730"/>
      <c r="I790" s="120"/>
      <c r="J790" s="730"/>
      <c r="K790" s="667"/>
      <c r="L790" s="649"/>
      <c r="M790" s="666">
        <f>300+300</f>
        <v>600</v>
      </c>
      <c r="N790" s="667">
        <v>398</v>
      </c>
      <c r="O790" s="644">
        <f t="shared" si="92"/>
        <v>66.33333333333333</v>
      </c>
      <c r="P790" s="667"/>
      <c r="Q790" s="667"/>
      <c r="R790" s="737"/>
    </row>
    <row r="791" spans="1:18" s="882" customFormat="1" ht="48">
      <c r="A791" s="829">
        <v>4370</v>
      </c>
      <c r="B791" s="850" t="s">
        <v>916</v>
      </c>
      <c r="C791" s="666">
        <v>3500</v>
      </c>
      <c r="D791" s="643">
        <f>G791+J791+P791+M791</f>
        <v>3700</v>
      </c>
      <c r="E791" s="667">
        <f>SUM(H791+K791+N791+Q791)</f>
        <v>2675</v>
      </c>
      <c r="F791" s="644">
        <f>E791/D791*100</f>
        <v>72.2972972972973</v>
      </c>
      <c r="G791" s="730"/>
      <c r="H791" s="730"/>
      <c r="I791" s="120"/>
      <c r="J791" s="730"/>
      <c r="K791" s="667"/>
      <c r="L791" s="649"/>
      <c r="M791" s="666">
        <f>3500-800+1000</f>
        <v>3700</v>
      </c>
      <c r="N791" s="667">
        <v>2675</v>
      </c>
      <c r="O791" s="644">
        <f t="shared" si="92"/>
        <v>72.2972972972973</v>
      </c>
      <c r="P791" s="667"/>
      <c r="Q791" s="667"/>
      <c r="R791" s="737"/>
    </row>
    <row r="792" spans="1:18" s="882" customFormat="1" ht="36">
      <c r="A792" s="728">
        <v>4390</v>
      </c>
      <c r="B792" s="865" t="s">
        <v>743</v>
      </c>
      <c r="C792" s="666">
        <v>2000</v>
      </c>
      <c r="D792" s="643">
        <f>G792+J792+P792+M792</f>
        <v>2000</v>
      </c>
      <c r="E792" s="667">
        <f>SUM(H792+K792+N792+Q792)</f>
        <v>0</v>
      </c>
      <c r="F792" s="644">
        <f>E792/D792*100</f>
        <v>0</v>
      </c>
      <c r="G792" s="730"/>
      <c r="H792" s="730"/>
      <c r="I792" s="120"/>
      <c r="J792" s="730"/>
      <c r="K792" s="667"/>
      <c r="L792" s="649"/>
      <c r="M792" s="666">
        <v>2000</v>
      </c>
      <c r="N792" s="667"/>
      <c r="O792" s="644">
        <f t="shared" si="92"/>
        <v>0</v>
      </c>
      <c r="P792" s="667"/>
      <c r="Q792" s="667"/>
      <c r="R792" s="737"/>
    </row>
    <row r="793" spans="1:18" s="882" customFormat="1" ht="24">
      <c r="A793" s="728">
        <v>4410</v>
      </c>
      <c r="B793" s="735" t="s">
        <v>689</v>
      </c>
      <c r="C793" s="666">
        <v>900</v>
      </c>
      <c r="D793" s="643">
        <f t="shared" si="90"/>
        <v>900</v>
      </c>
      <c r="E793" s="667">
        <f t="shared" si="91"/>
        <v>371</v>
      </c>
      <c r="F793" s="644">
        <f t="shared" si="86"/>
        <v>41.22222222222222</v>
      </c>
      <c r="G793" s="667"/>
      <c r="H793" s="730"/>
      <c r="I793" s="120"/>
      <c r="J793" s="730"/>
      <c r="K793" s="667"/>
      <c r="L793" s="649"/>
      <c r="M793" s="666">
        <v>900</v>
      </c>
      <c r="N793" s="667">
        <v>371</v>
      </c>
      <c r="O793" s="644">
        <f t="shared" si="92"/>
        <v>41.22222222222222</v>
      </c>
      <c r="P793" s="667"/>
      <c r="Q793" s="667"/>
      <c r="R793" s="737"/>
    </row>
    <row r="794" spans="1:18" s="882" customFormat="1" ht="12.75">
      <c r="A794" s="728">
        <v>4440</v>
      </c>
      <c r="B794" s="735" t="s">
        <v>719</v>
      </c>
      <c r="C794" s="666">
        <v>77300</v>
      </c>
      <c r="D794" s="643">
        <f t="shared" si="90"/>
        <v>92620</v>
      </c>
      <c r="E794" s="667">
        <f>SUM(H794+K794+N794+Q794)</f>
        <v>92620</v>
      </c>
      <c r="F794" s="644">
        <f>E794/D794*100</f>
        <v>100</v>
      </c>
      <c r="G794" s="667"/>
      <c r="H794" s="730"/>
      <c r="I794" s="120"/>
      <c r="J794" s="730"/>
      <c r="K794" s="667"/>
      <c r="L794" s="649"/>
      <c r="M794" s="666">
        <f>77300+4420+10900</f>
        <v>92620</v>
      </c>
      <c r="N794" s="667">
        <v>92620</v>
      </c>
      <c r="O794" s="644">
        <f t="shared" si="92"/>
        <v>100</v>
      </c>
      <c r="P794" s="667"/>
      <c r="Q794" s="667"/>
      <c r="R794" s="737"/>
    </row>
    <row r="795" spans="1:18" s="882" customFormat="1" ht="36">
      <c r="A795" s="829">
        <v>4700</v>
      </c>
      <c r="B795" s="850" t="s">
        <v>813</v>
      </c>
      <c r="C795" s="666">
        <v>1000</v>
      </c>
      <c r="D795" s="643">
        <f t="shared" si="90"/>
        <v>3530</v>
      </c>
      <c r="E795" s="667">
        <f>SUM(H795+K795+N795+Q795)</f>
        <v>1630</v>
      </c>
      <c r="F795" s="644">
        <f>E795/D795*100</f>
        <v>46.1756373937677</v>
      </c>
      <c r="G795" s="667"/>
      <c r="H795" s="730"/>
      <c r="I795" s="120"/>
      <c r="J795" s="730"/>
      <c r="K795" s="667"/>
      <c r="L795" s="649"/>
      <c r="M795" s="666">
        <f>1000+2530</f>
        <v>3530</v>
      </c>
      <c r="N795" s="667">
        <v>1630</v>
      </c>
      <c r="O795" s="644">
        <f t="shared" si="92"/>
        <v>46.1756373937677</v>
      </c>
      <c r="P795" s="667"/>
      <c r="Q795" s="667"/>
      <c r="R795" s="737"/>
    </row>
    <row r="796" spans="1:18" s="882" customFormat="1" ht="60">
      <c r="A796" s="829">
        <v>4740</v>
      </c>
      <c r="B796" s="850" t="s">
        <v>728</v>
      </c>
      <c r="C796" s="666">
        <v>4100</v>
      </c>
      <c r="D796" s="643">
        <f t="shared" si="90"/>
        <v>3100</v>
      </c>
      <c r="E796" s="667">
        <f t="shared" si="91"/>
        <v>591</v>
      </c>
      <c r="F796" s="644">
        <f aca="true" t="shared" si="93" ref="F796:F827">E796/D796*100</f>
        <v>19.064516129032256</v>
      </c>
      <c r="G796" s="667"/>
      <c r="H796" s="730"/>
      <c r="I796" s="120"/>
      <c r="J796" s="730"/>
      <c r="K796" s="667"/>
      <c r="L796" s="649"/>
      <c r="M796" s="666">
        <f>4100-1000</f>
        <v>3100</v>
      </c>
      <c r="N796" s="667">
        <v>591</v>
      </c>
      <c r="O796" s="644">
        <f t="shared" si="92"/>
        <v>19.064516129032256</v>
      </c>
      <c r="P796" s="667"/>
      <c r="Q796" s="667"/>
      <c r="R796" s="737"/>
    </row>
    <row r="797" spans="1:18" s="882" customFormat="1" ht="36">
      <c r="A797" s="829">
        <v>4750</v>
      </c>
      <c r="B797" s="850" t="s">
        <v>814</v>
      </c>
      <c r="C797" s="781">
        <v>5300</v>
      </c>
      <c r="D797" s="643">
        <f t="shared" si="90"/>
        <v>5800</v>
      </c>
      <c r="E797" s="667">
        <f t="shared" si="91"/>
        <v>3150</v>
      </c>
      <c r="F797" s="644">
        <f t="shared" si="93"/>
        <v>54.310344827586206</v>
      </c>
      <c r="G797" s="785"/>
      <c r="H797" s="782"/>
      <c r="I797" s="299"/>
      <c r="J797" s="782"/>
      <c r="K797" s="785"/>
      <c r="L797" s="768"/>
      <c r="M797" s="781">
        <f>5300+500</f>
        <v>5800</v>
      </c>
      <c r="N797" s="785">
        <v>3150</v>
      </c>
      <c r="O797" s="644">
        <f t="shared" si="92"/>
        <v>54.310344827586206</v>
      </c>
      <c r="P797" s="785"/>
      <c r="Q797" s="785"/>
      <c r="R797" s="770"/>
    </row>
    <row r="798" spans="1:18" s="882" customFormat="1" ht="17.25" customHeight="1">
      <c r="A798" s="724">
        <v>80130</v>
      </c>
      <c r="B798" s="854" t="s">
        <v>514</v>
      </c>
      <c r="C798" s="726">
        <f>SUM(C799:C827)</f>
        <v>17709400</v>
      </c>
      <c r="D798" s="674">
        <f t="shared" si="90"/>
        <v>18671445</v>
      </c>
      <c r="E798" s="657">
        <f>H798+K798+Q798+N798</f>
        <v>14696828</v>
      </c>
      <c r="F798" s="658">
        <f t="shared" si="93"/>
        <v>78.71285805678136</v>
      </c>
      <c r="G798" s="895"/>
      <c r="H798" s="896"/>
      <c r="I798" s="280"/>
      <c r="J798" s="896"/>
      <c r="K798" s="895"/>
      <c r="L798" s="897"/>
      <c r="M798" s="726">
        <f>SUM(M799:M827)</f>
        <v>18671445</v>
      </c>
      <c r="N798" s="657">
        <f>SUM(N799:N827)</f>
        <v>14696828</v>
      </c>
      <c r="O798" s="890">
        <f t="shared" si="89"/>
        <v>78.71285805678136</v>
      </c>
      <c r="P798" s="657"/>
      <c r="Q798" s="657"/>
      <c r="R798" s="842"/>
    </row>
    <row r="799" spans="1:18" s="882" customFormat="1" ht="48">
      <c r="A799" s="709">
        <v>2540</v>
      </c>
      <c r="B799" s="776" t="s">
        <v>1019</v>
      </c>
      <c r="C799" s="670">
        <v>2000000</v>
      </c>
      <c r="D799" s="685">
        <f t="shared" si="90"/>
        <v>2856060</v>
      </c>
      <c r="E799" s="686">
        <f>SUM(H799+K799+N799+Q799)</f>
        <v>2545864</v>
      </c>
      <c r="F799" s="668">
        <f t="shared" si="93"/>
        <v>89.1390236899785</v>
      </c>
      <c r="G799" s="686"/>
      <c r="H799" s="777"/>
      <c r="I799" s="140"/>
      <c r="J799" s="777"/>
      <c r="K799" s="686"/>
      <c r="L799" s="690"/>
      <c r="M799" s="670">
        <f>2000000+476060+380000</f>
        <v>2856060</v>
      </c>
      <c r="N799" s="686">
        <v>2545864</v>
      </c>
      <c r="O799" s="758">
        <f t="shared" si="89"/>
        <v>89.1390236899785</v>
      </c>
      <c r="P799" s="686"/>
      <c r="Q799" s="686"/>
      <c r="R799" s="760"/>
    </row>
    <row r="800" spans="1:18" s="882" customFormat="1" ht="84">
      <c r="A800" s="728">
        <v>2590</v>
      </c>
      <c r="B800" s="735" t="s">
        <v>7</v>
      </c>
      <c r="C800" s="666">
        <v>330000</v>
      </c>
      <c r="D800" s="643">
        <f>G800+J800+P800+M800</f>
        <v>311932</v>
      </c>
      <c r="E800" s="667">
        <f>SUM(H800+K800+N800+Q800)</f>
        <v>197097</v>
      </c>
      <c r="F800" s="644">
        <f>E800/D800*100</f>
        <v>63.185886667607036</v>
      </c>
      <c r="G800" s="667"/>
      <c r="H800" s="730"/>
      <c r="I800" s="120"/>
      <c r="J800" s="730"/>
      <c r="K800" s="667"/>
      <c r="L800" s="649"/>
      <c r="M800" s="666">
        <f>330000-18068</f>
        <v>311932</v>
      </c>
      <c r="N800" s="667">
        <v>197097</v>
      </c>
      <c r="O800" s="492">
        <f t="shared" si="89"/>
        <v>63.185886667607036</v>
      </c>
      <c r="P800" s="667"/>
      <c r="Q800" s="667"/>
      <c r="R800" s="737"/>
    </row>
    <row r="801" spans="1:18" s="882" customFormat="1" ht="36">
      <c r="A801" s="728">
        <v>3020</v>
      </c>
      <c r="B801" s="735" t="s">
        <v>1020</v>
      </c>
      <c r="C801" s="666">
        <v>79300</v>
      </c>
      <c r="D801" s="643">
        <f t="shared" si="90"/>
        <v>72800</v>
      </c>
      <c r="E801" s="667">
        <f aca="true" t="shared" si="94" ref="E801:E827">SUM(H801+K801+N801+Q801)</f>
        <v>39678</v>
      </c>
      <c r="F801" s="644">
        <f t="shared" si="93"/>
        <v>54.502747252747255</v>
      </c>
      <c r="G801" s="667"/>
      <c r="H801" s="730"/>
      <c r="I801" s="120"/>
      <c r="J801" s="730"/>
      <c r="K801" s="667"/>
      <c r="L801" s="649"/>
      <c r="M801" s="666">
        <f>79300-6500</f>
        <v>72800</v>
      </c>
      <c r="N801" s="667">
        <v>39678</v>
      </c>
      <c r="O801" s="492">
        <f t="shared" si="89"/>
        <v>54.502747252747255</v>
      </c>
      <c r="P801" s="667"/>
      <c r="Q801" s="667"/>
      <c r="R801" s="737"/>
    </row>
    <row r="802" spans="1:18" s="882" customFormat="1" ht="12.75">
      <c r="A802" s="728">
        <v>3050</v>
      </c>
      <c r="B802" s="735" t="s">
        <v>8</v>
      </c>
      <c r="C802" s="666">
        <v>17300</v>
      </c>
      <c r="D802" s="643">
        <f t="shared" si="90"/>
        <v>17300</v>
      </c>
      <c r="E802" s="667">
        <f t="shared" si="94"/>
        <v>14056</v>
      </c>
      <c r="F802" s="644">
        <f t="shared" si="93"/>
        <v>81.2485549132948</v>
      </c>
      <c r="G802" s="667"/>
      <c r="H802" s="730"/>
      <c r="I802" s="120"/>
      <c r="J802" s="730"/>
      <c r="K802" s="667"/>
      <c r="L802" s="649"/>
      <c r="M802" s="666">
        <v>17300</v>
      </c>
      <c r="N802" s="667">
        <v>14056</v>
      </c>
      <c r="O802" s="492">
        <f t="shared" si="89"/>
        <v>81.2485549132948</v>
      </c>
      <c r="P802" s="667"/>
      <c r="Q802" s="667"/>
      <c r="R802" s="737"/>
    </row>
    <row r="803" spans="1:18" s="882" customFormat="1" ht="12.75" hidden="1">
      <c r="A803" s="728">
        <v>3110</v>
      </c>
      <c r="B803" s="735" t="s">
        <v>1024</v>
      </c>
      <c r="C803" s="666"/>
      <c r="D803" s="643">
        <f>G803+J803+P803+M803</f>
        <v>0</v>
      </c>
      <c r="E803" s="667">
        <f>SUM(H803+K803+N803+Q803)</f>
        <v>0</v>
      </c>
      <c r="F803" s="644" t="e">
        <f>E803/D803*100</f>
        <v>#DIV/0!</v>
      </c>
      <c r="G803" s="667"/>
      <c r="H803" s="730"/>
      <c r="I803" s="120"/>
      <c r="J803" s="730"/>
      <c r="K803" s="667"/>
      <c r="L803" s="649"/>
      <c r="M803" s="666"/>
      <c r="N803" s="667"/>
      <c r="O803" s="492" t="e">
        <f t="shared" si="89"/>
        <v>#DIV/0!</v>
      </c>
      <c r="P803" s="667"/>
      <c r="Q803" s="667"/>
      <c r="R803" s="737"/>
    </row>
    <row r="804" spans="1:18" s="882" customFormat="1" ht="24">
      <c r="A804" s="728">
        <v>4010</v>
      </c>
      <c r="B804" s="735" t="s">
        <v>697</v>
      </c>
      <c r="C804" s="666">
        <v>10000000</v>
      </c>
      <c r="D804" s="643">
        <f t="shared" si="90"/>
        <v>10000000</v>
      </c>
      <c r="E804" s="667">
        <f t="shared" si="94"/>
        <v>7629474</v>
      </c>
      <c r="F804" s="644">
        <f t="shared" si="93"/>
        <v>76.29474</v>
      </c>
      <c r="G804" s="667"/>
      <c r="H804" s="730"/>
      <c r="I804" s="120"/>
      <c r="J804" s="730"/>
      <c r="K804" s="667"/>
      <c r="L804" s="649"/>
      <c r="M804" s="666">
        <v>10000000</v>
      </c>
      <c r="N804" s="667">
        <v>7629474</v>
      </c>
      <c r="O804" s="492">
        <f t="shared" si="89"/>
        <v>76.29474</v>
      </c>
      <c r="P804" s="667"/>
      <c r="Q804" s="667"/>
      <c r="R804" s="737"/>
    </row>
    <row r="805" spans="1:18" s="882" customFormat="1" ht="24">
      <c r="A805" s="728">
        <v>4040</v>
      </c>
      <c r="B805" s="735" t="s">
        <v>701</v>
      </c>
      <c r="C805" s="666">
        <v>793200</v>
      </c>
      <c r="D805" s="643">
        <f t="shared" si="90"/>
        <v>778110</v>
      </c>
      <c r="E805" s="667">
        <f t="shared" si="94"/>
        <v>778105</v>
      </c>
      <c r="F805" s="644">
        <f t="shared" si="93"/>
        <v>99.99935741733174</v>
      </c>
      <c r="G805" s="667"/>
      <c r="H805" s="730"/>
      <c r="I805" s="120"/>
      <c r="J805" s="730"/>
      <c r="K805" s="667"/>
      <c r="L805" s="649"/>
      <c r="M805" s="666">
        <f>793200-15090</f>
        <v>778110</v>
      </c>
      <c r="N805" s="667">
        <f>778036+69</f>
        <v>778105</v>
      </c>
      <c r="O805" s="492">
        <f t="shared" si="89"/>
        <v>99.99935741733174</v>
      </c>
      <c r="P805" s="667"/>
      <c r="Q805" s="667"/>
      <c r="R805" s="737"/>
    </row>
    <row r="806" spans="1:18" s="882" customFormat="1" ht="24">
      <c r="A806" s="728">
        <v>4110</v>
      </c>
      <c r="B806" s="735" t="s">
        <v>703</v>
      </c>
      <c r="C806" s="666">
        <v>1788700</v>
      </c>
      <c r="D806" s="643">
        <f t="shared" si="90"/>
        <v>1788700</v>
      </c>
      <c r="E806" s="667">
        <f t="shared" si="94"/>
        <v>1258101</v>
      </c>
      <c r="F806" s="644">
        <f t="shared" si="93"/>
        <v>70.33605411751552</v>
      </c>
      <c r="G806" s="667"/>
      <c r="H806" s="730"/>
      <c r="I806" s="120"/>
      <c r="J806" s="730"/>
      <c r="K806" s="667"/>
      <c r="L806" s="649"/>
      <c r="M806" s="666">
        <v>1788700</v>
      </c>
      <c r="N806" s="667">
        <v>1258101</v>
      </c>
      <c r="O806" s="492">
        <f t="shared" si="89"/>
        <v>70.33605411751552</v>
      </c>
      <c r="P806" s="667"/>
      <c r="Q806" s="667"/>
      <c r="R806" s="737"/>
    </row>
    <row r="807" spans="1:18" s="882" customFormat="1" ht="12.75">
      <c r="A807" s="728">
        <v>4120</v>
      </c>
      <c r="B807" s="735" t="s">
        <v>847</v>
      </c>
      <c r="C807" s="666">
        <v>260000</v>
      </c>
      <c r="D807" s="643">
        <f t="shared" si="90"/>
        <v>260000</v>
      </c>
      <c r="E807" s="667">
        <f t="shared" si="94"/>
        <v>195368</v>
      </c>
      <c r="F807" s="644">
        <f t="shared" si="93"/>
        <v>75.14153846153846</v>
      </c>
      <c r="G807" s="667"/>
      <c r="H807" s="730"/>
      <c r="I807" s="120"/>
      <c r="J807" s="730"/>
      <c r="K807" s="667"/>
      <c r="L807" s="649"/>
      <c r="M807" s="666">
        <v>260000</v>
      </c>
      <c r="N807" s="667">
        <v>195368</v>
      </c>
      <c r="O807" s="492">
        <f t="shared" si="89"/>
        <v>75.14153846153846</v>
      </c>
      <c r="P807" s="667"/>
      <c r="Q807" s="667"/>
      <c r="R807" s="737"/>
    </row>
    <row r="808" spans="1:18" s="882" customFormat="1" ht="12.75">
      <c r="A808" s="728">
        <v>4140</v>
      </c>
      <c r="B808" s="735" t="s">
        <v>9</v>
      </c>
      <c r="C808" s="666">
        <v>58000</v>
      </c>
      <c r="D808" s="643">
        <f t="shared" si="90"/>
        <v>45000</v>
      </c>
      <c r="E808" s="667">
        <f t="shared" si="94"/>
        <v>31343</v>
      </c>
      <c r="F808" s="644">
        <f t="shared" si="93"/>
        <v>69.6511111111111</v>
      </c>
      <c r="G808" s="667"/>
      <c r="H808" s="730"/>
      <c r="I808" s="120"/>
      <c r="J808" s="730"/>
      <c r="K808" s="667"/>
      <c r="L808" s="649"/>
      <c r="M808" s="666">
        <f>58000-10000-3000</f>
        <v>45000</v>
      </c>
      <c r="N808" s="667">
        <v>31343</v>
      </c>
      <c r="O808" s="492">
        <f t="shared" si="89"/>
        <v>69.6511111111111</v>
      </c>
      <c r="P808" s="667"/>
      <c r="Q808" s="667"/>
      <c r="R808" s="737"/>
    </row>
    <row r="809" spans="1:18" s="882" customFormat="1" ht="24">
      <c r="A809" s="728">
        <v>4210</v>
      </c>
      <c r="B809" s="735" t="s">
        <v>707</v>
      </c>
      <c r="C809" s="666">
        <v>325000</v>
      </c>
      <c r="D809" s="643">
        <f t="shared" si="90"/>
        <v>323000</v>
      </c>
      <c r="E809" s="667">
        <f t="shared" si="94"/>
        <v>249993</v>
      </c>
      <c r="F809" s="644">
        <f t="shared" si="93"/>
        <v>77.39721362229102</v>
      </c>
      <c r="G809" s="667"/>
      <c r="H809" s="730"/>
      <c r="I809" s="120"/>
      <c r="J809" s="730"/>
      <c r="K809" s="667"/>
      <c r="L809" s="649"/>
      <c r="M809" s="666">
        <f>325000-16200+11200-2000+5000</f>
        <v>323000</v>
      </c>
      <c r="N809" s="667">
        <v>249993</v>
      </c>
      <c r="O809" s="492">
        <f t="shared" si="89"/>
        <v>77.39721362229102</v>
      </c>
      <c r="P809" s="667"/>
      <c r="Q809" s="667"/>
      <c r="R809" s="737"/>
    </row>
    <row r="810" spans="1:18" s="882" customFormat="1" ht="36">
      <c r="A810" s="728">
        <v>4240</v>
      </c>
      <c r="B810" s="735" t="s">
        <v>832</v>
      </c>
      <c r="C810" s="666">
        <v>128000</v>
      </c>
      <c r="D810" s="643">
        <f t="shared" si="90"/>
        <v>128000</v>
      </c>
      <c r="E810" s="667">
        <f t="shared" si="94"/>
        <v>58350</v>
      </c>
      <c r="F810" s="644">
        <f t="shared" si="93"/>
        <v>45.5859375</v>
      </c>
      <c r="G810" s="667"/>
      <c r="H810" s="730"/>
      <c r="I810" s="120"/>
      <c r="J810" s="730"/>
      <c r="K810" s="667"/>
      <c r="L810" s="649"/>
      <c r="M810" s="666">
        <v>128000</v>
      </c>
      <c r="N810" s="667">
        <v>58350</v>
      </c>
      <c r="O810" s="492">
        <f t="shared" si="89"/>
        <v>45.5859375</v>
      </c>
      <c r="P810" s="667"/>
      <c r="Q810" s="667"/>
      <c r="R810" s="737"/>
    </row>
    <row r="811" spans="1:18" s="882" customFormat="1" ht="12.75">
      <c r="A811" s="728">
        <v>4260</v>
      </c>
      <c r="B811" s="735" t="s">
        <v>711</v>
      </c>
      <c r="C811" s="666">
        <v>834000</v>
      </c>
      <c r="D811" s="643">
        <f t="shared" si="90"/>
        <v>834000</v>
      </c>
      <c r="E811" s="667">
        <f t="shared" si="94"/>
        <v>622499</v>
      </c>
      <c r="F811" s="644">
        <f t="shared" si="93"/>
        <v>74.64016786570743</v>
      </c>
      <c r="G811" s="667"/>
      <c r="H811" s="730"/>
      <c r="I811" s="120"/>
      <c r="J811" s="730"/>
      <c r="K811" s="667"/>
      <c r="L811" s="649"/>
      <c r="M811" s="666">
        <v>834000</v>
      </c>
      <c r="N811" s="667">
        <v>622499</v>
      </c>
      <c r="O811" s="492">
        <f t="shared" si="89"/>
        <v>74.64016786570743</v>
      </c>
      <c r="P811" s="667"/>
      <c r="Q811" s="667"/>
      <c r="R811" s="737"/>
    </row>
    <row r="812" spans="1:18" s="882" customFormat="1" ht="24">
      <c r="A812" s="728">
        <v>4270</v>
      </c>
      <c r="B812" s="735" t="s">
        <v>713</v>
      </c>
      <c r="C812" s="666">
        <v>46000</v>
      </c>
      <c r="D812" s="643">
        <f t="shared" si="90"/>
        <v>46000</v>
      </c>
      <c r="E812" s="667">
        <f t="shared" si="94"/>
        <v>24820</v>
      </c>
      <c r="F812" s="644">
        <f t="shared" si="93"/>
        <v>53.95652173913044</v>
      </c>
      <c r="G812" s="667"/>
      <c r="H812" s="730"/>
      <c r="I812" s="120"/>
      <c r="J812" s="730"/>
      <c r="K812" s="667"/>
      <c r="L812" s="649"/>
      <c r="M812" s="666">
        <v>46000</v>
      </c>
      <c r="N812" s="667">
        <v>24820</v>
      </c>
      <c r="O812" s="492">
        <f t="shared" si="89"/>
        <v>53.95652173913044</v>
      </c>
      <c r="P812" s="667"/>
      <c r="Q812" s="667"/>
      <c r="R812" s="737"/>
    </row>
    <row r="813" spans="1:18" s="882" customFormat="1" ht="24">
      <c r="A813" s="728">
        <v>4280</v>
      </c>
      <c r="B813" s="735" t="s">
        <v>805</v>
      </c>
      <c r="C813" s="666">
        <v>14300</v>
      </c>
      <c r="D813" s="643">
        <f t="shared" si="90"/>
        <v>14300</v>
      </c>
      <c r="E813" s="667">
        <f t="shared" si="94"/>
        <v>8171</v>
      </c>
      <c r="F813" s="644">
        <f t="shared" si="93"/>
        <v>57.13986013986015</v>
      </c>
      <c r="G813" s="667"/>
      <c r="H813" s="730"/>
      <c r="I813" s="120"/>
      <c r="J813" s="730"/>
      <c r="K813" s="667"/>
      <c r="L813" s="649"/>
      <c r="M813" s="666">
        <v>14300</v>
      </c>
      <c r="N813" s="667">
        <v>8171</v>
      </c>
      <c r="O813" s="492">
        <f t="shared" si="89"/>
        <v>57.13986013986015</v>
      </c>
      <c r="P813" s="667"/>
      <c r="Q813" s="667"/>
      <c r="R813" s="737"/>
    </row>
    <row r="814" spans="1:18" s="882" customFormat="1" ht="24">
      <c r="A814" s="728">
        <v>4300</v>
      </c>
      <c r="B814" s="735" t="s">
        <v>715</v>
      </c>
      <c r="C814" s="666">
        <v>135000</v>
      </c>
      <c r="D814" s="643">
        <f t="shared" si="90"/>
        <v>150800</v>
      </c>
      <c r="E814" s="667">
        <f t="shared" si="94"/>
        <v>126521</v>
      </c>
      <c r="F814" s="644">
        <f t="shared" si="93"/>
        <v>83.89986737400531</v>
      </c>
      <c r="G814" s="667"/>
      <c r="H814" s="730"/>
      <c r="I814" s="120"/>
      <c r="J814" s="730"/>
      <c r="K814" s="667"/>
      <c r="L814" s="649"/>
      <c r="M814" s="666">
        <f>135000+800+15000</f>
        <v>150800</v>
      </c>
      <c r="N814" s="667">
        <v>126521</v>
      </c>
      <c r="O814" s="492">
        <f t="shared" si="89"/>
        <v>83.89986737400531</v>
      </c>
      <c r="P814" s="667"/>
      <c r="Q814" s="667"/>
      <c r="R814" s="737"/>
    </row>
    <row r="815" spans="1:18" s="882" customFormat="1" ht="24">
      <c r="A815" s="728">
        <v>4350</v>
      </c>
      <c r="B815" s="735" t="s">
        <v>807</v>
      </c>
      <c r="C815" s="666">
        <v>12900</v>
      </c>
      <c r="D815" s="643">
        <f t="shared" si="90"/>
        <v>9000</v>
      </c>
      <c r="E815" s="667">
        <f t="shared" si="94"/>
        <v>7581</v>
      </c>
      <c r="F815" s="644">
        <f t="shared" si="93"/>
        <v>84.23333333333333</v>
      </c>
      <c r="G815" s="667"/>
      <c r="H815" s="730"/>
      <c r="I815" s="120"/>
      <c r="J815" s="730"/>
      <c r="K815" s="667"/>
      <c r="L815" s="649"/>
      <c r="M815" s="666">
        <f>12900-3900</f>
        <v>9000</v>
      </c>
      <c r="N815" s="667">
        <v>7581</v>
      </c>
      <c r="O815" s="492">
        <f aca="true" t="shared" si="95" ref="O815:O826">N815/M815*100</f>
        <v>84.23333333333333</v>
      </c>
      <c r="P815" s="667"/>
      <c r="Q815" s="667"/>
      <c r="R815" s="737"/>
    </row>
    <row r="816" spans="1:18" s="882" customFormat="1" ht="48">
      <c r="A816" s="874">
        <v>4360</v>
      </c>
      <c r="B816" s="875" t="s">
        <v>982</v>
      </c>
      <c r="C816" s="781">
        <v>2000</v>
      </c>
      <c r="D816" s="765">
        <f>G816+J816+P816+M816</f>
        <v>4000</v>
      </c>
      <c r="E816" s="785">
        <f>SUM(H816+K816+N816+Q816)</f>
        <v>2943</v>
      </c>
      <c r="F816" s="705">
        <f>E816/D816*100</f>
        <v>73.575</v>
      </c>
      <c r="G816" s="785"/>
      <c r="H816" s="782"/>
      <c r="I816" s="299"/>
      <c r="J816" s="782"/>
      <c r="K816" s="785"/>
      <c r="L816" s="768"/>
      <c r="M816" s="781">
        <f>2000+2000</f>
        <v>4000</v>
      </c>
      <c r="N816" s="785">
        <v>2943</v>
      </c>
      <c r="O816" s="766">
        <f t="shared" si="95"/>
        <v>73.575</v>
      </c>
      <c r="P816" s="785"/>
      <c r="Q816" s="785"/>
      <c r="R816" s="770"/>
    </row>
    <row r="817" spans="1:18" s="882" customFormat="1" ht="48">
      <c r="A817" s="829">
        <v>4370</v>
      </c>
      <c r="B817" s="850" t="s">
        <v>916</v>
      </c>
      <c r="C817" s="666">
        <v>44200</v>
      </c>
      <c r="D817" s="643">
        <f>G817+J817+P817+M817</f>
        <v>42700</v>
      </c>
      <c r="E817" s="667">
        <f>SUM(H817+K817+N817+Q817)</f>
        <v>26528</v>
      </c>
      <c r="F817" s="644">
        <f>E817/D817*100</f>
        <v>62.12646370023419</v>
      </c>
      <c r="G817" s="667"/>
      <c r="H817" s="730"/>
      <c r="I817" s="120"/>
      <c r="J817" s="730"/>
      <c r="K817" s="667"/>
      <c r="L817" s="649"/>
      <c r="M817" s="666">
        <f>44200-1500</f>
        <v>42700</v>
      </c>
      <c r="N817" s="667">
        <v>26528</v>
      </c>
      <c r="O817" s="492">
        <f t="shared" si="95"/>
        <v>62.12646370023419</v>
      </c>
      <c r="P817" s="667"/>
      <c r="Q817" s="667"/>
      <c r="R817" s="737"/>
    </row>
    <row r="818" spans="1:18" s="882" customFormat="1" ht="36">
      <c r="A818" s="728">
        <v>4380</v>
      </c>
      <c r="B818" s="735" t="s">
        <v>1022</v>
      </c>
      <c r="C818" s="666">
        <v>2000</v>
      </c>
      <c r="D818" s="643">
        <f>G818+J818+P818+M818</f>
        <v>2000</v>
      </c>
      <c r="E818" s="667">
        <f>SUM(H818+K818+N818+Q818)</f>
        <v>1200</v>
      </c>
      <c r="F818" s="644">
        <f>E818/D818*100</f>
        <v>60</v>
      </c>
      <c r="G818" s="667"/>
      <c r="H818" s="730"/>
      <c r="I818" s="120"/>
      <c r="J818" s="730"/>
      <c r="K818" s="667"/>
      <c r="L818" s="649"/>
      <c r="M818" s="666">
        <v>2000</v>
      </c>
      <c r="N818" s="667">
        <v>1200</v>
      </c>
      <c r="O818" s="492">
        <f t="shared" si="95"/>
        <v>60</v>
      </c>
      <c r="P818" s="667"/>
      <c r="Q818" s="667"/>
      <c r="R818" s="737"/>
    </row>
    <row r="819" spans="1:18" s="882" customFormat="1" ht="36">
      <c r="A819" s="728">
        <v>4390</v>
      </c>
      <c r="B819" s="865" t="s">
        <v>743</v>
      </c>
      <c r="C819" s="666">
        <v>40000</v>
      </c>
      <c r="D819" s="643">
        <f>G819+J819+P819+M819</f>
        <v>41000</v>
      </c>
      <c r="E819" s="667">
        <f>SUM(H819+K819+N819+Q819)</f>
        <v>14626</v>
      </c>
      <c r="F819" s="644">
        <f>E819/D819*100</f>
        <v>35.673170731707316</v>
      </c>
      <c r="G819" s="667"/>
      <c r="H819" s="730"/>
      <c r="I819" s="120"/>
      <c r="J819" s="730"/>
      <c r="K819" s="667"/>
      <c r="L819" s="649"/>
      <c r="M819" s="666">
        <f>40000+1000</f>
        <v>41000</v>
      </c>
      <c r="N819" s="667">
        <v>14626</v>
      </c>
      <c r="O819" s="492">
        <f t="shared" si="95"/>
        <v>35.673170731707316</v>
      </c>
      <c r="P819" s="667"/>
      <c r="Q819" s="667"/>
      <c r="R819" s="737"/>
    </row>
    <row r="820" spans="1:18" s="882" customFormat="1" ht="24">
      <c r="A820" s="728">
        <v>4410</v>
      </c>
      <c r="B820" s="735" t="s">
        <v>689</v>
      </c>
      <c r="C820" s="666">
        <v>20800</v>
      </c>
      <c r="D820" s="643">
        <f t="shared" si="90"/>
        <v>26200</v>
      </c>
      <c r="E820" s="667">
        <f t="shared" si="94"/>
        <v>18105</v>
      </c>
      <c r="F820" s="644">
        <f t="shared" si="93"/>
        <v>69.1030534351145</v>
      </c>
      <c r="G820" s="667"/>
      <c r="H820" s="730"/>
      <c r="I820" s="120"/>
      <c r="J820" s="730"/>
      <c r="K820" s="667"/>
      <c r="L820" s="649"/>
      <c r="M820" s="666">
        <f>20800+3000+2400</f>
        <v>26200</v>
      </c>
      <c r="N820" s="667">
        <v>18105</v>
      </c>
      <c r="O820" s="492">
        <f t="shared" si="95"/>
        <v>69.1030534351145</v>
      </c>
      <c r="P820" s="667"/>
      <c r="Q820" s="667"/>
      <c r="R820" s="737"/>
    </row>
    <row r="821" spans="1:18" s="882" customFormat="1" ht="24">
      <c r="A821" s="728">
        <v>4420</v>
      </c>
      <c r="B821" s="735" t="s">
        <v>823</v>
      </c>
      <c r="C821" s="666">
        <v>18400</v>
      </c>
      <c r="D821" s="643">
        <f t="shared" si="90"/>
        <v>13000</v>
      </c>
      <c r="E821" s="667">
        <f t="shared" si="94"/>
        <v>2394</v>
      </c>
      <c r="F821" s="644">
        <f t="shared" si="93"/>
        <v>18.415384615384614</v>
      </c>
      <c r="G821" s="667"/>
      <c r="H821" s="730"/>
      <c r="I821" s="120"/>
      <c r="J821" s="730"/>
      <c r="K821" s="667"/>
      <c r="L821" s="649"/>
      <c r="M821" s="666">
        <f>18400-3000-2400</f>
        <v>13000</v>
      </c>
      <c r="N821" s="667">
        <v>2394</v>
      </c>
      <c r="O821" s="492">
        <f t="shared" si="95"/>
        <v>18.415384615384614</v>
      </c>
      <c r="P821" s="667"/>
      <c r="Q821" s="667"/>
      <c r="R821" s="737"/>
    </row>
    <row r="822" spans="1:18" s="882" customFormat="1" ht="12.75">
      <c r="A822" s="728">
        <v>4440</v>
      </c>
      <c r="B822" s="735" t="s">
        <v>719</v>
      </c>
      <c r="C822" s="666">
        <v>625100</v>
      </c>
      <c r="D822" s="643">
        <f t="shared" si="90"/>
        <v>676103</v>
      </c>
      <c r="E822" s="667">
        <f t="shared" si="94"/>
        <v>676103</v>
      </c>
      <c r="F822" s="644">
        <f t="shared" si="93"/>
        <v>100</v>
      </c>
      <c r="G822" s="667"/>
      <c r="H822" s="730"/>
      <c r="I822" s="120"/>
      <c r="J822" s="730"/>
      <c r="K822" s="667"/>
      <c r="L822" s="649"/>
      <c r="M822" s="666">
        <f>625100+22026+28977</f>
        <v>676103</v>
      </c>
      <c r="N822" s="667">
        <v>676103</v>
      </c>
      <c r="O822" s="492">
        <f t="shared" si="95"/>
        <v>100</v>
      </c>
      <c r="P822" s="667"/>
      <c r="Q822" s="667"/>
      <c r="R822" s="737"/>
    </row>
    <row r="823" spans="1:18" s="882" customFormat="1" ht="36">
      <c r="A823" s="829">
        <v>4700</v>
      </c>
      <c r="B823" s="850" t="s">
        <v>813</v>
      </c>
      <c r="C823" s="666">
        <v>20700</v>
      </c>
      <c r="D823" s="643">
        <f>G823+J823+P823+M823</f>
        <v>20700</v>
      </c>
      <c r="E823" s="667">
        <f>SUM(H823+K823+N823+Q823)</f>
        <v>12158</v>
      </c>
      <c r="F823" s="644">
        <f>E823/D823*100</f>
        <v>58.734299516908216</v>
      </c>
      <c r="G823" s="667"/>
      <c r="H823" s="730"/>
      <c r="I823" s="120"/>
      <c r="J823" s="730"/>
      <c r="K823" s="667"/>
      <c r="L823" s="649"/>
      <c r="M823" s="666">
        <v>20700</v>
      </c>
      <c r="N823" s="667">
        <v>12158</v>
      </c>
      <c r="O823" s="492">
        <f t="shared" si="95"/>
        <v>58.734299516908216</v>
      </c>
      <c r="P823" s="667"/>
      <c r="Q823" s="667"/>
      <c r="R823" s="737"/>
    </row>
    <row r="824" spans="1:18" s="882" customFormat="1" ht="60">
      <c r="A824" s="829">
        <v>4740</v>
      </c>
      <c r="B824" s="850" t="s">
        <v>728</v>
      </c>
      <c r="C824" s="666">
        <v>22000</v>
      </c>
      <c r="D824" s="643">
        <f>G824+J824+P824+M824</f>
        <v>16000</v>
      </c>
      <c r="E824" s="667">
        <f>SUM(H824+K824+N824+Q824)</f>
        <v>6919</v>
      </c>
      <c r="F824" s="644">
        <f>E824/D824*100</f>
        <v>43.24375</v>
      </c>
      <c r="G824" s="667"/>
      <c r="H824" s="730"/>
      <c r="I824" s="120"/>
      <c r="J824" s="730"/>
      <c r="K824" s="667"/>
      <c r="L824" s="649"/>
      <c r="M824" s="666">
        <f>22000-3000-3000</f>
        <v>16000</v>
      </c>
      <c r="N824" s="667">
        <v>6919</v>
      </c>
      <c r="O824" s="492">
        <f t="shared" si="95"/>
        <v>43.24375</v>
      </c>
      <c r="P824" s="667"/>
      <c r="Q824" s="667"/>
      <c r="R824" s="737"/>
    </row>
    <row r="825" spans="1:18" s="882" customFormat="1" ht="36">
      <c r="A825" s="829">
        <v>4750</v>
      </c>
      <c r="B825" s="850" t="s">
        <v>814</v>
      </c>
      <c r="C825" s="666">
        <v>37800</v>
      </c>
      <c r="D825" s="643">
        <f>G825+J825+P825+M825</f>
        <v>42800</v>
      </c>
      <c r="E825" s="667">
        <f>SUM(H825+K825+N825+Q825)</f>
        <v>23965</v>
      </c>
      <c r="F825" s="644">
        <f>E825/D825*100</f>
        <v>55.99299065420561</v>
      </c>
      <c r="G825" s="667"/>
      <c r="H825" s="730"/>
      <c r="I825" s="120"/>
      <c r="J825" s="730"/>
      <c r="K825" s="667"/>
      <c r="L825" s="649"/>
      <c r="M825" s="666">
        <f>37800+5000</f>
        <v>42800</v>
      </c>
      <c r="N825" s="667">
        <v>23965</v>
      </c>
      <c r="O825" s="492">
        <f t="shared" si="95"/>
        <v>55.99299065420561</v>
      </c>
      <c r="P825" s="667"/>
      <c r="Q825" s="667"/>
      <c r="R825" s="737"/>
    </row>
    <row r="826" spans="1:18" s="882" customFormat="1" ht="24">
      <c r="A826" s="728">
        <v>6050</v>
      </c>
      <c r="B826" s="735" t="s">
        <v>739</v>
      </c>
      <c r="C826" s="666">
        <v>54700</v>
      </c>
      <c r="D826" s="643">
        <f t="shared" si="90"/>
        <v>151940</v>
      </c>
      <c r="E826" s="667">
        <f t="shared" si="94"/>
        <v>124866</v>
      </c>
      <c r="F826" s="644">
        <f t="shared" si="93"/>
        <v>82.18112412794524</v>
      </c>
      <c r="G826" s="667"/>
      <c r="H826" s="730"/>
      <c r="I826" s="120"/>
      <c r="J826" s="730"/>
      <c r="K826" s="667"/>
      <c r="L826" s="649"/>
      <c r="M826" s="666">
        <f>54700+16200+81040</f>
        <v>151940</v>
      </c>
      <c r="N826" s="667">
        <v>124866</v>
      </c>
      <c r="O826" s="492">
        <f t="shared" si="95"/>
        <v>82.18112412794524</v>
      </c>
      <c r="P826" s="667"/>
      <c r="Q826" s="667"/>
      <c r="R826" s="737"/>
    </row>
    <row r="827" spans="1:18" s="882" customFormat="1" ht="36" hidden="1">
      <c r="A827" s="728">
        <v>6060</v>
      </c>
      <c r="B827" s="735" t="s">
        <v>856</v>
      </c>
      <c r="C827" s="666"/>
      <c r="D827" s="643">
        <f t="shared" si="90"/>
        <v>0</v>
      </c>
      <c r="E827" s="667">
        <f t="shared" si="94"/>
        <v>0</v>
      </c>
      <c r="F827" s="644" t="e">
        <f t="shared" si="93"/>
        <v>#DIV/0!</v>
      </c>
      <c r="G827" s="667"/>
      <c r="H827" s="730"/>
      <c r="I827" s="120"/>
      <c r="J827" s="730"/>
      <c r="K827" s="667"/>
      <c r="L827" s="649"/>
      <c r="M827" s="666">
        <f>31100-31100</f>
        <v>0</v>
      </c>
      <c r="N827" s="785"/>
      <c r="O827" s="492"/>
      <c r="P827" s="667"/>
      <c r="Q827" s="667"/>
      <c r="R827" s="737"/>
    </row>
    <row r="828" spans="1:18" s="864" customFormat="1" ht="30" customHeight="1" hidden="1">
      <c r="A828" s="787">
        <v>80133</v>
      </c>
      <c r="B828" s="856" t="s">
        <v>10</v>
      </c>
      <c r="C828" s="673">
        <f>SUM(C829)</f>
        <v>0</v>
      </c>
      <c r="D828" s="674"/>
      <c r="E828" s="674"/>
      <c r="F828" s="658"/>
      <c r="G828" s="674"/>
      <c r="H828" s="677"/>
      <c r="I828" s="280"/>
      <c r="J828" s="677"/>
      <c r="K828" s="674"/>
      <c r="L828" s="663"/>
      <c r="M828" s="673"/>
      <c r="N828" s="674"/>
      <c r="O828" s="890"/>
      <c r="P828" s="674"/>
      <c r="Q828" s="674"/>
      <c r="R828" s="828"/>
    </row>
    <row r="829" spans="1:18" s="882" customFormat="1" ht="60" hidden="1">
      <c r="A829" s="728">
        <v>2540</v>
      </c>
      <c r="B829" s="735" t="s">
        <v>11</v>
      </c>
      <c r="C829" s="666">
        <v>0</v>
      </c>
      <c r="D829" s="643"/>
      <c r="E829" s="894"/>
      <c r="F829" s="658"/>
      <c r="G829" s="667"/>
      <c r="H829" s="730"/>
      <c r="I829" s="120"/>
      <c r="J829" s="730"/>
      <c r="K829" s="667"/>
      <c r="L829" s="649"/>
      <c r="M829" s="666"/>
      <c r="N829" s="667"/>
      <c r="O829" s="492"/>
      <c r="P829" s="667"/>
      <c r="Q829" s="667"/>
      <c r="R829" s="737"/>
    </row>
    <row r="830" spans="1:18" s="882" customFormat="1" ht="26.25" customHeight="1">
      <c r="A830" s="724">
        <v>80134</v>
      </c>
      <c r="B830" s="854" t="s">
        <v>12</v>
      </c>
      <c r="C830" s="726">
        <f>SUM(C831:C850)</f>
        <v>1257700</v>
      </c>
      <c r="D830" s="674">
        <f>G830+J830+P830+M830</f>
        <v>1253040</v>
      </c>
      <c r="E830" s="657">
        <f>H830+K830+Q830+N830</f>
        <v>929349</v>
      </c>
      <c r="F830" s="658">
        <f aca="true" t="shared" si="96" ref="F830:F875">E830/D830*100</f>
        <v>74.16754453169891</v>
      </c>
      <c r="G830" s="895"/>
      <c r="H830" s="896"/>
      <c r="I830" s="280"/>
      <c r="J830" s="896"/>
      <c r="K830" s="895"/>
      <c r="L830" s="897"/>
      <c r="M830" s="841">
        <f>SUM(M831:M850)</f>
        <v>1253040</v>
      </c>
      <c r="N830" s="657">
        <f>SUM(N831:N850)</f>
        <v>929349</v>
      </c>
      <c r="O830" s="890">
        <f aca="true" t="shared" si="97" ref="O830:O875">N830/M830*100</f>
        <v>74.16754453169891</v>
      </c>
      <c r="P830" s="657"/>
      <c r="Q830" s="657"/>
      <c r="R830" s="842"/>
    </row>
    <row r="831" spans="1:18" s="882" customFormat="1" ht="36">
      <c r="A831" s="709">
        <v>3020</v>
      </c>
      <c r="B831" s="776" t="s">
        <v>1020</v>
      </c>
      <c r="C831" s="670">
        <v>3800</v>
      </c>
      <c r="D831" s="685">
        <f aca="true" t="shared" si="98" ref="D831:D845">G831+J831+P831+M831</f>
        <v>3800</v>
      </c>
      <c r="E831" s="686">
        <f aca="true" t="shared" si="99" ref="E831:E836">SUM(H831+K831+N831+Q831)</f>
        <v>894</v>
      </c>
      <c r="F831" s="668">
        <f t="shared" si="96"/>
        <v>23.526315789473685</v>
      </c>
      <c r="G831" s="686"/>
      <c r="H831" s="777"/>
      <c r="I831" s="140"/>
      <c r="J831" s="777"/>
      <c r="K831" s="686"/>
      <c r="L831" s="690"/>
      <c r="M831" s="670">
        <v>3800</v>
      </c>
      <c r="N831" s="686">
        <v>894</v>
      </c>
      <c r="O831" s="758">
        <f t="shared" si="97"/>
        <v>23.526315789473685</v>
      </c>
      <c r="P831" s="686"/>
      <c r="Q831" s="686"/>
      <c r="R831" s="760"/>
    </row>
    <row r="832" spans="1:18" s="882" customFormat="1" ht="28.5" customHeight="1">
      <c r="A832" s="728">
        <v>4010</v>
      </c>
      <c r="B832" s="735" t="s">
        <v>697</v>
      </c>
      <c r="C832" s="666">
        <v>873800</v>
      </c>
      <c r="D832" s="643">
        <f t="shared" si="98"/>
        <v>877300</v>
      </c>
      <c r="E832" s="667">
        <f t="shared" si="99"/>
        <v>643095</v>
      </c>
      <c r="F832" s="644">
        <f t="shared" si="96"/>
        <v>73.30388692579504</v>
      </c>
      <c r="G832" s="667"/>
      <c r="H832" s="730"/>
      <c r="I832" s="120"/>
      <c r="J832" s="730"/>
      <c r="K832" s="667"/>
      <c r="L832" s="649"/>
      <c r="M832" s="666">
        <f>873800+3500</f>
        <v>877300</v>
      </c>
      <c r="N832" s="667">
        <v>643095</v>
      </c>
      <c r="O832" s="492">
        <f t="shared" si="97"/>
        <v>73.30388692579504</v>
      </c>
      <c r="P832" s="667"/>
      <c r="Q832" s="667"/>
      <c r="R832" s="737"/>
    </row>
    <row r="833" spans="1:18" s="882" customFormat="1" ht="24.75" customHeight="1">
      <c r="A833" s="728">
        <v>4040</v>
      </c>
      <c r="B833" s="735" t="s">
        <v>701</v>
      </c>
      <c r="C833" s="666">
        <v>67600</v>
      </c>
      <c r="D833" s="643">
        <f t="shared" si="98"/>
        <v>63840</v>
      </c>
      <c r="E833" s="667">
        <f t="shared" si="99"/>
        <v>63834</v>
      </c>
      <c r="F833" s="644">
        <f t="shared" si="96"/>
        <v>99.99060150375941</v>
      </c>
      <c r="G833" s="667"/>
      <c r="H833" s="730"/>
      <c r="I833" s="120"/>
      <c r="J833" s="730"/>
      <c r="K833" s="667"/>
      <c r="L833" s="649"/>
      <c r="M833" s="666">
        <f>67600-3760</f>
        <v>63840</v>
      </c>
      <c r="N833" s="667">
        <f>63835-1</f>
        <v>63834</v>
      </c>
      <c r="O833" s="492">
        <f t="shared" si="97"/>
        <v>99.99060150375941</v>
      </c>
      <c r="P833" s="667"/>
      <c r="Q833" s="667"/>
      <c r="R833" s="737"/>
    </row>
    <row r="834" spans="1:18" s="882" customFormat="1" ht="23.25" customHeight="1">
      <c r="A834" s="728">
        <v>4110</v>
      </c>
      <c r="B834" s="735" t="s">
        <v>703</v>
      </c>
      <c r="C834" s="666">
        <v>154000</v>
      </c>
      <c r="D834" s="643">
        <f t="shared" si="98"/>
        <v>154500</v>
      </c>
      <c r="E834" s="667">
        <f t="shared" si="99"/>
        <v>102015</v>
      </c>
      <c r="F834" s="644">
        <f t="shared" si="96"/>
        <v>66.02912621359224</v>
      </c>
      <c r="G834" s="667"/>
      <c r="H834" s="730"/>
      <c r="I834" s="120"/>
      <c r="J834" s="730"/>
      <c r="K834" s="667"/>
      <c r="L834" s="649"/>
      <c r="M834" s="666">
        <f>154000+500</f>
        <v>154500</v>
      </c>
      <c r="N834" s="667">
        <v>102015</v>
      </c>
      <c r="O834" s="492">
        <f t="shared" si="97"/>
        <v>66.02912621359224</v>
      </c>
      <c r="P834" s="667"/>
      <c r="Q834" s="667"/>
      <c r="R834" s="737"/>
    </row>
    <row r="835" spans="1:18" s="882" customFormat="1" ht="15" customHeight="1">
      <c r="A835" s="762">
        <v>4120</v>
      </c>
      <c r="B835" s="780" t="s">
        <v>847</v>
      </c>
      <c r="C835" s="781">
        <v>22900</v>
      </c>
      <c r="D835" s="765">
        <f t="shared" si="98"/>
        <v>23000</v>
      </c>
      <c r="E835" s="785">
        <f t="shared" si="99"/>
        <v>15423</v>
      </c>
      <c r="F835" s="705">
        <f t="shared" si="96"/>
        <v>67.05652173913043</v>
      </c>
      <c r="G835" s="785"/>
      <c r="H835" s="782"/>
      <c r="I835" s="299"/>
      <c r="J835" s="782"/>
      <c r="K835" s="785"/>
      <c r="L835" s="768"/>
      <c r="M835" s="781">
        <f>22900+100</f>
        <v>23000</v>
      </c>
      <c r="N835" s="785">
        <v>15423</v>
      </c>
      <c r="O835" s="766">
        <f t="shared" si="97"/>
        <v>67.05652173913043</v>
      </c>
      <c r="P835" s="785"/>
      <c r="Q835" s="785"/>
      <c r="R835" s="770"/>
    </row>
    <row r="836" spans="1:18" s="882" customFormat="1" ht="24.75" customHeight="1">
      <c r="A836" s="728">
        <v>4210</v>
      </c>
      <c r="B836" s="735" t="s">
        <v>707</v>
      </c>
      <c r="C836" s="666">
        <v>14000</v>
      </c>
      <c r="D836" s="643">
        <f t="shared" si="98"/>
        <v>17000</v>
      </c>
      <c r="E836" s="667">
        <f t="shared" si="99"/>
        <v>10554</v>
      </c>
      <c r="F836" s="644">
        <f t="shared" si="96"/>
        <v>62.08235294117647</v>
      </c>
      <c r="G836" s="667"/>
      <c r="H836" s="730"/>
      <c r="I836" s="120"/>
      <c r="J836" s="730"/>
      <c r="K836" s="667"/>
      <c r="L836" s="649"/>
      <c r="M836" s="666">
        <f>14000+3000</f>
        <v>17000</v>
      </c>
      <c r="N836" s="667">
        <v>10554</v>
      </c>
      <c r="O836" s="492">
        <f t="shared" si="97"/>
        <v>62.08235294117647</v>
      </c>
      <c r="P836" s="667"/>
      <c r="Q836" s="667"/>
      <c r="R836" s="737"/>
    </row>
    <row r="837" spans="1:18" s="882" customFormat="1" ht="37.5" customHeight="1">
      <c r="A837" s="728">
        <v>4240</v>
      </c>
      <c r="B837" s="735" t="s">
        <v>832</v>
      </c>
      <c r="C837" s="666">
        <v>2000</v>
      </c>
      <c r="D837" s="643">
        <f t="shared" si="98"/>
        <v>2000</v>
      </c>
      <c r="E837" s="643">
        <f>H837+K837+Q837+N837</f>
        <v>1533</v>
      </c>
      <c r="F837" s="644">
        <f t="shared" si="96"/>
        <v>76.64999999999999</v>
      </c>
      <c r="G837" s="667"/>
      <c r="H837" s="730"/>
      <c r="I837" s="120"/>
      <c r="J837" s="730"/>
      <c r="K837" s="667"/>
      <c r="L837" s="649"/>
      <c r="M837" s="666">
        <v>2000</v>
      </c>
      <c r="N837" s="667">
        <v>1533</v>
      </c>
      <c r="O837" s="492">
        <f t="shared" si="97"/>
        <v>76.64999999999999</v>
      </c>
      <c r="P837" s="667"/>
      <c r="Q837" s="667"/>
      <c r="R837" s="737"/>
    </row>
    <row r="838" spans="1:18" s="882" customFormat="1" ht="15.75" customHeight="1">
      <c r="A838" s="728">
        <v>4260</v>
      </c>
      <c r="B838" s="735" t="s">
        <v>711</v>
      </c>
      <c r="C838" s="666">
        <v>30000</v>
      </c>
      <c r="D838" s="643">
        <f t="shared" si="98"/>
        <v>30000</v>
      </c>
      <c r="E838" s="643">
        <f>H838+K838+Q838+N838</f>
        <v>25000</v>
      </c>
      <c r="F838" s="644">
        <f t="shared" si="96"/>
        <v>83.33333333333334</v>
      </c>
      <c r="G838" s="667"/>
      <c r="H838" s="730"/>
      <c r="I838" s="120"/>
      <c r="J838" s="730"/>
      <c r="K838" s="667"/>
      <c r="L838" s="649"/>
      <c r="M838" s="666">
        <v>30000</v>
      </c>
      <c r="N838" s="667">
        <v>25000</v>
      </c>
      <c r="O838" s="492">
        <f t="shared" si="97"/>
        <v>83.33333333333334</v>
      </c>
      <c r="P838" s="667"/>
      <c r="Q838" s="667"/>
      <c r="R838" s="737"/>
    </row>
    <row r="839" spans="1:18" s="882" customFormat="1" ht="19.5" customHeight="1">
      <c r="A839" s="728">
        <v>4270</v>
      </c>
      <c r="B839" s="735" t="s">
        <v>713</v>
      </c>
      <c r="C839" s="666">
        <v>1400</v>
      </c>
      <c r="D839" s="643">
        <f t="shared" si="98"/>
        <v>1400</v>
      </c>
      <c r="E839" s="643">
        <f>H839+K839+Q839+N839</f>
        <v>915</v>
      </c>
      <c r="F839" s="644">
        <f t="shared" si="96"/>
        <v>65.35714285714286</v>
      </c>
      <c r="G839" s="667"/>
      <c r="H839" s="730"/>
      <c r="I839" s="120"/>
      <c r="J839" s="730"/>
      <c r="K839" s="667"/>
      <c r="L839" s="649"/>
      <c r="M839" s="666">
        <v>1400</v>
      </c>
      <c r="N839" s="667">
        <v>915</v>
      </c>
      <c r="O839" s="492">
        <f t="shared" si="97"/>
        <v>65.35714285714286</v>
      </c>
      <c r="P839" s="667"/>
      <c r="Q839" s="667"/>
      <c r="R839" s="737"/>
    </row>
    <row r="840" spans="1:18" s="882" customFormat="1" ht="21.75" customHeight="1">
      <c r="A840" s="728">
        <v>4280</v>
      </c>
      <c r="B840" s="735" t="s">
        <v>805</v>
      </c>
      <c r="C840" s="666">
        <v>900</v>
      </c>
      <c r="D840" s="643">
        <f t="shared" si="98"/>
        <v>900</v>
      </c>
      <c r="E840" s="643">
        <f>H840+K840+Q840+N840</f>
        <v>299</v>
      </c>
      <c r="F840" s="644">
        <f t="shared" si="96"/>
        <v>33.22222222222222</v>
      </c>
      <c r="G840" s="667"/>
      <c r="H840" s="730"/>
      <c r="I840" s="120"/>
      <c r="J840" s="730"/>
      <c r="K840" s="667"/>
      <c r="L840" s="649"/>
      <c r="M840" s="666">
        <v>900</v>
      </c>
      <c r="N840" s="667">
        <v>299</v>
      </c>
      <c r="O840" s="492">
        <f t="shared" si="97"/>
        <v>33.22222222222222</v>
      </c>
      <c r="P840" s="667"/>
      <c r="Q840" s="667"/>
      <c r="R840" s="737"/>
    </row>
    <row r="841" spans="1:18" s="882" customFormat="1" ht="16.5" customHeight="1">
      <c r="A841" s="728">
        <v>4300</v>
      </c>
      <c r="B841" s="735" t="s">
        <v>715</v>
      </c>
      <c r="C841" s="666">
        <v>28400</v>
      </c>
      <c r="D841" s="643">
        <f t="shared" si="98"/>
        <v>30800</v>
      </c>
      <c r="E841" s="667">
        <f aca="true" t="shared" si="100" ref="E841:E850">SUM(H841+K841+N841+Q841)</f>
        <v>20237</v>
      </c>
      <c r="F841" s="644">
        <f t="shared" si="96"/>
        <v>65.70454545454545</v>
      </c>
      <c r="G841" s="667"/>
      <c r="H841" s="730"/>
      <c r="I841" s="120"/>
      <c r="J841" s="730"/>
      <c r="K841" s="667"/>
      <c r="L841" s="649"/>
      <c r="M841" s="666">
        <f>28400+2400</f>
        <v>30800</v>
      </c>
      <c r="N841" s="667">
        <v>20237</v>
      </c>
      <c r="O841" s="492">
        <f t="shared" si="97"/>
        <v>65.70454545454545</v>
      </c>
      <c r="P841" s="667"/>
      <c r="Q841" s="667"/>
      <c r="R841" s="737"/>
    </row>
    <row r="842" spans="1:18" s="882" customFormat="1" ht="24">
      <c r="A842" s="728">
        <v>4350</v>
      </c>
      <c r="B842" s="735" t="s">
        <v>807</v>
      </c>
      <c r="C842" s="666">
        <v>600</v>
      </c>
      <c r="D842" s="643">
        <f t="shared" si="98"/>
        <v>600</v>
      </c>
      <c r="E842" s="667">
        <f t="shared" si="100"/>
        <v>420</v>
      </c>
      <c r="F842" s="644">
        <f t="shared" si="96"/>
        <v>70</v>
      </c>
      <c r="G842" s="667"/>
      <c r="H842" s="730"/>
      <c r="I842" s="120"/>
      <c r="J842" s="730"/>
      <c r="K842" s="667"/>
      <c r="L842" s="649"/>
      <c r="M842" s="666">
        <v>600</v>
      </c>
      <c r="N842" s="667">
        <v>420</v>
      </c>
      <c r="O842" s="492">
        <f t="shared" si="97"/>
        <v>70</v>
      </c>
      <c r="P842" s="667"/>
      <c r="Q842" s="667"/>
      <c r="R842" s="737"/>
    </row>
    <row r="843" spans="1:18" s="882" customFormat="1" ht="48">
      <c r="A843" s="829">
        <v>4360</v>
      </c>
      <c r="B843" s="850" t="s">
        <v>982</v>
      </c>
      <c r="C843" s="666">
        <v>200</v>
      </c>
      <c r="D843" s="643">
        <f t="shared" si="98"/>
        <v>200</v>
      </c>
      <c r="E843" s="667">
        <f t="shared" si="100"/>
        <v>132</v>
      </c>
      <c r="F843" s="644">
        <f t="shared" si="96"/>
        <v>66</v>
      </c>
      <c r="G843" s="667"/>
      <c r="H843" s="730"/>
      <c r="I843" s="120"/>
      <c r="J843" s="730"/>
      <c r="K843" s="667"/>
      <c r="L843" s="649"/>
      <c r="M843" s="666">
        <v>200</v>
      </c>
      <c r="N843" s="667">
        <v>132</v>
      </c>
      <c r="O843" s="492">
        <f t="shared" si="97"/>
        <v>66</v>
      </c>
      <c r="P843" s="667"/>
      <c r="Q843" s="667"/>
      <c r="R843" s="737"/>
    </row>
    <row r="844" spans="1:18" s="882" customFormat="1" ht="48">
      <c r="A844" s="829">
        <v>4370</v>
      </c>
      <c r="B844" s="850" t="s">
        <v>916</v>
      </c>
      <c r="C844" s="666">
        <v>1400</v>
      </c>
      <c r="D844" s="643">
        <f t="shared" si="98"/>
        <v>1400</v>
      </c>
      <c r="E844" s="667">
        <f t="shared" si="100"/>
        <v>810</v>
      </c>
      <c r="F844" s="644">
        <f t="shared" si="96"/>
        <v>57.85714285714286</v>
      </c>
      <c r="G844" s="667"/>
      <c r="H844" s="730"/>
      <c r="I844" s="120"/>
      <c r="J844" s="730"/>
      <c r="K844" s="667"/>
      <c r="L844" s="649"/>
      <c r="M844" s="666">
        <v>1400</v>
      </c>
      <c r="N844" s="667">
        <v>810</v>
      </c>
      <c r="O844" s="492">
        <f t="shared" si="97"/>
        <v>57.85714285714286</v>
      </c>
      <c r="P844" s="667"/>
      <c r="Q844" s="667"/>
      <c r="R844" s="737"/>
    </row>
    <row r="845" spans="1:18" s="882" customFormat="1" ht="36">
      <c r="A845" s="728">
        <v>4390</v>
      </c>
      <c r="B845" s="865" t="s">
        <v>743</v>
      </c>
      <c r="C845" s="666">
        <v>1400</v>
      </c>
      <c r="D845" s="643">
        <f t="shared" si="98"/>
        <v>1400</v>
      </c>
      <c r="E845" s="667">
        <f t="shared" si="100"/>
        <v>1338</v>
      </c>
      <c r="F845" s="644">
        <f t="shared" si="96"/>
        <v>95.57142857142857</v>
      </c>
      <c r="G845" s="667"/>
      <c r="H845" s="730"/>
      <c r="I845" s="120"/>
      <c r="J845" s="730"/>
      <c r="K845" s="667"/>
      <c r="L845" s="649"/>
      <c r="M845" s="666">
        <v>1400</v>
      </c>
      <c r="N845" s="667">
        <v>1338</v>
      </c>
      <c r="O845" s="492">
        <f t="shared" si="97"/>
        <v>95.57142857142857</v>
      </c>
      <c r="P845" s="667"/>
      <c r="Q845" s="667"/>
      <c r="R845" s="737"/>
    </row>
    <row r="846" spans="1:18" s="882" customFormat="1" ht="16.5" customHeight="1">
      <c r="A846" s="728">
        <v>4410</v>
      </c>
      <c r="B846" s="735" t="s">
        <v>689</v>
      </c>
      <c r="C846" s="666">
        <v>900</v>
      </c>
      <c r="D846" s="643">
        <f>G846+J846+P846+M846</f>
        <v>900</v>
      </c>
      <c r="E846" s="667">
        <f t="shared" si="100"/>
        <v>879</v>
      </c>
      <c r="F846" s="644">
        <f t="shared" si="96"/>
        <v>97.66666666666667</v>
      </c>
      <c r="G846" s="667"/>
      <c r="H846" s="730"/>
      <c r="I846" s="120"/>
      <c r="J846" s="730"/>
      <c r="K846" s="667"/>
      <c r="L846" s="649"/>
      <c r="M846" s="666">
        <v>900</v>
      </c>
      <c r="N846" s="667">
        <v>879</v>
      </c>
      <c r="O846" s="492">
        <f t="shared" si="97"/>
        <v>97.66666666666667</v>
      </c>
      <c r="P846" s="667"/>
      <c r="Q846" s="667"/>
      <c r="R846" s="737"/>
    </row>
    <row r="847" spans="1:18" s="882" customFormat="1" ht="12.75">
      <c r="A847" s="728">
        <v>4440</v>
      </c>
      <c r="B847" s="735" t="s">
        <v>719</v>
      </c>
      <c r="C847" s="666">
        <v>50700</v>
      </c>
      <c r="D847" s="643">
        <f>G847+J847+P847+M847</f>
        <v>40600</v>
      </c>
      <c r="E847" s="667">
        <f t="shared" si="100"/>
        <v>40600</v>
      </c>
      <c r="F847" s="644">
        <f t="shared" si="96"/>
        <v>100</v>
      </c>
      <c r="G847" s="667"/>
      <c r="H847" s="730"/>
      <c r="I847" s="120"/>
      <c r="J847" s="730"/>
      <c r="K847" s="667"/>
      <c r="L847" s="649"/>
      <c r="M847" s="666">
        <f>50700-12100+2000</f>
        <v>40600</v>
      </c>
      <c r="N847" s="667">
        <v>40600</v>
      </c>
      <c r="O847" s="492">
        <f t="shared" si="97"/>
        <v>100</v>
      </c>
      <c r="P847" s="667"/>
      <c r="Q847" s="667"/>
      <c r="R847" s="737"/>
    </row>
    <row r="848" spans="1:18" s="882" customFormat="1" ht="36">
      <c r="A848" s="829">
        <v>4700</v>
      </c>
      <c r="B848" s="850" t="s">
        <v>813</v>
      </c>
      <c r="C848" s="666">
        <v>1100</v>
      </c>
      <c r="D848" s="643">
        <f>G848+J848+P848+M848</f>
        <v>1100</v>
      </c>
      <c r="E848" s="667">
        <f t="shared" si="100"/>
        <v>522</v>
      </c>
      <c r="F848" s="644">
        <f t="shared" si="96"/>
        <v>47.45454545454545</v>
      </c>
      <c r="G848" s="667"/>
      <c r="H848" s="730"/>
      <c r="I848" s="120"/>
      <c r="J848" s="730"/>
      <c r="K848" s="667"/>
      <c r="L848" s="649"/>
      <c r="M848" s="666">
        <v>1100</v>
      </c>
      <c r="N848" s="667">
        <v>522</v>
      </c>
      <c r="O848" s="492">
        <f t="shared" si="97"/>
        <v>47.45454545454545</v>
      </c>
      <c r="P848" s="667"/>
      <c r="Q848" s="667"/>
      <c r="R848" s="737"/>
    </row>
    <row r="849" spans="1:18" s="882" customFormat="1" ht="60">
      <c r="A849" s="829">
        <v>4740</v>
      </c>
      <c r="B849" s="850" t="s">
        <v>728</v>
      </c>
      <c r="C849" s="666">
        <v>800</v>
      </c>
      <c r="D849" s="643">
        <f>G849+J849+P849+M849</f>
        <v>800</v>
      </c>
      <c r="E849" s="667">
        <f t="shared" si="100"/>
        <v>195</v>
      </c>
      <c r="F849" s="644">
        <f t="shared" si="96"/>
        <v>24.375</v>
      </c>
      <c r="G849" s="667"/>
      <c r="H849" s="730"/>
      <c r="I849" s="120"/>
      <c r="J849" s="730"/>
      <c r="K849" s="667"/>
      <c r="L849" s="649"/>
      <c r="M849" s="666">
        <v>800</v>
      </c>
      <c r="N849" s="667">
        <v>195</v>
      </c>
      <c r="O849" s="492">
        <f t="shared" si="97"/>
        <v>24.375</v>
      </c>
      <c r="P849" s="667"/>
      <c r="Q849" s="667"/>
      <c r="R849" s="737"/>
    </row>
    <row r="850" spans="1:18" s="882" customFormat="1" ht="36">
      <c r="A850" s="829">
        <v>4750</v>
      </c>
      <c r="B850" s="850" t="s">
        <v>814</v>
      </c>
      <c r="C850" s="666">
        <v>1800</v>
      </c>
      <c r="D850" s="765">
        <f aca="true" t="shared" si="101" ref="D850:E883">G850+J850+P850+M850</f>
        <v>1500</v>
      </c>
      <c r="E850" s="785">
        <f t="shared" si="100"/>
        <v>654</v>
      </c>
      <c r="F850" s="705">
        <f t="shared" si="96"/>
        <v>43.6</v>
      </c>
      <c r="G850" s="785"/>
      <c r="H850" s="782"/>
      <c r="I850" s="299"/>
      <c r="J850" s="782"/>
      <c r="K850" s="785"/>
      <c r="L850" s="768"/>
      <c r="M850" s="666">
        <f>1800-300</f>
        <v>1500</v>
      </c>
      <c r="N850" s="785">
        <v>654</v>
      </c>
      <c r="O850" s="492">
        <f t="shared" si="97"/>
        <v>43.6</v>
      </c>
      <c r="P850" s="785"/>
      <c r="Q850" s="785"/>
      <c r="R850" s="770"/>
    </row>
    <row r="851" spans="1:18" s="882" customFormat="1" ht="60">
      <c r="A851" s="724">
        <v>80140</v>
      </c>
      <c r="B851" s="854" t="s">
        <v>13</v>
      </c>
      <c r="C851" s="726">
        <f>SUM(C852:C875)</f>
        <v>2464400</v>
      </c>
      <c r="D851" s="674">
        <f t="shared" si="101"/>
        <v>2583091</v>
      </c>
      <c r="E851" s="657">
        <f>H851+K851+Q851+N851</f>
        <v>1870623</v>
      </c>
      <c r="F851" s="658">
        <f t="shared" si="96"/>
        <v>72.41800617941838</v>
      </c>
      <c r="G851" s="895"/>
      <c r="H851" s="896"/>
      <c r="I851" s="280"/>
      <c r="J851" s="896"/>
      <c r="K851" s="895"/>
      <c r="L851" s="897"/>
      <c r="M851" s="726">
        <f>SUM(M852:M875)</f>
        <v>2583091</v>
      </c>
      <c r="N851" s="657">
        <f>SUM(N852:N875)</f>
        <v>1870623</v>
      </c>
      <c r="O851" s="890">
        <f t="shared" si="97"/>
        <v>72.41800617941838</v>
      </c>
      <c r="P851" s="657"/>
      <c r="Q851" s="657"/>
      <c r="R851" s="842"/>
    </row>
    <row r="852" spans="1:18" s="882" customFormat="1" ht="36">
      <c r="A852" s="728">
        <v>3020</v>
      </c>
      <c r="B852" s="735" t="s">
        <v>1020</v>
      </c>
      <c r="C852" s="666">
        <v>7000</v>
      </c>
      <c r="D852" s="643">
        <f t="shared" si="101"/>
        <v>14000</v>
      </c>
      <c r="E852" s="667">
        <f aca="true" t="shared" si="102" ref="E852:E875">SUM(H852+K852+N852+Q852)</f>
        <v>9157</v>
      </c>
      <c r="F852" s="644">
        <f t="shared" si="96"/>
        <v>65.40714285714286</v>
      </c>
      <c r="G852" s="667"/>
      <c r="H852" s="730"/>
      <c r="I852" s="120"/>
      <c r="J852" s="730"/>
      <c r="K852" s="667"/>
      <c r="L852" s="649"/>
      <c r="M852" s="666">
        <f>7000+7000</f>
        <v>14000</v>
      </c>
      <c r="N852" s="667">
        <v>9157</v>
      </c>
      <c r="O852" s="492">
        <f t="shared" si="97"/>
        <v>65.40714285714286</v>
      </c>
      <c r="P852" s="667"/>
      <c r="Q852" s="667"/>
      <c r="R852" s="737"/>
    </row>
    <row r="853" spans="1:18" s="882" customFormat="1" ht="24">
      <c r="A853" s="728">
        <v>4010</v>
      </c>
      <c r="B853" s="735" t="s">
        <v>697</v>
      </c>
      <c r="C853" s="666">
        <v>1560000</v>
      </c>
      <c r="D853" s="643">
        <f t="shared" si="101"/>
        <v>1560000</v>
      </c>
      <c r="E853" s="667">
        <f t="shared" si="102"/>
        <v>1181141</v>
      </c>
      <c r="F853" s="644">
        <f t="shared" si="96"/>
        <v>75.71416666666667</v>
      </c>
      <c r="G853" s="667"/>
      <c r="H853" s="730"/>
      <c r="I853" s="120"/>
      <c r="J853" s="730"/>
      <c r="K853" s="667"/>
      <c r="L853" s="649"/>
      <c r="M853" s="666">
        <v>1560000</v>
      </c>
      <c r="N853" s="667">
        <v>1181141</v>
      </c>
      <c r="O853" s="492">
        <f t="shared" si="97"/>
        <v>75.71416666666667</v>
      </c>
      <c r="P853" s="667"/>
      <c r="Q853" s="667"/>
      <c r="R853" s="737"/>
    </row>
    <row r="854" spans="1:18" s="882" customFormat="1" ht="24">
      <c r="A854" s="728">
        <v>4040</v>
      </c>
      <c r="B854" s="735" t="s">
        <v>701</v>
      </c>
      <c r="C854" s="666">
        <v>130000</v>
      </c>
      <c r="D854" s="643">
        <f t="shared" si="101"/>
        <v>131414</v>
      </c>
      <c r="E854" s="667">
        <f t="shared" si="102"/>
        <v>131414</v>
      </c>
      <c r="F854" s="644">
        <f t="shared" si="96"/>
        <v>100</v>
      </c>
      <c r="G854" s="667"/>
      <c r="H854" s="730"/>
      <c r="I854" s="120"/>
      <c r="J854" s="730"/>
      <c r="K854" s="667"/>
      <c r="L854" s="649"/>
      <c r="M854" s="666">
        <f>130000+1414</f>
        <v>131414</v>
      </c>
      <c r="N854" s="667">
        <v>131414</v>
      </c>
      <c r="O854" s="492">
        <f t="shared" si="97"/>
        <v>100</v>
      </c>
      <c r="P854" s="667"/>
      <c r="Q854" s="667"/>
      <c r="R854" s="737"/>
    </row>
    <row r="855" spans="1:18" s="882" customFormat="1" ht="24">
      <c r="A855" s="728">
        <v>4110</v>
      </c>
      <c r="B855" s="735" t="s">
        <v>703</v>
      </c>
      <c r="C855" s="666">
        <v>280000</v>
      </c>
      <c r="D855" s="643">
        <f t="shared" si="101"/>
        <v>280000</v>
      </c>
      <c r="E855" s="667">
        <f t="shared" si="102"/>
        <v>197100</v>
      </c>
      <c r="F855" s="644">
        <f t="shared" si="96"/>
        <v>70.39285714285714</v>
      </c>
      <c r="G855" s="667"/>
      <c r="H855" s="730"/>
      <c r="I855" s="120"/>
      <c r="J855" s="730"/>
      <c r="K855" s="667"/>
      <c r="L855" s="649"/>
      <c r="M855" s="666">
        <v>280000</v>
      </c>
      <c r="N855" s="667">
        <v>197100</v>
      </c>
      <c r="O855" s="492">
        <f t="shared" si="97"/>
        <v>70.39285714285714</v>
      </c>
      <c r="P855" s="667"/>
      <c r="Q855" s="667"/>
      <c r="R855" s="737"/>
    </row>
    <row r="856" spans="1:18" s="882" customFormat="1" ht="12.75">
      <c r="A856" s="728">
        <v>4120</v>
      </c>
      <c r="B856" s="735" t="s">
        <v>847</v>
      </c>
      <c r="C856" s="666">
        <v>41000</v>
      </c>
      <c r="D856" s="643">
        <f t="shared" si="101"/>
        <v>41000</v>
      </c>
      <c r="E856" s="667">
        <f t="shared" si="102"/>
        <v>31570</v>
      </c>
      <c r="F856" s="644">
        <f t="shared" si="96"/>
        <v>77</v>
      </c>
      <c r="G856" s="667"/>
      <c r="H856" s="730"/>
      <c r="I856" s="120"/>
      <c r="J856" s="730"/>
      <c r="K856" s="667"/>
      <c r="L856" s="649"/>
      <c r="M856" s="666">
        <v>41000</v>
      </c>
      <c r="N856" s="667">
        <v>31570</v>
      </c>
      <c r="O856" s="492">
        <f t="shared" si="97"/>
        <v>77</v>
      </c>
      <c r="P856" s="667"/>
      <c r="Q856" s="667"/>
      <c r="R856" s="737"/>
    </row>
    <row r="857" spans="1:18" s="882" customFormat="1" ht="12.75">
      <c r="A857" s="728">
        <v>4140</v>
      </c>
      <c r="B857" s="735" t="s">
        <v>804</v>
      </c>
      <c r="C857" s="666">
        <v>28300</v>
      </c>
      <c r="D857" s="643">
        <f t="shared" si="101"/>
        <v>28300</v>
      </c>
      <c r="E857" s="667">
        <f>SUM(H857+K857+N857+Q857)</f>
        <v>9870</v>
      </c>
      <c r="F857" s="644">
        <f>E857/D857*100</f>
        <v>34.87632508833922</v>
      </c>
      <c r="G857" s="667"/>
      <c r="H857" s="730"/>
      <c r="I857" s="120"/>
      <c r="J857" s="730"/>
      <c r="K857" s="667"/>
      <c r="L857" s="649"/>
      <c r="M857" s="666">
        <v>28300</v>
      </c>
      <c r="N857" s="667">
        <v>9870</v>
      </c>
      <c r="O857" s="492">
        <f t="shared" si="97"/>
        <v>34.87632508833922</v>
      </c>
      <c r="P857" s="667"/>
      <c r="Q857" s="667"/>
      <c r="R857" s="737"/>
    </row>
    <row r="858" spans="1:18" s="882" customFormat="1" ht="24">
      <c r="A858" s="728">
        <v>4210</v>
      </c>
      <c r="B858" s="735" t="s">
        <v>707</v>
      </c>
      <c r="C858" s="666">
        <v>30000</v>
      </c>
      <c r="D858" s="643">
        <f t="shared" si="101"/>
        <v>30000</v>
      </c>
      <c r="E858" s="667">
        <f t="shared" si="102"/>
        <v>28777</v>
      </c>
      <c r="F858" s="644">
        <f t="shared" si="96"/>
        <v>95.92333333333333</v>
      </c>
      <c r="G858" s="667"/>
      <c r="H858" s="730"/>
      <c r="I858" s="120"/>
      <c r="J858" s="730"/>
      <c r="K858" s="667"/>
      <c r="L858" s="649"/>
      <c r="M858" s="666">
        <v>30000</v>
      </c>
      <c r="N858" s="667">
        <v>28777</v>
      </c>
      <c r="O858" s="492">
        <f t="shared" si="97"/>
        <v>95.92333333333333</v>
      </c>
      <c r="P858" s="667"/>
      <c r="Q858" s="667"/>
      <c r="R858" s="737"/>
    </row>
    <row r="859" spans="1:18" s="882" customFormat="1" ht="36">
      <c r="A859" s="728">
        <v>4240</v>
      </c>
      <c r="B859" s="735" t="s">
        <v>832</v>
      </c>
      <c r="C859" s="666">
        <v>10000</v>
      </c>
      <c r="D859" s="643">
        <f t="shared" si="101"/>
        <v>10000</v>
      </c>
      <c r="E859" s="667">
        <f t="shared" si="102"/>
        <v>5661</v>
      </c>
      <c r="F859" s="644">
        <f t="shared" si="96"/>
        <v>56.61000000000001</v>
      </c>
      <c r="G859" s="667"/>
      <c r="H859" s="730"/>
      <c r="I859" s="120"/>
      <c r="J859" s="730"/>
      <c r="K859" s="667"/>
      <c r="L859" s="649"/>
      <c r="M859" s="666">
        <v>10000</v>
      </c>
      <c r="N859" s="667">
        <v>5661</v>
      </c>
      <c r="O859" s="492">
        <f t="shared" si="97"/>
        <v>56.61000000000001</v>
      </c>
      <c r="P859" s="667"/>
      <c r="Q859" s="667"/>
      <c r="R859" s="737"/>
    </row>
    <row r="860" spans="1:18" s="882" customFormat="1" ht="12.75">
      <c r="A860" s="728">
        <v>4260</v>
      </c>
      <c r="B860" s="735" t="s">
        <v>711</v>
      </c>
      <c r="C860" s="666">
        <v>180000</v>
      </c>
      <c r="D860" s="643">
        <f t="shared" si="101"/>
        <v>180000</v>
      </c>
      <c r="E860" s="667">
        <f t="shared" si="102"/>
        <v>126824</v>
      </c>
      <c r="F860" s="644">
        <f t="shared" si="96"/>
        <v>70.45777777777778</v>
      </c>
      <c r="G860" s="667"/>
      <c r="H860" s="730"/>
      <c r="I860" s="120"/>
      <c r="J860" s="730"/>
      <c r="K860" s="667"/>
      <c r="L860" s="649"/>
      <c r="M860" s="666">
        <v>180000</v>
      </c>
      <c r="N860" s="667">
        <v>126824</v>
      </c>
      <c r="O860" s="492">
        <f t="shared" si="97"/>
        <v>70.45777777777778</v>
      </c>
      <c r="P860" s="667"/>
      <c r="Q860" s="667"/>
      <c r="R860" s="737"/>
    </row>
    <row r="861" spans="1:18" s="882" customFormat="1" ht="14.25" customHeight="1">
      <c r="A861" s="728">
        <v>4270</v>
      </c>
      <c r="B861" s="735" t="s">
        <v>713</v>
      </c>
      <c r="C861" s="666">
        <v>10000</v>
      </c>
      <c r="D861" s="643">
        <f t="shared" si="101"/>
        <v>10000</v>
      </c>
      <c r="E861" s="667">
        <f t="shared" si="102"/>
        <v>7697</v>
      </c>
      <c r="F861" s="644">
        <f t="shared" si="96"/>
        <v>76.97</v>
      </c>
      <c r="G861" s="667"/>
      <c r="H861" s="730"/>
      <c r="I861" s="120"/>
      <c r="J861" s="730"/>
      <c r="K861" s="667"/>
      <c r="L861" s="649"/>
      <c r="M861" s="666">
        <v>10000</v>
      </c>
      <c r="N861" s="667">
        <v>7697</v>
      </c>
      <c r="O861" s="492">
        <f t="shared" si="97"/>
        <v>76.97</v>
      </c>
      <c r="P861" s="667"/>
      <c r="Q861" s="667"/>
      <c r="R861" s="737"/>
    </row>
    <row r="862" spans="1:18" s="882" customFormat="1" ht="24">
      <c r="A862" s="728">
        <v>4280</v>
      </c>
      <c r="B862" s="735" t="s">
        <v>805</v>
      </c>
      <c r="C862" s="666">
        <v>1500</v>
      </c>
      <c r="D862" s="643">
        <f t="shared" si="101"/>
        <v>1500</v>
      </c>
      <c r="E862" s="667">
        <f t="shared" si="102"/>
        <v>791</v>
      </c>
      <c r="F862" s="644">
        <f t="shared" si="96"/>
        <v>52.733333333333334</v>
      </c>
      <c r="G862" s="667"/>
      <c r="H862" s="730"/>
      <c r="I862" s="120"/>
      <c r="J862" s="730"/>
      <c r="K862" s="667"/>
      <c r="L862" s="649"/>
      <c r="M862" s="666">
        <v>1500</v>
      </c>
      <c r="N862" s="667">
        <v>791</v>
      </c>
      <c r="O862" s="492">
        <f t="shared" si="97"/>
        <v>52.733333333333334</v>
      </c>
      <c r="P862" s="667"/>
      <c r="Q862" s="667"/>
      <c r="R862" s="737"/>
    </row>
    <row r="863" spans="1:18" s="882" customFormat="1" ht="24">
      <c r="A863" s="728">
        <v>4300</v>
      </c>
      <c r="B863" s="735" t="s">
        <v>715</v>
      </c>
      <c r="C863" s="666">
        <v>16000</v>
      </c>
      <c r="D863" s="643">
        <f t="shared" si="101"/>
        <v>16000</v>
      </c>
      <c r="E863" s="667">
        <f t="shared" si="102"/>
        <v>14852</v>
      </c>
      <c r="F863" s="644">
        <f t="shared" si="96"/>
        <v>92.825</v>
      </c>
      <c r="G863" s="667"/>
      <c r="H863" s="730"/>
      <c r="I863" s="120"/>
      <c r="J863" s="730"/>
      <c r="K863" s="667"/>
      <c r="L863" s="649"/>
      <c r="M863" s="666">
        <v>16000</v>
      </c>
      <c r="N863" s="667">
        <v>14852</v>
      </c>
      <c r="O863" s="492">
        <f t="shared" si="97"/>
        <v>92.825</v>
      </c>
      <c r="P863" s="667"/>
      <c r="Q863" s="667"/>
      <c r="R863" s="737"/>
    </row>
    <row r="864" spans="1:18" s="882" customFormat="1" ht="24">
      <c r="A864" s="728">
        <v>4350</v>
      </c>
      <c r="B864" s="735" t="s">
        <v>807</v>
      </c>
      <c r="C864" s="666">
        <v>6700</v>
      </c>
      <c r="D864" s="643">
        <f t="shared" si="101"/>
        <v>6700</v>
      </c>
      <c r="E864" s="667">
        <f t="shared" si="102"/>
        <v>4466</v>
      </c>
      <c r="F864" s="644">
        <f t="shared" si="96"/>
        <v>66.65671641791045</v>
      </c>
      <c r="G864" s="667"/>
      <c r="H864" s="730"/>
      <c r="I864" s="120"/>
      <c r="J864" s="730"/>
      <c r="K864" s="667"/>
      <c r="L864" s="649"/>
      <c r="M864" s="666">
        <v>6700</v>
      </c>
      <c r="N864" s="667">
        <v>4466</v>
      </c>
      <c r="O864" s="492">
        <f t="shared" si="97"/>
        <v>66.65671641791045</v>
      </c>
      <c r="P864" s="667"/>
      <c r="Q864" s="667"/>
      <c r="R864" s="737"/>
    </row>
    <row r="865" spans="1:18" s="882" customFormat="1" ht="48">
      <c r="A865" s="829">
        <v>4360</v>
      </c>
      <c r="B865" s="850" t="s">
        <v>982</v>
      </c>
      <c r="C865" s="666">
        <v>1300</v>
      </c>
      <c r="D865" s="643">
        <f t="shared" si="101"/>
        <v>1300</v>
      </c>
      <c r="E865" s="667">
        <f>SUM(H865+K865+N865+Q865)</f>
        <v>931</v>
      </c>
      <c r="F865" s="644">
        <f>E865/D865*100</f>
        <v>71.61538461538461</v>
      </c>
      <c r="G865" s="667"/>
      <c r="H865" s="730"/>
      <c r="I865" s="120"/>
      <c r="J865" s="730"/>
      <c r="K865" s="667"/>
      <c r="L865" s="649"/>
      <c r="M865" s="666">
        <v>1300</v>
      </c>
      <c r="N865" s="667">
        <v>931</v>
      </c>
      <c r="O865" s="492">
        <f t="shared" si="97"/>
        <v>71.61538461538461</v>
      </c>
      <c r="P865" s="667"/>
      <c r="Q865" s="667"/>
      <c r="R865" s="737"/>
    </row>
    <row r="866" spans="1:18" s="882" customFormat="1" ht="48">
      <c r="A866" s="829">
        <v>4370</v>
      </c>
      <c r="B866" s="850" t="s">
        <v>916</v>
      </c>
      <c r="C866" s="666">
        <v>13000</v>
      </c>
      <c r="D866" s="643">
        <f t="shared" si="101"/>
        <v>13000</v>
      </c>
      <c r="E866" s="667">
        <f>SUM(H866+K866+N866+Q866)</f>
        <v>7602</v>
      </c>
      <c r="F866" s="644">
        <f>E866/D866*100</f>
        <v>58.47692307692308</v>
      </c>
      <c r="G866" s="667"/>
      <c r="H866" s="730"/>
      <c r="I866" s="120"/>
      <c r="J866" s="730"/>
      <c r="K866" s="667"/>
      <c r="L866" s="649"/>
      <c r="M866" s="666">
        <v>13000</v>
      </c>
      <c r="N866" s="667">
        <v>7602</v>
      </c>
      <c r="O866" s="492">
        <f t="shared" si="97"/>
        <v>58.47692307692308</v>
      </c>
      <c r="P866" s="667"/>
      <c r="Q866" s="667"/>
      <c r="R866" s="737"/>
    </row>
    <row r="867" spans="1:18" s="882" customFormat="1" ht="36">
      <c r="A867" s="728">
        <v>4390</v>
      </c>
      <c r="B867" s="865" t="s">
        <v>743</v>
      </c>
      <c r="C867" s="666">
        <v>4000</v>
      </c>
      <c r="D867" s="643">
        <f t="shared" si="101"/>
        <v>4000</v>
      </c>
      <c r="E867" s="667">
        <f>SUM(H867+K867+N867+Q867)</f>
        <v>0</v>
      </c>
      <c r="F867" s="644">
        <f>E867/D867*100</f>
        <v>0</v>
      </c>
      <c r="G867" s="667"/>
      <c r="H867" s="730"/>
      <c r="I867" s="120"/>
      <c r="J867" s="730"/>
      <c r="K867" s="667"/>
      <c r="L867" s="649"/>
      <c r="M867" s="666">
        <v>4000</v>
      </c>
      <c r="N867" s="667"/>
      <c r="O867" s="492">
        <f t="shared" si="97"/>
        <v>0</v>
      </c>
      <c r="P867" s="667"/>
      <c r="Q867" s="667"/>
      <c r="R867" s="737"/>
    </row>
    <row r="868" spans="1:18" s="882" customFormat="1" ht="24">
      <c r="A868" s="762">
        <v>4410</v>
      </c>
      <c r="B868" s="780" t="s">
        <v>689</v>
      </c>
      <c r="C868" s="781">
        <v>1500</v>
      </c>
      <c r="D868" s="765">
        <f t="shared" si="101"/>
        <v>1500</v>
      </c>
      <c r="E868" s="785">
        <f t="shared" si="102"/>
        <v>0</v>
      </c>
      <c r="F868" s="705">
        <f t="shared" si="96"/>
        <v>0</v>
      </c>
      <c r="G868" s="785"/>
      <c r="H868" s="782"/>
      <c r="I868" s="299"/>
      <c r="J868" s="782"/>
      <c r="K868" s="785"/>
      <c r="L868" s="768"/>
      <c r="M868" s="781">
        <v>1500</v>
      </c>
      <c r="N868" s="785"/>
      <c r="O868" s="766">
        <f t="shared" si="97"/>
        <v>0</v>
      </c>
      <c r="P868" s="785"/>
      <c r="Q868" s="785"/>
      <c r="R868" s="770"/>
    </row>
    <row r="869" spans="1:18" s="882" customFormat="1" ht="12.75" hidden="1">
      <c r="A869" s="728">
        <v>4430</v>
      </c>
      <c r="B869" s="735" t="s">
        <v>717</v>
      </c>
      <c r="C869" s="666"/>
      <c r="D869" s="643">
        <f t="shared" si="101"/>
        <v>0</v>
      </c>
      <c r="E869" s="667">
        <f t="shared" si="102"/>
        <v>0</v>
      </c>
      <c r="F869" s="644" t="e">
        <f t="shared" si="96"/>
        <v>#DIV/0!</v>
      </c>
      <c r="G869" s="667"/>
      <c r="H869" s="730"/>
      <c r="I869" s="120"/>
      <c r="J869" s="730"/>
      <c r="K869" s="667"/>
      <c r="L869" s="649"/>
      <c r="M869" s="666"/>
      <c r="N869" s="667"/>
      <c r="O869" s="492" t="e">
        <f t="shared" si="97"/>
        <v>#DIV/0!</v>
      </c>
      <c r="P869" s="667"/>
      <c r="Q869" s="667"/>
      <c r="R869" s="737"/>
    </row>
    <row r="870" spans="1:18" s="882" customFormat="1" ht="12.75">
      <c r="A870" s="728">
        <v>4440</v>
      </c>
      <c r="B870" s="735" t="s">
        <v>719</v>
      </c>
      <c r="C870" s="666">
        <v>94000</v>
      </c>
      <c r="D870" s="643">
        <f t="shared" si="101"/>
        <v>98277</v>
      </c>
      <c r="E870" s="667">
        <f t="shared" si="102"/>
        <v>98277</v>
      </c>
      <c r="F870" s="644">
        <f t="shared" si="96"/>
        <v>100</v>
      </c>
      <c r="G870" s="667"/>
      <c r="H870" s="730"/>
      <c r="I870" s="120"/>
      <c r="J870" s="730"/>
      <c r="K870" s="667"/>
      <c r="L870" s="649"/>
      <c r="M870" s="666">
        <f>94000+4277</f>
        <v>98277</v>
      </c>
      <c r="N870" s="667">
        <v>98277</v>
      </c>
      <c r="O870" s="492">
        <f t="shared" si="97"/>
        <v>100</v>
      </c>
      <c r="P870" s="667"/>
      <c r="Q870" s="667"/>
      <c r="R870" s="737"/>
    </row>
    <row r="871" spans="1:18" s="882" customFormat="1" ht="36">
      <c r="A871" s="829">
        <v>4700</v>
      </c>
      <c r="B871" s="850" t="s">
        <v>813</v>
      </c>
      <c r="C871" s="666">
        <v>5000</v>
      </c>
      <c r="D871" s="643">
        <f t="shared" si="101"/>
        <v>5000</v>
      </c>
      <c r="E871" s="667">
        <f t="shared" si="102"/>
        <v>3076</v>
      </c>
      <c r="F871" s="644">
        <f t="shared" si="96"/>
        <v>61.519999999999996</v>
      </c>
      <c r="G871" s="667"/>
      <c r="H871" s="730"/>
      <c r="I871" s="120"/>
      <c r="J871" s="730"/>
      <c r="K871" s="667"/>
      <c r="L871" s="649"/>
      <c r="M871" s="666">
        <v>5000</v>
      </c>
      <c r="N871" s="667">
        <v>3076</v>
      </c>
      <c r="O871" s="492">
        <f t="shared" si="97"/>
        <v>61.519999999999996</v>
      </c>
      <c r="P871" s="667"/>
      <c r="Q871" s="667"/>
      <c r="R871" s="737"/>
    </row>
    <row r="872" spans="1:18" s="882" customFormat="1" ht="60">
      <c r="A872" s="829">
        <v>4740</v>
      </c>
      <c r="B872" s="850" t="s">
        <v>728</v>
      </c>
      <c r="C872" s="666">
        <v>2700</v>
      </c>
      <c r="D872" s="643">
        <f t="shared" si="101"/>
        <v>2700</v>
      </c>
      <c r="E872" s="667">
        <f t="shared" si="102"/>
        <v>1582</v>
      </c>
      <c r="F872" s="644">
        <f t="shared" si="96"/>
        <v>58.592592592592595</v>
      </c>
      <c r="G872" s="667"/>
      <c r="H872" s="730"/>
      <c r="I872" s="120"/>
      <c r="J872" s="730"/>
      <c r="K872" s="667"/>
      <c r="L872" s="649"/>
      <c r="M872" s="666">
        <v>2700</v>
      </c>
      <c r="N872" s="667">
        <v>1582</v>
      </c>
      <c r="O872" s="492">
        <f t="shared" si="97"/>
        <v>58.592592592592595</v>
      </c>
      <c r="P872" s="667"/>
      <c r="Q872" s="667"/>
      <c r="R872" s="737"/>
    </row>
    <row r="873" spans="1:18" s="882" customFormat="1" ht="36">
      <c r="A873" s="829">
        <v>4750</v>
      </c>
      <c r="B873" s="850" t="s">
        <v>814</v>
      </c>
      <c r="C873" s="666">
        <v>10000</v>
      </c>
      <c r="D873" s="643">
        <f t="shared" si="101"/>
        <v>10000</v>
      </c>
      <c r="E873" s="667">
        <f t="shared" si="102"/>
        <v>5686</v>
      </c>
      <c r="F873" s="644">
        <f t="shared" si="96"/>
        <v>56.86</v>
      </c>
      <c r="G873" s="667"/>
      <c r="H873" s="730"/>
      <c r="I873" s="120"/>
      <c r="J873" s="730"/>
      <c r="K873" s="667"/>
      <c r="L873" s="649"/>
      <c r="M873" s="666">
        <v>10000</v>
      </c>
      <c r="N873" s="667">
        <v>5686</v>
      </c>
      <c r="O873" s="492">
        <f t="shared" si="97"/>
        <v>56.86</v>
      </c>
      <c r="P873" s="667"/>
      <c r="Q873" s="667"/>
      <c r="R873" s="737"/>
    </row>
    <row r="874" spans="1:18" s="882" customFormat="1" ht="24">
      <c r="A874" s="829">
        <v>6050</v>
      </c>
      <c r="B874" s="735" t="s">
        <v>739</v>
      </c>
      <c r="C874" s="666">
        <v>28300</v>
      </c>
      <c r="D874" s="643">
        <f>G874+J874+P874+M874</f>
        <v>134300</v>
      </c>
      <c r="E874" s="667">
        <f t="shared" si="102"/>
        <v>50</v>
      </c>
      <c r="F874" s="644">
        <f t="shared" si="96"/>
        <v>0.03723008190618019</v>
      </c>
      <c r="G874" s="667"/>
      <c r="H874" s="730"/>
      <c r="I874" s="120"/>
      <c r="J874" s="730"/>
      <c r="K874" s="667"/>
      <c r="L874" s="649"/>
      <c r="M874" s="666">
        <f>28300+106000</f>
        <v>134300</v>
      </c>
      <c r="N874" s="667">
        <v>50</v>
      </c>
      <c r="O874" s="492">
        <f t="shared" si="97"/>
        <v>0.03723008190618019</v>
      </c>
      <c r="P874" s="667"/>
      <c r="Q874" s="667"/>
      <c r="R874" s="737"/>
    </row>
    <row r="875" spans="1:18" s="882" customFormat="1" ht="36">
      <c r="A875" s="728">
        <v>6060</v>
      </c>
      <c r="B875" s="735" t="s">
        <v>856</v>
      </c>
      <c r="C875" s="666">
        <v>4100</v>
      </c>
      <c r="D875" s="643">
        <f t="shared" si="101"/>
        <v>4100</v>
      </c>
      <c r="E875" s="667">
        <f t="shared" si="102"/>
        <v>4099</v>
      </c>
      <c r="F875" s="644">
        <f t="shared" si="96"/>
        <v>99.97560975609755</v>
      </c>
      <c r="G875" s="667"/>
      <c r="H875" s="730"/>
      <c r="I875" s="120"/>
      <c r="J875" s="730"/>
      <c r="K875" s="667"/>
      <c r="L875" s="649"/>
      <c r="M875" s="666">
        <v>4100</v>
      </c>
      <c r="N875" s="667">
        <v>4099</v>
      </c>
      <c r="O875" s="492">
        <f t="shared" si="97"/>
        <v>99.97560975609755</v>
      </c>
      <c r="P875" s="667"/>
      <c r="Q875" s="667"/>
      <c r="R875" s="737"/>
    </row>
    <row r="876" spans="1:18" s="864" customFormat="1" ht="15" customHeight="1" hidden="1">
      <c r="A876" s="787">
        <v>80145</v>
      </c>
      <c r="B876" s="856" t="s">
        <v>14</v>
      </c>
      <c r="C876" s="673">
        <f>SUM(C878)</f>
        <v>0</v>
      </c>
      <c r="D876" s="674">
        <f t="shared" si="101"/>
        <v>0</v>
      </c>
      <c r="E876" s="674">
        <f>H876+K876+Q876+N876</f>
        <v>0</v>
      </c>
      <c r="F876" s="658" t="e">
        <f>E876/D876*100</f>
        <v>#DIV/0!</v>
      </c>
      <c r="G876" s="997">
        <f>SUM(G877:G878)</f>
        <v>0</v>
      </c>
      <c r="H876" s="674">
        <f>SUM(H877:H878)</f>
        <v>0</v>
      </c>
      <c r="I876" s="890" t="e">
        <f>H876/G876*100</f>
        <v>#DIV/0!</v>
      </c>
      <c r="J876" s="677"/>
      <c r="K876" s="674"/>
      <c r="L876" s="663"/>
      <c r="M876" s="673">
        <f>SUM(M877:M878)</f>
        <v>0</v>
      </c>
      <c r="N876" s="674">
        <f>SUM(N877:N878)</f>
        <v>0</v>
      </c>
      <c r="O876" s="665" t="e">
        <f>N876/M876*100</f>
        <v>#DIV/0!</v>
      </c>
      <c r="P876" s="674"/>
      <c r="Q876" s="674"/>
      <c r="R876" s="828"/>
    </row>
    <row r="877" spans="1:18" s="801" customFormat="1" ht="24" hidden="1">
      <c r="A877" s="756">
        <v>4170</v>
      </c>
      <c r="B877" s="757" t="s">
        <v>742</v>
      </c>
      <c r="C877" s="684"/>
      <c r="D877" s="685">
        <f t="shared" si="101"/>
        <v>0</v>
      </c>
      <c r="E877" s="686">
        <f>SUM(H877+K877+N877+Q877)</f>
        <v>0</v>
      </c>
      <c r="F877" s="668" t="e">
        <f>E877/D877*100</f>
        <v>#DIV/0!</v>
      </c>
      <c r="G877" s="684"/>
      <c r="H877" s="689"/>
      <c r="I877" s="758" t="e">
        <f>H877/G877*100</f>
        <v>#DIV/0!</v>
      </c>
      <c r="J877" s="689"/>
      <c r="K877" s="685"/>
      <c r="L877" s="690"/>
      <c r="M877" s="684"/>
      <c r="N877" s="685"/>
      <c r="O877" s="652" t="e">
        <f>N877/M877*100</f>
        <v>#DIV/0!</v>
      </c>
      <c r="P877" s="685"/>
      <c r="Q877" s="685"/>
      <c r="R877" s="760"/>
    </row>
    <row r="878" spans="1:18" s="882" customFormat="1" ht="14.25" customHeight="1" hidden="1">
      <c r="A878" s="762">
        <v>4300</v>
      </c>
      <c r="B878" s="780" t="s">
        <v>715</v>
      </c>
      <c r="C878" s="781"/>
      <c r="D878" s="765">
        <f t="shared" si="101"/>
        <v>0</v>
      </c>
      <c r="E878" s="785">
        <f>SUM(H878+K878+N878+Q878)</f>
        <v>0</v>
      </c>
      <c r="F878" s="705"/>
      <c r="G878" s="785">
        <f>7000-7000</f>
        <v>0</v>
      </c>
      <c r="H878" s="782"/>
      <c r="I878" s="766"/>
      <c r="J878" s="782"/>
      <c r="K878" s="785"/>
      <c r="L878" s="768"/>
      <c r="M878" s="781">
        <f>5000-5000</f>
        <v>0</v>
      </c>
      <c r="N878" s="785"/>
      <c r="O878" s="707"/>
      <c r="P878" s="785"/>
      <c r="Q878" s="785"/>
      <c r="R878" s="770"/>
    </row>
    <row r="879" spans="1:18" s="864" customFormat="1" ht="30" customHeight="1">
      <c r="A879" s="787">
        <v>80146</v>
      </c>
      <c r="B879" s="856" t="s">
        <v>15</v>
      </c>
      <c r="C879" s="673">
        <f>SUM(C880:C894)</f>
        <v>595800</v>
      </c>
      <c r="D879" s="674">
        <f t="shared" si="101"/>
        <v>538153</v>
      </c>
      <c r="E879" s="674">
        <f>H879+K879+Q879+N879</f>
        <v>283239</v>
      </c>
      <c r="F879" s="658">
        <f aca="true" t="shared" si="103" ref="F879:F942">E879/D879*100</f>
        <v>52.63168652780901</v>
      </c>
      <c r="G879" s="673">
        <f>SUM(G880:G894)</f>
        <v>270560</v>
      </c>
      <c r="H879" s="901">
        <f>SUM(H880:H894)</f>
        <v>143436</v>
      </c>
      <c r="I879" s="890">
        <f aca="true" t="shared" si="104" ref="I879:I905">H879/G879*100</f>
        <v>53.01448846836192</v>
      </c>
      <c r="J879" s="677"/>
      <c r="K879" s="674"/>
      <c r="L879" s="663"/>
      <c r="M879" s="673">
        <f>SUM(M880:M894)</f>
        <v>267593</v>
      </c>
      <c r="N879" s="674">
        <f>SUM(N880:N894)</f>
        <v>139803</v>
      </c>
      <c r="O879" s="665">
        <f>N879/M879*100</f>
        <v>52.24464018117065</v>
      </c>
      <c r="P879" s="674"/>
      <c r="Q879" s="674"/>
      <c r="R879" s="828"/>
    </row>
    <row r="880" spans="1:18" s="882" customFormat="1" ht="24">
      <c r="A880" s="709">
        <v>2510</v>
      </c>
      <c r="B880" s="776" t="s">
        <v>16</v>
      </c>
      <c r="C880" s="670">
        <v>58000</v>
      </c>
      <c r="D880" s="685">
        <f t="shared" si="101"/>
        <v>0</v>
      </c>
      <c r="E880" s="685">
        <f>H880+K880+Q880+N880</f>
        <v>0</v>
      </c>
      <c r="F880" s="668"/>
      <c r="G880" s="670">
        <f>58000-58000</f>
        <v>0</v>
      </c>
      <c r="H880" s="777"/>
      <c r="I880" s="492"/>
      <c r="J880" s="777"/>
      <c r="K880" s="686"/>
      <c r="L880" s="690"/>
      <c r="M880" s="670"/>
      <c r="N880" s="686"/>
      <c r="O880" s="652"/>
      <c r="P880" s="686"/>
      <c r="Q880" s="686"/>
      <c r="R880" s="760"/>
    </row>
    <row r="881" spans="1:18" s="882" customFormat="1" ht="24">
      <c r="A881" s="728">
        <v>4010</v>
      </c>
      <c r="B881" s="735" t="s">
        <v>697</v>
      </c>
      <c r="C881" s="666">
        <v>127700</v>
      </c>
      <c r="D881" s="643">
        <f t="shared" si="101"/>
        <v>127700</v>
      </c>
      <c r="E881" s="643">
        <f>H881+K881+Q881+N881</f>
        <v>94755</v>
      </c>
      <c r="F881" s="644">
        <f t="shared" si="103"/>
        <v>74.20125293657009</v>
      </c>
      <c r="G881" s="666">
        <v>50300</v>
      </c>
      <c r="H881" s="730">
        <v>36812</v>
      </c>
      <c r="I881" s="492">
        <f t="shared" si="104"/>
        <v>73.18489065606362</v>
      </c>
      <c r="J881" s="730"/>
      <c r="K881" s="667"/>
      <c r="L881" s="649"/>
      <c r="M881" s="666">
        <v>77400</v>
      </c>
      <c r="N881" s="667">
        <v>57943</v>
      </c>
      <c r="O881" s="492">
        <f aca="true" t="shared" si="105" ref="O881:O889">N881/M881*100</f>
        <v>74.86175710594316</v>
      </c>
      <c r="P881" s="667"/>
      <c r="Q881" s="667"/>
      <c r="R881" s="737"/>
    </row>
    <row r="882" spans="1:18" s="882" customFormat="1" ht="24">
      <c r="A882" s="728">
        <v>4040</v>
      </c>
      <c r="B882" s="735" t="s">
        <v>701</v>
      </c>
      <c r="C882" s="666">
        <v>10500</v>
      </c>
      <c r="D882" s="643">
        <f t="shared" si="101"/>
        <v>10083</v>
      </c>
      <c r="E882" s="667">
        <f>SUM(H882+K882+N882+Q882)</f>
        <v>10081</v>
      </c>
      <c r="F882" s="644">
        <f t="shared" si="103"/>
        <v>99.9801646335416</v>
      </c>
      <c r="G882" s="667">
        <v>4200</v>
      </c>
      <c r="H882" s="730">
        <v>4200</v>
      </c>
      <c r="I882" s="492">
        <f t="shared" si="104"/>
        <v>100</v>
      </c>
      <c r="J882" s="730"/>
      <c r="K882" s="667"/>
      <c r="L882" s="649"/>
      <c r="M882" s="666">
        <f>6300-417</f>
        <v>5883</v>
      </c>
      <c r="N882" s="667">
        <v>5881</v>
      </c>
      <c r="O882" s="492">
        <f t="shared" si="105"/>
        <v>99.96600373958864</v>
      </c>
      <c r="P882" s="667"/>
      <c r="Q882" s="667"/>
      <c r="R882" s="737"/>
    </row>
    <row r="883" spans="1:18" s="882" customFormat="1" ht="24">
      <c r="A883" s="728">
        <v>4110</v>
      </c>
      <c r="B883" s="735" t="s">
        <v>703</v>
      </c>
      <c r="C883" s="666">
        <v>23900</v>
      </c>
      <c r="D883" s="643">
        <f t="shared" si="101"/>
        <v>23900</v>
      </c>
      <c r="E883" s="643">
        <f t="shared" si="101"/>
        <v>15741</v>
      </c>
      <c r="F883" s="644">
        <f t="shared" si="103"/>
        <v>65.86192468619247</v>
      </c>
      <c r="G883" s="666">
        <v>9400</v>
      </c>
      <c r="H883" s="730">
        <f>6103+1</f>
        <v>6104</v>
      </c>
      <c r="I883" s="492">
        <f t="shared" si="104"/>
        <v>64.93617021276596</v>
      </c>
      <c r="J883" s="730"/>
      <c r="K883" s="667"/>
      <c r="L883" s="649"/>
      <c r="M883" s="666">
        <v>14500</v>
      </c>
      <c r="N883" s="667">
        <v>9637</v>
      </c>
      <c r="O883" s="492">
        <f t="shared" si="105"/>
        <v>66.46206896551725</v>
      </c>
      <c r="P883" s="667"/>
      <c r="Q883" s="667"/>
      <c r="R883" s="737"/>
    </row>
    <row r="884" spans="1:18" s="882" customFormat="1" ht="12.75">
      <c r="A884" s="728">
        <v>4120</v>
      </c>
      <c r="B884" s="735" t="s">
        <v>847</v>
      </c>
      <c r="C884" s="666">
        <v>3400</v>
      </c>
      <c r="D884" s="643">
        <f aca="true" t="shared" si="106" ref="D884:E899">G884+J884+P884+M884</f>
        <v>3400</v>
      </c>
      <c r="E884" s="643">
        <f t="shared" si="106"/>
        <v>2423</v>
      </c>
      <c r="F884" s="644">
        <f t="shared" si="103"/>
        <v>71.26470588235294</v>
      </c>
      <c r="G884" s="666">
        <v>1400</v>
      </c>
      <c r="H884" s="730">
        <v>904</v>
      </c>
      <c r="I884" s="492">
        <f t="shared" si="104"/>
        <v>64.57142857142857</v>
      </c>
      <c r="J884" s="730"/>
      <c r="K884" s="667"/>
      <c r="L884" s="649"/>
      <c r="M884" s="666">
        <v>2000</v>
      </c>
      <c r="N884" s="667">
        <v>1519</v>
      </c>
      <c r="O884" s="492">
        <f t="shared" si="105"/>
        <v>75.94999999999999</v>
      </c>
      <c r="P884" s="667"/>
      <c r="Q884" s="667"/>
      <c r="R884" s="737"/>
    </row>
    <row r="885" spans="1:18" s="882" customFormat="1" ht="12.75" hidden="1">
      <c r="A885" s="728">
        <v>4140</v>
      </c>
      <c r="B885" s="735" t="s">
        <v>804</v>
      </c>
      <c r="C885" s="666"/>
      <c r="D885" s="643">
        <f t="shared" si="106"/>
        <v>0</v>
      </c>
      <c r="E885" s="643">
        <f t="shared" si="106"/>
        <v>0</v>
      </c>
      <c r="F885" s="644" t="e">
        <f t="shared" si="103"/>
        <v>#DIV/0!</v>
      </c>
      <c r="G885" s="666"/>
      <c r="H885" s="730"/>
      <c r="I885" s="492" t="e">
        <f t="shared" si="104"/>
        <v>#DIV/0!</v>
      </c>
      <c r="J885" s="730"/>
      <c r="K885" s="667"/>
      <c r="L885" s="649"/>
      <c r="M885" s="666"/>
      <c r="N885" s="667"/>
      <c r="O885" s="492" t="e">
        <f t="shared" si="105"/>
        <v>#DIV/0!</v>
      </c>
      <c r="P885" s="667"/>
      <c r="Q885" s="667"/>
      <c r="R885" s="737"/>
    </row>
    <row r="886" spans="1:18" s="882" customFormat="1" ht="24" hidden="1">
      <c r="A886" s="728">
        <v>4170</v>
      </c>
      <c r="B886" s="735" t="s">
        <v>742</v>
      </c>
      <c r="C886" s="666"/>
      <c r="D886" s="643">
        <f t="shared" si="106"/>
        <v>0</v>
      </c>
      <c r="E886" s="643">
        <f t="shared" si="106"/>
        <v>0</v>
      </c>
      <c r="F886" s="644" t="e">
        <f t="shared" si="103"/>
        <v>#DIV/0!</v>
      </c>
      <c r="G886" s="666"/>
      <c r="H886" s="730"/>
      <c r="I886" s="492" t="e">
        <f t="shared" si="104"/>
        <v>#DIV/0!</v>
      </c>
      <c r="J886" s="730"/>
      <c r="K886" s="667"/>
      <c r="L886" s="649"/>
      <c r="M886" s="666"/>
      <c r="N886" s="667"/>
      <c r="O886" s="492" t="e">
        <f t="shared" si="105"/>
        <v>#DIV/0!</v>
      </c>
      <c r="P886" s="667"/>
      <c r="Q886" s="667"/>
      <c r="R886" s="737"/>
    </row>
    <row r="887" spans="1:18" s="882" customFormat="1" ht="24">
      <c r="A887" s="728">
        <v>4210</v>
      </c>
      <c r="B887" s="735" t="s">
        <v>707</v>
      </c>
      <c r="C887" s="666"/>
      <c r="D887" s="643">
        <f t="shared" si="106"/>
        <v>14645</v>
      </c>
      <c r="E887" s="643">
        <f t="shared" si="106"/>
        <v>2226</v>
      </c>
      <c r="F887" s="644">
        <f t="shared" si="103"/>
        <v>15.199726869238647</v>
      </c>
      <c r="G887" s="666">
        <f>7060+400</f>
        <v>7460</v>
      </c>
      <c r="H887" s="730">
        <v>1799</v>
      </c>
      <c r="I887" s="492">
        <f t="shared" si="104"/>
        <v>24.115281501340483</v>
      </c>
      <c r="J887" s="730"/>
      <c r="K887" s="667"/>
      <c r="L887" s="649"/>
      <c r="M887" s="666">
        <f>5800+1385</f>
        <v>7185</v>
      </c>
      <c r="N887" s="667">
        <v>427</v>
      </c>
      <c r="O887" s="492">
        <f t="shared" si="105"/>
        <v>5.942936673625609</v>
      </c>
      <c r="P887" s="667"/>
      <c r="Q887" s="667"/>
      <c r="R887" s="737"/>
    </row>
    <row r="888" spans="1:18" s="882" customFormat="1" ht="36">
      <c r="A888" s="728">
        <v>4300</v>
      </c>
      <c r="B888" s="735" t="s">
        <v>17</v>
      </c>
      <c r="C888" s="666">
        <v>364500</v>
      </c>
      <c r="D888" s="643">
        <f t="shared" si="106"/>
        <v>210930</v>
      </c>
      <c r="E888" s="643">
        <f t="shared" si="106"/>
        <v>95808</v>
      </c>
      <c r="F888" s="644">
        <f>E888/D888*100</f>
        <v>45.42170388280472</v>
      </c>
      <c r="G888" s="666">
        <f>202000-75160-210-400</f>
        <v>126230</v>
      </c>
      <c r="H888" s="730">
        <v>64747</v>
      </c>
      <c r="I888" s="492">
        <f>H888/G888*100</f>
        <v>51.29287807969579</v>
      </c>
      <c r="J888" s="730"/>
      <c r="K888" s="667"/>
      <c r="L888" s="649"/>
      <c r="M888" s="666">
        <f>162500-162500+84200+500</f>
        <v>84700</v>
      </c>
      <c r="N888" s="667">
        <v>31061</v>
      </c>
      <c r="O888" s="492">
        <f t="shared" si="105"/>
        <v>36.67178276269185</v>
      </c>
      <c r="P888" s="667"/>
      <c r="Q888" s="667"/>
      <c r="R888" s="731"/>
    </row>
    <row r="889" spans="1:18" s="882" customFormat="1" ht="24">
      <c r="A889" s="728">
        <v>4410</v>
      </c>
      <c r="B889" s="735" t="s">
        <v>689</v>
      </c>
      <c r="C889" s="666"/>
      <c r="D889" s="643">
        <f t="shared" si="106"/>
        <v>40375</v>
      </c>
      <c r="E889" s="643">
        <f t="shared" si="106"/>
        <v>19064</v>
      </c>
      <c r="F889" s="644">
        <f t="shared" si="103"/>
        <v>47.21733746130031</v>
      </c>
      <c r="G889" s="666">
        <f>21850+210</f>
        <v>22060</v>
      </c>
      <c r="H889" s="730">
        <v>10008</v>
      </c>
      <c r="I889" s="492">
        <f t="shared" si="104"/>
        <v>45.36718041704442</v>
      </c>
      <c r="J889" s="730"/>
      <c r="K889" s="667"/>
      <c r="L889" s="649"/>
      <c r="M889" s="666">
        <f>20800-1100-1385</f>
        <v>18315</v>
      </c>
      <c r="N889" s="667">
        <f>9057-1</f>
        <v>9056</v>
      </c>
      <c r="O889" s="492">
        <f t="shared" si="105"/>
        <v>49.445809445809445</v>
      </c>
      <c r="P889" s="667"/>
      <c r="Q889" s="667"/>
      <c r="R889" s="731"/>
    </row>
    <row r="890" spans="1:18" s="882" customFormat="1" ht="24" hidden="1">
      <c r="A890" s="728">
        <v>4420</v>
      </c>
      <c r="B890" s="735" t="s">
        <v>823</v>
      </c>
      <c r="C890" s="666"/>
      <c r="D890" s="643">
        <f t="shared" si="106"/>
        <v>0</v>
      </c>
      <c r="E890" s="643">
        <f>H890+K890+Q890+N890</f>
        <v>0</v>
      </c>
      <c r="F890" s="644" t="e">
        <f>E890/D890*100</f>
        <v>#DIV/0!</v>
      </c>
      <c r="G890" s="666"/>
      <c r="H890" s="730"/>
      <c r="I890" s="492" t="e">
        <f t="shared" si="104"/>
        <v>#DIV/0!</v>
      </c>
      <c r="J890" s="730"/>
      <c r="K890" s="667"/>
      <c r="L890" s="649"/>
      <c r="M890" s="666"/>
      <c r="N890" s="667"/>
      <c r="O890" s="492"/>
      <c r="P890" s="667"/>
      <c r="Q890" s="667"/>
      <c r="R890" s="737"/>
    </row>
    <row r="891" spans="1:18" s="882" customFormat="1" ht="12.75">
      <c r="A891" s="728">
        <v>4440</v>
      </c>
      <c r="B891" s="735" t="s">
        <v>719</v>
      </c>
      <c r="C891" s="666">
        <v>7800</v>
      </c>
      <c r="D891" s="643">
        <f t="shared" si="106"/>
        <v>8570</v>
      </c>
      <c r="E891" s="643">
        <f>H891+K891+Q891+N891</f>
        <v>8570</v>
      </c>
      <c r="F891" s="644">
        <f>E891/D891*100</f>
        <v>100</v>
      </c>
      <c r="G891" s="666">
        <f>3200+60</f>
        <v>3260</v>
      </c>
      <c r="H891" s="730">
        <v>3260</v>
      </c>
      <c r="I891" s="492">
        <f t="shared" si="104"/>
        <v>100</v>
      </c>
      <c r="J891" s="730"/>
      <c r="K891" s="667"/>
      <c r="L891" s="649"/>
      <c r="M891" s="666">
        <f>4600+570+140</f>
        <v>5310</v>
      </c>
      <c r="N891" s="667">
        <v>5310</v>
      </c>
      <c r="O891" s="492">
        <f>N891/M891*100</f>
        <v>100</v>
      </c>
      <c r="P891" s="667"/>
      <c r="Q891" s="667"/>
      <c r="R891" s="737"/>
    </row>
    <row r="892" spans="1:18" s="882" customFormat="1" ht="36">
      <c r="A892" s="762">
        <v>4700</v>
      </c>
      <c r="B892" s="875" t="s">
        <v>813</v>
      </c>
      <c r="C892" s="781"/>
      <c r="D892" s="765">
        <f t="shared" si="106"/>
        <v>96100</v>
      </c>
      <c r="E892" s="765">
        <f>H892+K892+Q892+N892</f>
        <v>34571</v>
      </c>
      <c r="F892" s="705">
        <f>E892/D892*100</f>
        <v>35.97398543184183</v>
      </c>
      <c r="G892" s="781">
        <v>45500</v>
      </c>
      <c r="H892" s="782">
        <v>15602</v>
      </c>
      <c r="I892" s="766">
        <f t="shared" si="104"/>
        <v>34.29010989010989</v>
      </c>
      <c r="J892" s="782"/>
      <c r="K892" s="785"/>
      <c r="L892" s="768"/>
      <c r="M892" s="781">
        <f>50000+600</f>
        <v>50600</v>
      </c>
      <c r="N892" s="785">
        <v>18969</v>
      </c>
      <c r="O892" s="766">
        <f>N892/M892*100</f>
        <v>37.48814229249012</v>
      </c>
      <c r="P892" s="785"/>
      <c r="Q892" s="785"/>
      <c r="R892" s="770"/>
    </row>
    <row r="893" spans="1:18" s="882" customFormat="1" ht="60">
      <c r="A893" s="728">
        <v>4740</v>
      </c>
      <c r="B893" s="850" t="s">
        <v>728</v>
      </c>
      <c r="C893" s="666"/>
      <c r="D893" s="643">
        <f>G893+J893+P893+M893</f>
        <v>1450</v>
      </c>
      <c r="E893" s="643">
        <f>H893+K893+Q893+N893</f>
        <v>0</v>
      </c>
      <c r="F893" s="644">
        <f>E893/D893*100</f>
        <v>0</v>
      </c>
      <c r="G893" s="666">
        <v>750</v>
      </c>
      <c r="H893" s="730"/>
      <c r="I893" s="492">
        <f t="shared" si="104"/>
        <v>0</v>
      </c>
      <c r="J893" s="730"/>
      <c r="K893" s="667"/>
      <c r="L893" s="649"/>
      <c r="M893" s="666">
        <v>700</v>
      </c>
      <c r="N893" s="667"/>
      <c r="O893" s="492">
        <f>N893/M893*100</f>
        <v>0</v>
      </c>
      <c r="P893" s="667"/>
      <c r="Q893" s="667"/>
      <c r="R893" s="737"/>
    </row>
    <row r="894" spans="1:18" s="882" customFormat="1" ht="36">
      <c r="A894" s="728">
        <v>4750</v>
      </c>
      <c r="B894" s="850" t="s">
        <v>814</v>
      </c>
      <c r="C894" s="666"/>
      <c r="D894" s="643">
        <f t="shared" si="106"/>
        <v>1000</v>
      </c>
      <c r="E894" s="643">
        <f t="shared" si="106"/>
        <v>0</v>
      </c>
      <c r="F894" s="644">
        <f t="shared" si="103"/>
        <v>0</v>
      </c>
      <c r="G894" s="666"/>
      <c r="H894" s="730"/>
      <c r="I894" s="492"/>
      <c r="J894" s="730"/>
      <c r="K894" s="667"/>
      <c r="L894" s="649"/>
      <c r="M894" s="666">
        <v>1000</v>
      </c>
      <c r="N894" s="667"/>
      <c r="O894" s="492">
        <f>N894/M894*100</f>
        <v>0</v>
      </c>
      <c r="P894" s="667"/>
      <c r="Q894" s="667"/>
      <c r="R894" s="737"/>
    </row>
    <row r="895" spans="1:18" ht="24.75" customHeight="1">
      <c r="A895" s="724">
        <v>80195</v>
      </c>
      <c r="B895" s="854" t="s">
        <v>311</v>
      </c>
      <c r="C895" s="673">
        <f>SUM(C897:C923)+C948</f>
        <v>6156750</v>
      </c>
      <c r="D895" s="674">
        <f>G895+J895+P895+M895</f>
        <v>6760595</v>
      </c>
      <c r="E895" s="674">
        <f t="shared" si="106"/>
        <v>4624586</v>
      </c>
      <c r="F895" s="658">
        <f t="shared" si="103"/>
        <v>68.40501464737942</v>
      </c>
      <c r="G895" s="997">
        <f>SUM(G897:G923)+G931+G932+G956+G943</f>
        <v>3392782</v>
      </c>
      <c r="H895" s="674">
        <f>SUM(H897:H923)+H931+H932+H956+H943</f>
        <v>2440540</v>
      </c>
      <c r="I895" s="890">
        <f t="shared" si="104"/>
        <v>71.93329839641922</v>
      </c>
      <c r="J895" s="677">
        <f>SUM(J898:J922)</f>
        <v>7100</v>
      </c>
      <c r="K895" s="677">
        <f>SUM(K898:K922)</f>
        <v>6392</v>
      </c>
      <c r="L895" s="663">
        <f>K895/J895*100</f>
        <v>90.0281690140845</v>
      </c>
      <c r="M895" s="673">
        <f>SUM(M897:M923)+M932+M948+M943</f>
        <v>3360713</v>
      </c>
      <c r="N895" s="674">
        <f>SUM(N897:N923)+N932+N948+N943</f>
        <v>2177654</v>
      </c>
      <c r="O895" s="890">
        <f>N895/M895*100</f>
        <v>64.797380793897</v>
      </c>
      <c r="P895" s="657"/>
      <c r="Q895" s="657"/>
      <c r="R895" s="842"/>
    </row>
    <row r="896" spans="1:18" ht="36" hidden="1">
      <c r="A896" s="728">
        <v>6060</v>
      </c>
      <c r="B896" s="995" t="s">
        <v>815</v>
      </c>
      <c r="C896" s="697"/>
      <c r="D896" s="643">
        <f t="shared" si="106"/>
        <v>0</v>
      </c>
      <c r="E896" s="667">
        <f>SUM(H896+K896+N896+Q896)</f>
        <v>0</v>
      </c>
      <c r="F896" s="644" t="e">
        <f t="shared" si="103"/>
        <v>#DIV/0!</v>
      </c>
      <c r="G896" s="697">
        <f>10000-10000</f>
        <v>0</v>
      </c>
      <c r="H896" s="643"/>
      <c r="I896" s="492" t="e">
        <f t="shared" si="104"/>
        <v>#DIV/0!</v>
      </c>
      <c r="J896" s="998"/>
      <c r="K896" s="847"/>
      <c r="L896" s="751"/>
      <c r="M896" s="643"/>
      <c r="N896" s="643"/>
      <c r="O896" s="731"/>
      <c r="P896" s="847"/>
      <c r="Q896" s="847"/>
      <c r="R896" s="731"/>
    </row>
    <row r="897" spans="1:18" ht="36" hidden="1">
      <c r="A897" s="728">
        <v>3020</v>
      </c>
      <c r="B897" s="735" t="s">
        <v>934</v>
      </c>
      <c r="C897" s="697"/>
      <c r="D897" s="643">
        <f t="shared" si="106"/>
        <v>0</v>
      </c>
      <c r="E897" s="643">
        <f aca="true" t="shared" si="107" ref="E897:E923">SUM(H897+K897+N897+Q897)</f>
        <v>0</v>
      </c>
      <c r="F897" s="644" t="e">
        <f t="shared" si="103"/>
        <v>#DIV/0!</v>
      </c>
      <c r="G897" s="643"/>
      <c r="H897" s="648"/>
      <c r="I897" s="492" t="e">
        <f t="shared" si="104"/>
        <v>#DIV/0!</v>
      </c>
      <c r="J897" s="730"/>
      <c r="K897" s="667"/>
      <c r="L897" s="649"/>
      <c r="M897" s="666"/>
      <c r="N897" s="667"/>
      <c r="O897" s="647" t="e">
        <f aca="true" t="shared" si="108" ref="O897:O917">N897/M897*100</f>
        <v>#DIV/0!</v>
      </c>
      <c r="P897" s="667"/>
      <c r="Q897" s="667"/>
      <c r="R897" s="737"/>
    </row>
    <row r="898" spans="1:18" ht="24">
      <c r="A898" s="728">
        <v>4010</v>
      </c>
      <c r="B898" s="735" t="s">
        <v>697</v>
      </c>
      <c r="C898" s="697">
        <v>671800</v>
      </c>
      <c r="D898" s="643">
        <f t="shared" si="106"/>
        <v>709813</v>
      </c>
      <c r="E898" s="643">
        <f t="shared" si="107"/>
        <v>431839</v>
      </c>
      <c r="F898" s="644">
        <f t="shared" si="103"/>
        <v>60.83841800586916</v>
      </c>
      <c r="G898" s="643">
        <f>32000+35900+16800+18000+83700+253000</f>
        <v>439400</v>
      </c>
      <c r="H898" s="648">
        <v>261366</v>
      </c>
      <c r="I898" s="492">
        <f t="shared" si="104"/>
        <v>59.482476103777884</v>
      </c>
      <c r="J898" s="730"/>
      <c r="K898" s="667"/>
      <c r="L898" s="649"/>
      <c r="M898" s="666">
        <f>25300+207100+37813+200</f>
        <v>270413</v>
      </c>
      <c r="N898" s="667">
        <v>170473</v>
      </c>
      <c r="O898" s="647">
        <f t="shared" si="108"/>
        <v>63.041717668899054</v>
      </c>
      <c r="P898" s="667"/>
      <c r="Q898" s="667"/>
      <c r="R898" s="737"/>
    </row>
    <row r="899" spans="1:18" ht="24">
      <c r="A899" s="728">
        <v>4110</v>
      </c>
      <c r="B899" s="735" t="s">
        <v>703</v>
      </c>
      <c r="C899" s="697">
        <v>122900</v>
      </c>
      <c r="D899" s="643">
        <f t="shared" si="106"/>
        <v>129856</v>
      </c>
      <c r="E899" s="643">
        <f t="shared" si="107"/>
        <v>68006</v>
      </c>
      <c r="F899" s="644">
        <f t="shared" si="103"/>
        <v>52.37031789058649</v>
      </c>
      <c r="G899" s="643">
        <f>6000+6000+2800+3000+14300+41000+2500+400+912</f>
        <v>76912</v>
      </c>
      <c r="H899" s="648">
        <v>40367</v>
      </c>
      <c r="I899" s="492">
        <f t="shared" si="104"/>
        <v>52.48465779072187</v>
      </c>
      <c r="J899" s="730"/>
      <c r="K899" s="667"/>
      <c r="L899" s="649"/>
      <c r="M899" s="666">
        <f>4100+41900+1300+5844-200</f>
        <v>52944</v>
      </c>
      <c r="N899" s="667">
        <v>27639</v>
      </c>
      <c r="O899" s="647">
        <f t="shared" si="108"/>
        <v>52.20421577515866</v>
      </c>
      <c r="P899" s="667"/>
      <c r="Q899" s="667"/>
      <c r="R899" s="737"/>
    </row>
    <row r="900" spans="1:18" ht="12.75">
      <c r="A900" s="728">
        <v>4120</v>
      </c>
      <c r="B900" s="735" t="s">
        <v>847</v>
      </c>
      <c r="C900" s="697">
        <v>18050</v>
      </c>
      <c r="D900" s="643">
        <f aca="true" t="shared" si="109" ref="D900:D965">G900+J900+P900+M900</f>
        <v>19181</v>
      </c>
      <c r="E900" s="643">
        <f t="shared" si="107"/>
        <v>10744</v>
      </c>
      <c r="F900" s="644">
        <f t="shared" si="103"/>
        <v>56.0137636202492</v>
      </c>
      <c r="G900" s="643">
        <f>1100+1100+400+300+2000+6000+350+64+142</f>
        <v>11456</v>
      </c>
      <c r="H900" s="648">
        <v>6332</v>
      </c>
      <c r="I900" s="492">
        <f t="shared" si="104"/>
        <v>55.272346368715084</v>
      </c>
      <c r="J900" s="730"/>
      <c r="K900" s="667"/>
      <c r="L900" s="649"/>
      <c r="M900" s="666">
        <f>600+6000+200+925</f>
        <v>7725</v>
      </c>
      <c r="N900" s="667">
        <v>4412</v>
      </c>
      <c r="O900" s="647">
        <f t="shared" si="108"/>
        <v>57.11326860841424</v>
      </c>
      <c r="P900" s="667"/>
      <c r="Q900" s="667"/>
      <c r="R900" s="737"/>
    </row>
    <row r="901" spans="1:18" ht="36" hidden="1">
      <c r="A901" s="728">
        <v>4110</v>
      </c>
      <c r="B901" s="735" t="s">
        <v>18</v>
      </c>
      <c r="C901" s="697"/>
      <c r="D901" s="643">
        <f t="shared" si="109"/>
        <v>0</v>
      </c>
      <c r="E901" s="643">
        <f>SUM(H901+K901+N901+Q901)</f>
        <v>0</v>
      </c>
      <c r="F901" s="644" t="e">
        <f t="shared" si="103"/>
        <v>#DIV/0!</v>
      </c>
      <c r="G901" s="643"/>
      <c r="H901" s="648"/>
      <c r="I901" s="492" t="e">
        <f t="shared" si="104"/>
        <v>#DIV/0!</v>
      </c>
      <c r="J901" s="730"/>
      <c r="K901" s="667"/>
      <c r="L901" s="649"/>
      <c r="M901" s="666"/>
      <c r="N901" s="667"/>
      <c r="O901" s="647"/>
      <c r="P901" s="667"/>
      <c r="Q901" s="667"/>
      <c r="R901" s="737"/>
    </row>
    <row r="902" spans="1:18" ht="24" hidden="1">
      <c r="A902" s="728">
        <v>4120</v>
      </c>
      <c r="B902" s="735" t="s">
        <v>19</v>
      </c>
      <c r="C902" s="697"/>
      <c r="D902" s="643">
        <f t="shared" si="109"/>
        <v>0</v>
      </c>
      <c r="E902" s="643">
        <f>SUM(H902+K902+N902+Q902)</f>
        <v>0</v>
      </c>
      <c r="F902" s="644" t="e">
        <f t="shared" si="103"/>
        <v>#DIV/0!</v>
      </c>
      <c r="G902" s="643"/>
      <c r="H902" s="648"/>
      <c r="I902" s="492" t="e">
        <f t="shared" si="104"/>
        <v>#DIV/0!</v>
      </c>
      <c r="J902" s="730"/>
      <c r="K902" s="667"/>
      <c r="L902" s="649"/>
      <c r="M902" s="666"/>
      <c r="N902" s="667"/>
      <c r="O902" s="647"/>
      <c r="P902" s="667"/>
      <c r="Q902" s="667"/>
      <c r="R902" s="737"/>
    </row>
    <row r="903" spans="1:18" ht="36" hidden="1">
      <c r="A903" s="728">
        <v>4170</v>
      </c>
      <c r="B903" s="735" t="s">
        <v>20</v>
      </c>
      <c r="C903" s="697"/>
      <c r="D903" s="643">
        <f t="shared" si="109"/>
        <v>0</v>
      </c>
      <c r="E903" s="643">
        <f>SUM(H903+K903+N903+Q903)</f>
        <v>0</v>
      </c>
      <c r="F903" s="644" t="e">
        <f t="shared" si="103"/>
        <v>#DIV/0!</v>
      </c>
      <c r="G903" s="643"/>
      <c r="H903" s="648"/>
      <c r="I903" s="492" t="e">
        <f t="shared" si="104"/>
        <v>#DIV/0!</v>
      </c>
      <c r="J903" s="730"/>
      <c r="K903" s="667"/>
      <c r="L903" s="649"/>
      <c r="M903" s="666"/>
      <c r="N903" s="667"/>
      <c r="O903" s="647"/>
      <c r="P903" s="667"/>
      <c r="Q903" s="667"/>
      <c r="R903" s="737"/>
    </row>
    <row r="904" spans="1:18" ht="24">
      <c r="A904" s="728">
        <v>4170</v>
      </c>
      <c r="B904" s="735" t="s">
        <v>742</v>
      </c>
      <c r="C904" s="697">
        <v>40300</v>
      </c>
      <c r="D904" s="643">
        <f t="shared" si="109"/>
        <v>49975</v>
      </c>
      <c r="E904" s="643">
        <f t="shared" si="107"/>
        <v>23086</v>
      </c>
      <c r="F904" s="644">
        <f t="shared" si="103"/>
        <v>46.19509754877439</v>
      </c>
      <c r="G904" s="643">
        <f>3000+14300+3870+5805</f>
        <v>26975</v>
      </c>
      <c r="H904" s="648">
        <f>4263+1</f>
        <v>4264</v>
      </c>
      <c r="I904" s="492">
        <f t="shared" si="104"/>
        <v>15.80722891566265</v>
      </c>
      <c r="J904" s="730"/>
      <c r="K904" s="667"/>
      <c r="L904" s="649"/>
      <c r="M904" s="666">
        <f>2000+1000+20000</f>
        <v>23000</v>
      </c>
      <c r="N904" s="667">
        <v>18822</v>
      </c>
      <c r="O904" s="647">
        <f t="shared" si="108"/>
        <v>81.83478260869566</v>
      </c>
      <c r="P904" s="667"/>
      <c r="Q904" s="667"/>
      <c r="R904" s="737"/>
    </row>
    <row r="905" spans="1:18" ht="27.75" customHeight="1">
      <c r="A905" s="728">
        <v>4210</v>
      </c>
      <c r="B905" s="735" t="s">
        <v>707</v>
      </c>
      <c r="C905" s="697">
        <v>5000</v>
      </c>
      <c r="D905" s="643">
        <f t="shared" si="109"/>
        <v>42034</v>
      </c>
      <c r="E905" s="643">
        <f t="shared" si="107"/>
        <v>30958</v>
      </c>
      <c r="F905" s="644">
        <f t="shared" si="103"/>
        <v>73.6499024599134</v>
      </c>
      <c r="G905" s="643">
        <f>6000+2334</f>
        <v>8334</v>
      </c>
      <c r="H905" s="648">
        <v>2334</v>
      </c>
      <c r="I905" s="492">
        <f t="shared" si="104"/>
        <v>28.005759539236863</v>
      </c>
      <c r="J905" s="730"/>
      <c r="K905" s="667"/>
      <c r="L905" s="649"/>
      <c r="M905" s="666">
        <f>5000+8200+1000+19000+500</f>
        <v>33700</v>
      </c>
      <c r="N905" s="667">
        <v>28624</v>
      </c>
      <c r="O905" s="492">
        <f t="shared" si="108"/>
        <v>84.93768545994065</v>
      </c>
      <c r="P905" s="667"/>
      <c r="Q905" s="667"/>
      <c r="R905" s="737"/>
    </row>
    <row r="906" spans="1:18" ht="36">
      <c r="A906" s="728">
        <v>4210</v>
      </c>
      <c r="B906" s="735" t="s">
        <v>21</v>
      </c>
      <c r="C906" s="697"/>
      <c r="D906" s="643">
        <f>G906+J906+P906+M906</f>
        <v>2100</v>
      </c>
      <c r="E906" s="643">
        <f>SUM(H906+K906+N906+Q906)</f>
        <v>1392</v>
      </c>
      <c r="F906" s="644">
        <f t="shared" si="103"/>
        <v>66.28571428571428</v>
      </c>
      <c r="G906" s="643"/>
      <c r="H906" s="648"/>
      <c r="I906" s="492"/>
      <c r="J906" s="730">
        <v>2100</v>
      </c>
      <c r="K906" s="667">
        <v>1392</v>
      </c>
      <c r="L906" s="649">
        <f>K906/J906*100</f>
        <v>66.28571428571428</v>
      </c>
      <c r="M906" s="666"/>
      <c r="N906" s="667"/>
      <c r="O906" s="492"/>
      <c r="P906" s="667"/>
      <c r="Q906" s="667"/>
      <c r="R906" s="737"/>
    </row>
    <row r="907" spans="1:18" ht="35.25" customHeight="1">
      <c r="A907" s="728">
        <v>4240</v>
      </c>
      <c r="B907" s="735" t="s">
        <v>832</v>
      </c>
      <c r="C907" s="697">
        <v>285000</v>
      </c>
      <c r="D907" s="643">
        <f t="shared" si="109"/>
        <v>19150</v>
      </c>
      <c r="E907" s="643">
        <f t="shared" si="107"/>
        <v>8790</v>
      </c>
      <c r="F907" s="644">
        <f t="shared" si="103"/>
        <v>45.900783289817234</v>
      </c>
      <c r="G907" s="643">
        <f>275000-5000+3600-13034-4434-252532</f>
        <v>3600</v>
      </c>
      <c r="H907" s="648">
        <v>3600</v>
      </c>
      <c r="I907" s="492">
        <f>H907/G907*100</f>
        <v>100</v>
      </c>
      <c r="J907" s="730"/>
      <c r="K907" s="667"/>
      <c r="L907" s="649"/>
      <c r="M907" s="666">
        <f>10000-1563-400-1030-1457+10000</f>
        <v>15550</v>
      </c>
      <c r="N907" s="667">
        <v>5190</v>
      </c>
      <c r="O907" s="492">
        <f t="shared" si="108"/>
        <v>33.37620578778135</v>
      </c>
      <c r="P907" s="667"/>
      <c r="Q907" s="667"/>
      <c r="R907" s="737"/>
    </row>
    <row r="908" spans="1:18" ht="36">
      <c r="A908" s="728">
        <v>4270</v>
      </c>
      <c r="B908" s="735" t="s">
        <v>22</v>
      </c>
      <c r="C908" s="697">
        <v>7000</v>
      </c>
      <c r="D908" s="643">
        <f t="shared" si="109"/>
        <v>7000</v>
      </c>
      <c r="E908" s="643">
        <f t="shared" si="107"/>
        <v>7000</v>
      </c>
      <c r="F908" s="644">
        <f t="shared" si="103"/>
        <v>100</v>
      </c>
      <c r="G908" s="643">
        <f>7000-7000+4000</f>
        <v>4000</v>
      </c>
      <c r="H908" s="648">
        <v>4000</v>
      </c>
      <c r="I908" s="492">
        <f>H908/G908*100</f>
        <v>100</v>
      </c>
      <c r="J908" s="730"/>
      <c r="K908" s="667"/>
      <c r="L908" s="649"/>
      <c r="M908" s="666">
        <v>3000</v>
      </c>
      <c r="N908" s="667">
        <v>3000</v>
      </c>
      <c r="O908" s="492">
        <f t="shared" si="108"/>
        <v>100</v>
      </c>
      <c r="P908" s="667"/>
      <c r="Q908" s="667"/>
      <c r="R908" s="737"/>
    </row>
    <row r="909" spans="1:18" ht="24" hidden="1">
      <c r="A909" s="728">
        <v>4280</v>
      </c>
      <c r="B909" s="735" t="s">
        <v>805</v>
      </c>
      <c r="C909" s="697"/>
      <c r="D909" s="643">
        <f t="shared" si="109"/>
        <v>0</v>
      </c>
      <c r="E909" s="643">
        <f t="shared" si="107"/>
        <v>0</v>
      </c>
      <c r="F909" s="644" t="e">
        <f t="shared" si="103"/>
        <v>#DIV/0!</v>
      </c>
      <c r="G909" s="697">
        <f>26245-26245</f>
        <v>0</v>
      </c>
      <c r="H909" s="643"/>
      <c r="I909" s="492" t="e">
        <f>H909/G909*100</f>
        <v>#DIV/0!</v>
      </c>
      <c r="J909" s="730"/>
      <c r="K909" s="667"/>
      <c r="L909" s="649"/>
      <c r="M909" s="697">
        <f>33800-33800</f>
        <v>0</v>
      </c>
      <c r="N909" s="643">
        <v>0</v>
      </c>
      <c r="O909" s="492" t="e">
        <f t="shared" si="108"/>
        <v>#DIV/0!</v>
      </c>
      <c r="P909" s="667"/>
      <c r="Q909" s="667"/>
      <c r="R909" s="737"/>
    </row>
    <row r="910" spans="1:18" ht="24">
      <c r="A910" s="728">
        <v>4300</v>
      </c>
      <c r="B910" s="735" t="s">
        <v>715</v>
      </c>
      <c r="C910" s="697">
        <v>1746495</v>
      </c>
      <c r="D910" s="643">
        <f t="shared" si="109"/>
        <v>1859760</v>
      </c>
      <c r="E910" s="643">
        <f t="shared" si="107"/>
        <v>1139432</v>
      </c>
      <c r="F910" s="644">
        <f t="shared" si="103"/>
        <v>61.267690454682324</v>
      </c>
      <c r="G910" s="889">
        <f>1489900-21100+47050-39150-34534+13200+14150+116144+3800+600+25100+448-2300-23158</f>
        <v>1590150</v>
      </c>
      <c r="H910" s="643">
        <v>982824</v>
      </c>
      <c r="I910" s="492">
        <f>H910/G910*100</f>
        <v>61.80699933968493</v>
      </c>
      <c r="J910" s="730"/>
      <c r="K910" s="667"/>
      <c r="L910" s="649"/>
      <c r="M910" s="697">
        <f>256595-1700-2043-3292+2000+3600-3600+1100+3859+3200-3200-109+6000-3300+10500</f>
        <v>269610</v>
      </c>
      <c r="N910" s="643">
        <v>156608</v>
      </c>
      <c r="O910" s="492">
        <f t="shared" si="108"/>
        <v>58.08686621416119</v>
      </c>
      <c r="P910" s="667"/>
      <c r="Q910" s="667"/>
      <c r="R910" s="737"/>
    </row>
    <row r="911" spans="1:18" s="761" customFormat="1" ht="12.75">
      <c r="A911" s="829">
        <v>4430</v>
      </c>
      <c r="B911" s="865" t="s">
        <v>717</v>
      </c>
      <c r="C911" s="697">
        <v>175000</v>
      </c>
      <c r="D911" s="643">
        <f t="shared" si="109"/>
        <v>220000</v>
      </c>
      <c r="E911" s="643">
        <f t="shared" si="107"/>
        <v>165246</v>
      </c>
      <c r="F911" s="999">
        <f t="shared" si="103"/>
        <v>75.11181818181818</v>
      </c>
      <c r="G911" s="697">
        <f>83000+25000</f>
        <v>108000</v>
      </c>
      <c r="H911" s="643">
        <v>73246</v>
      </c>
      <c r="I911" s="866">
        <f aca="true" t="shared" si="110" ref="I911:I968">H911/G911*100</f>
        <v>67.82037037037037</v>
      </c>
      <c r="J911" s="648"/>
      <c r="K911" s="643"/>
      <c r="L911" s="649"/>
      <c r="M911" s="697">
        <f>92000+20000</f>
        <v>112000</v>
      </c>
      <c r="N911" s="643">
        <v>92000</v>
      </c>
      <c r="O911" s="1000">
        <f t="shared" si="108"/>
        <v>82.14285714285714</v>
      </c>
      <c r="P911" s="643"/>
      <c r="Q911" s="643"/>
      <c r="R911" s="737"/>
    </row>
    <row r="912" spans="1:18" ht="24">
      <c r="A912" s="728">
        <v>4440</v>
      </c>
      <c r="B912" s="735" t="s">
        <v>23</v>
      </c>
      <c r="C912" s="697">
        <v>828000</v>
      </c>
      <c r="D912" s="643">
        <f t="shared" si="109"/>
        <v>508664</v>
      </c>
      <c r="E912" s="643">
        <f t="shared" si="107"/>
        <v>508664</v>
      </c>
      <c r="F912" s="1001">
        <f t="shared" si="103"/>
        <v>100</v>
      </c>
      <c r="G912" s="697">
        <f>465000-157651+157651-307349</f>
        <v>157651</v>
      </c>
      <c r="H912" s="643">
        <v>157651</v>
      </c>
      <c r="I912" s="644">
        <f t="shared" si="110"/>
        <v>100</v>
      </c>
      <c r="J912" s="730"/>
      <c r="K912" s="667"/>
      <c r="L912" s="649"/>
      <c r="M912" s="666">
        <f>363000-351013+351013-11987</f>
        <v>351013</v>
      </c>
      <c r="N912" s="667">
        <v>351013</v>
      </c>
      <c r="O912" s="492">
        <f t="shared" si="108"/>
        <v>100</v>
      </c>
      <c r="P912" s="667"/>
      <c r="Q912" s="667"/>
      <c r="R912" s="737"/>
    </row>
    <row r="913" spans="1:18" ht="36">
      <c r="A913" s="728">
        <v>4700</v>
      </c>
      <c r="B913" s="735" t="s">
        <v>813</v>
      </c>
      <c r="C913" s="697"/>
      <c r="D913" s="643">
        <f>G913+J913+P913+M913</f>
        <v>9000</v>
      </c>
      <c r="E913" s="643">
        <f>SUM(H913+K913+N913+Q913)</f>
        <v>2000</v>
      </c>
      <c r="F913" s="1001">
        <f>E913/D913*100</f>
        <v>22.22222222222222</v>
      </c>
      <c r="G913" s="697">
        <v>9000</v>
      </c>
      <c r="H913" s="643">
        <v>2000</v>
      </c>
      <c r="I913" s="644">
        <f t="shared" si="110"/>
        <v>22.22222222222222</v>
      </c>
      <c r="J913" s="730"/>
      <c r="K913" s="667"/>
      <c r="L913" s="649"/>
      <c r="M913" s="666"/>
      <c r="N913" s="667"/>
      <c r="O913" s="492"/>
      <c r="P913" s="667"/>
      <c r="Q913" s="667"/>
      <c r="R913" s="737"/>
    </row>
    <row r="914" spans="1:18" ht="36">
      <c r="A914" s="728">
        <v>4750</v>
      </c>
      <c r="B914" s="850" t="s">
        <v>814</v>
      </c>
      <c r="C914" s="697">
        <v>40000</v>
      </c>
      <c r="D914" s="643">
        <f t="shared" si="109"/>
        <v>2000</v>
      </c>
      <c r="E914" s="643">
        <f>SUM(H914+K914+N914+Q914)</f>
        <v>0</v>
      </c>
      <c r="F914" s="1001">
        <f t="shared" si="103"/>
        <v>0</v>
      </c>
      <c r="G914" s="697">
        <v>2000</v>
      </c>
      <c r="H914" s="643"/>
      <c r="I914" s="644">
        <f t="shared" si="110"/>
        <v>0</v>
      </c>
      <c r="J914" s="730"/>
      <c r="K914" s="667"/>
      <c r="L914" s="649"/>
      <c r="M914" s="666">
        <f>40000-40000</f>
        <v>0</v>
      </c>
      <c r="N914" s="667"/>
      <c r="O914" s="492"/>
      <c r="P914" s="667"/>
      <c r="Q914" s="667"/>
      <c r="R914" s="737"/>
    </row>
    <row r="915" spans="1:18" ht="48">
      <c r="A915" s="709">
        <v>6050</v>
      </c>
      <c r="B915" s="776" t="s">
        <v>24</v>
      </c>
      <c r="C915" s="684">
        <f>1390000+500000</f>
        <v>1890000</v>
      </c>
      <c r="D915" s="685">
        <f t="shared" si="109"/>
        <v>2709625</v>
      </c>
      <c r="E915" s="685">
        <f t="shared" si="107"/>
        <v>1768750</v>
      </c>
      <c r="F915" s="1002">
        <f t="shared" si="103"/>
        <v>65.27656040965078</v>
      </c>
      <c r="G915" s="684">
        <f>740000+23800</f>
        <v>763800</v>
      </c>
      <c r="H915" s="685">
        <v>724528</v>
      </c>
      <c r="I915" s="668">
        <f t="shared" si="110"/>
        <v>94.85833987954962</v>
      </c>
      <c r="J915" s="777"/>
      <c r="K915" s="686"/>
      <c r="L915" s="690"/>
      <c r="M915" s="670">
        <f>650000+500000+438000-1150000+1170000-390000+390000-20000+75000+100825+182000</f>
        <v>1945825</v>
      </c>
      <c r="N915" s="686">
        <v>1044222</v>
      </c>
      <c r="O915" s="652">
        <f t="shared" si="108"/>
        <v>53.664743746225895</v>
      </c>
      <c r="P915" s="686"/>
      <c r="Q915" s="686"/>
      <c r="R915" s="760"/>
    </row>
    <row r="916" spans="1:18" ht="84" hidden="1">
      <c r="A916" s="728">
        <v>6050</v>
      </c>
      <c r="B916" s="735" t="s">
        <v>25</v>
      </c>
      <c r="C916" s="697"/>
      <c r="D916" s="643">
        <f t="shared" si="109"/>
        <v>0</v>
      </c>
      <c r="E916" s="643">
        <f t="shared" si="107"/>
        <v>0</v>
      </c>
      <c r="F916" s="1001" t="e">
        <f t="shared" si="103"/>
        <v>#DIV/0!</v>
      </c>
      <c r="G916" s="697"/>
      <c r="H916" s="643"/>
      <c r="I916" s="699"/>
      <c r="J916" s="730"/>
      <c r="K916" s="667"/>
      <c r="L916" s="649"/>
      <c r="M916" s="666"/>
      <c r="N916" s="667"/>
      <c r="O916" s="647" t="e">
        <f t="shared" si="108"/>
        <v>#DIV/0!</v>
      </c>
      <c r="P916" s="667"/>
      <c r="Q916" s="667"/>
      <c r="R916" s="737"/>
    </row>
    <row r="917" spans="1:18" ht="48">
      <c r="A917" s="728">
        <v>6060</v>
      </c>
      <c r="B917" s="735" t="s">
        <v>26</v>
      </c>
      <c r="C917" s="697">
        <v>150000</v>
      </c>
      <c r="D917" s="643">
        <f t="shared" si="109"/>
        <v>116428</v>
      </c>
      <c r="E917" s="643">
        <f>SUM(H917+K917+N917+Q917)</f>
        <v>116427</v>
      </c>
      <c r="F917" s="1001">
        <f t="shared" si="103"/>
        <v>99.99914110007902</v>
      </c>
      <c r="G917" s="697"/>
      <c r="H917" s="643"/>
      <c r="I917" s="699"/>
      <c r="J917" s="730"/>
      <c r="K917" s="667"/>
      <c r="L917" s="649"/>
      <c r="M917" s="666">
        <f>150000-33572</f>
        <v>116428</v>
      </c>
      <c r="N917" s="667">
        <f>116428-1</f>
        <v>116427</v>
      </c>
      <c r="O917" s="492">
        <f t="shared" si="108"/>
        <v>99.99914110007902</v>
      </c>
      <c r="P917" s="667"/>
      <c r="Q917" s="667"/>
      <c r="R917" s="737"/>
    </row>
    <row r="918" spans="1:18" ht="96" hidden="1">
      <c r="A918" s="728">
        <v>6220</v>
      </c>
      <c r="B918" s="735" t="s">
        <v>27</v>
      </c>
      <c r="C918" s="697"/>
      <c r="D918" s="643">
        <f t="shared" si="109"/>
        <v>0</v>
      </c>
      <c r="E918" s="643">
        <f t="shared" si="107"/>
        <v>0</v>
      </c>
      <c r="F918" s="1001" t="e">
        <f t="shared" si="103"/>
        <v>#DIV/0!</v>
      </c>
      <c r="G918" s="697"/>
      <c r="H918" s="643"/>
      <c r="I918" s="644" t="e">
        <f t="shared" si="110"/>
        <v>#DIV/0!</v>
      </c>
      <c r="J918" s="730"/>
      <c r="K918" s="667"/>
      <c r="L918" s="649"/>
      <c r="M918" s="666"/>
      <c r="N918" s="667"/>
      <c r="O918" s="647"/>
      <c r="P918" s="667"/>
      <c r="Q918" s="667"/>
      <c r="R918" s="737"/>
    </row>
    <row r="919" spans="1:18" ht="48">
      <c r="A919" s="728">
        <v>2480</v>
      </c>
      <c r="B919" s="735" t="s">
        <v>28</v>
      </c>
      <c r="C919" s="697"/>
      <c r="D919" s="643">
        <f t="shared" si="109"/>
        <v>5000</v>
      </c>
      <c r="E919" s="643">
        <f t="shared" si="107"/>
        <v>5000</v>
      </c>
      <c r="F919" s="1001">
        <f t="shared" si="103"/>
        <v>100</v>
      </c>
      <c r="G919" s="697"/>
      <c r="H919" s="643"/>
      <c r="I919" s="644"/>
      <c r="J919" s="730">
        <f>10000-5000</f>
        <v>5000</v>
      </c>
      <c r="K919" s="667">
        <v>5000</v>
      </c>
      <c r="L919" s="396">
        <f>K919/J919*100</f>
        <v>100</v>
      </c>
      <c r="M919" s="666"/>
      <c r="N919" s="667"/>
      <c r="O919" s="647"/>
      <c r="P919" s="667"/>
      <c r="Q919" s="667"/>
      <c r="R919" s="737"/>
    </row>
    <row r="920" spans="1:18" ht="60">
      <c r="A920" s="728">
        <v>2540</v>
      </c>
      <c r="B920" s="735" t="s">
        <v>29</v>
      </c>
      <c r="C920" s="697">
        <v>15000</v>
      </c>
      <c r="D920" s="643">
        <f t="shared" si="109"/>
        <v>15000</v>
      </c>
      <c r="E920" s="643">
        <f t="shared" si="107"/>
        <v>8132</v>
      </c>
      <c r="F920" s="1001">
        <f t="shared" si="103"/>
        <v>54.21333333333334</v>
      </c>
      <c r="G920" s="697">
        <v>15000</v>
      </c>
      <c r="H920" s="643">
        <v>8132</v>
      </c>
      <c r="I920" s="644">
        <f t="shared" si="110"/>
        <v>54.21333333333334</v>
      </c>
      <c r="J920" s="730"/>
      <c r="K920" s="667"/>
      <c r="L920" s="649"/>
      <c r="M920" s="666"/>
      <c r="N920" s="667"/>
      <c r="O920" s="647"/>
      <c r="P920" s="667"/>
      <c r="Q920" s="667"/>
      <c r="R920" s="737"/>
    </row>
    <row r="921" spans="1:18" ht="60">
      <c r="A921" s="728">
        <v>2570</v>
      </c>
      <c r="B921" s="735" t="s">
        <v>30</v>
      </c>
      <c r="C921" s="697">
        <v>15000</v>
      </c>
      <c r="D921" s="643">
        <f t="shared" si="109"/>
        <v>15000</v>
      </c>
      <c r="E921" s="643">
        <f>SUM(H921+K921+N921+Q921)</f>
        <v>10393</v>
      </c>
      <c r="F921" s="1001">
        <f t="shared" si="103"/>
        <v>69.28666666666666</v>
      </c>
      <c r="G921" s="697">
        <v>15000</v>
      </c>
      <c r="H921" s="643">
        <v>10393</v>
      </c>
      <c r="I921" s="644">
        <f t="shared" si="110"/>
        <v>69.28666666666666</v>
      </c>
      <c r="J921" s="730"/>
      <c r="K921" s="667"/>
      <c r="L921" s="649"/>
      <c r="M921" s="666"/>
      <c r="N921" s="667"/>
      <c r="O921" s="647"/>
      <c r="P921" s="667"/>
      <c r="Q921" s="667"/>
      <c r="R921" s="737"/>
    </row>
    <row r="922" spans="1:18" ht="60">
      <c r="A922" s="728">
        <v>2820</v>
      </c>
      <c r="B922" s="735" t="s">
        <v>31</v>
      </c>
      <c r="C922" s="697">
        <v>25000</v>
      </c>
      <c r="D922" s="643">
        <f t="shared" si="109"/>
        <v>25000</v>
      </c>
      <c r="E922" s="643">
        <f t="shared" si="107"/>
        <v>23000</v>
      </c>
      <c r="F922" s="1001">
        <f t="shared" si="103"/>
        <v>92</v>
      </c>
      <c r="G922" s="697">
        <v>25000</v>
      </c>
      <c r="H922" s="643">
        <v>23000</v>
      </c>
      <c r="I922" s="644">
        <f t="shared" si="110"/>
        <v>92</v>
      </c>
      <c r="J922" s="730"/>
      <c r="K922" s="667"/>
      <c r="L922" s="649"/>
      <c r="M922" s="666"/>
      <c r="N922" s="667"/>
      <c r="O922" s="647"/>
      <c r="P922" s="667"/>
      <c r="Q922" s="667"/>
      <c r="R922" s="737"/>
    </row>
    <row r="923" spans="1:18" s="775" customFormat="1" ht="12.75" hidden="1">
      <c r="A923" s="1003"/>
      <c r="B923" s="1004" t="s">
        <v>32</v>
      </c>
      <c r="C923" s="748">
        <f>SUM(C924:C930)</f>
        <v>0</v>
      </c>
      <c r="D923" s="749">
        <f t="shared" si="109"/>
        <v>0</v>
      </c>
      <c r="E923" s="749">
        <f t="shared" si="107"/>
        <v>0</v>
      </c>
      <c r="F923" s="1001" t="e">
        <f t="shared" si="103"/>
        <v>#DIV/0!</v>
      </c>
      <c r="G923" s="748">
        <f>SUM(G924:G930)</f>
        <v>0</v>
      </c>
      <c r="H923" s="749">
        <f>SUM(H924:H930)</f>
        <v>0</v>
      </c>
      <c r="I923" s="644" t="e">
        <f t="shared" si="110"/>
        <v>#DIV/0!</v>
      </c>
      <c r="J923" s="750"/>
      <c r="K923" s="749"/>
      <c r="L923" s="751"/>
      <c r="M923" s="748"/>
      <c r="N923" s="749"/>
      <c r="O923" s="754"/>
      <c r="P923" s="749"/>
      <c r="Q923" s="749"/>
      <c r="R923" s="755"/>
    </row>
    <row r="924" spans="1:18" ht="24" hidden="1">
      <c r="A924" s="728">
        <v>4170</v>
      </c>
      <c r="B924" s="735" t="s">
        <v>33</v>
      </c>
      <c r="C924" s="697"/>
      <c r="D924" s="643">
        <f t="shared" si="109"/>
        <v>0</v>
      </c>
      <c r="E924" s="643">
        <f>SUM(H924+K924+N924+Q924)</f>
        <v>0</v>
      </c>
      <c r="F924" s="1001" t="e">
        <f t="shared" si="103"/>
        <v>#DIV/0!</v>
      </c>
      <c r="G924" s="666">
        <f>5805-5805</f>
        <v>0</v>
      </c>
      <c r="H924" s="667"/>
      <c r="I924" s="644" t="e">
        <f t="shared" si="110"/>
        <v>#DIV/0!</v>
      </c>
      <c r="J924" s="730"/>
      <c r="K924" s="667"/>
      <c r="L924" s="649"/>
      <c r="M924" s="666"/>
      <c r="N924" s="667"/>
      <c r="O924" s="647"/>
      <c r="P924" s="667"/>
      <c r="Q924" s="667"/>
      <c r="R924" s="737"/>
    </row>
    <row r="925" spans="1:18" ht="24" hidden="1">
      <c r="A925" s="728">
        <v>4110</v>
      </c>
      <c r="B925" s="735" t="s">
        <v>703</v>
      </c>
      <c r="C925" s="697"/>
      <c r="D925" s="643">
        <f t="shared" si="109"/>
        <v>0</v>
      </c>
      <c r="E925" s="643">
        <f aca="true" t="shared" si="111" ref="E925:E954">SUM(H925+K925+N925+Q925)</f>
        <v>0</v>
      </c>
      <c r="F925" s="1001" t="e">
        <f t="shared" si="103"/>
        <v>#DIV/0!</v>
      </c>
      <c r="G925" s="666">
        <f>912-912</f>
        <v>0</v>
      </c>
      <c r="H925" s="667"/>
      <c r="I925" s="644" t="e">
        <f t="shared" si="110"/>
        <v>#DIV/0!</v>
      </c>
      <c r="J925" s="730"/>
      <c r="K925" s="667"/>
      <c r="L925" s="649"/>
      <c r="M925" s="666"/>
      <c r="N925" s="667"/>
      <c r="O925" s="647"/>
      <c r="P925" s="667"/>
      <c r="Q925" s="667"/>
      <c r="R925" s="737"/>
    </row>
    <row r="926" spans="1:18" ht="12.75" hidden="1">
      <c r="A926" s="728">
        <v>4120</v>
      </c>
      <c r="B926" s="735" t="s">
        <v>847</v>
      </c>
      <c r="C926" s="697"/>
      <c r="D926" s="643">
        <f t="shared" si="109"/>
        <v>0</v>
      </c>
      <c r="E926" s="643">
        <f t="shared" si="111"/>
        <v>0</v>
      </c>
      <c r="F926" s="1001" t="e">
        <f t="shared" si="103"/>
        <v>#DIV/0!</v>
      </c>
      <c r="G926" s="666">
        <f>142-142</f>
        <v>0</v>
      </c>
      <c r="H926" s="667"/>
      <c r="I926" s="644" t="e">
        <f t="shared" si="110"/>
        <v>#DIV/0!</v>
      </c>
      <c r="J926" s="730"/>
      <c r="K926" s="667"/>
      <c r="L926" s="649"/>
      <c r="M926" s="666"/>
      <c r="N926" s="667"/>
      <c r="O926" s="647"/>
      <c r="P926" s="667"/>
      <c r="Q926" s="667"/>
      <c r="R926" s="737"/>
    </row>
    <row r="927" spans="1:18" ht="24" hidden="1">
      <c r="A927" s="728">
        <v>4300</v>
      </c>
      <c r="B927" s="735" t="s">
        <v>715</v>
      </c>
      <c r="C927" s="697"/>
      <c r="D927" s="643">
        <f t="shared" si="109"/>
        <v>0</v>
      </c>
      <c r="E927" s="643">
        <f t="shared" si="111"/>
        <v>0</v>
      </c>
      <c r="F927" s="1001" t="e">
        <f t="shared" si="103"/>
        <v>#DIV/0!</v>
      </c>
      <c r="G927" s="666"/>
      <c r="H927" s="667"/>
      <c r="I927" s="644" t="e">
        <f t="shared" si="110"/>
        <v>#DIV/0!</v>
      </c>
      <c r="J927" s="730"/>
      <c r="K927" s="667"/>
      <c r="L927" s="649"/>
      <c r="M927" s="666"/>
      <c r="N927" s="667"/>
      <c r="O927" s="647"/>
      <c r="P927" s="667"/>
      <c r="Q927" s="667"/>
      <c r="R927" s="737"/>
    </row>
    <row r="928" spans="1:18" ht="24" hidden="1">
      <c r="A928" s="728">
        <v>4309</v>
      </c>
      <c r="B928" s="735" t="s">
        <v>715</v>
      </c>
      <c r="C928" s="697"/>
      <c r="D928" s="643">
        <f t="shared" si="109"/>
        <v>0</v>
      </c>
      <c r="E928" s="643">
        <f t="shared" si="111"/>
        <v>0</v>
      </c>
      <c r="F928" s="1001" t="e">
        <f t="shared" si="103"/>
        <v>#DIV/0!</v>
      </c>
      <c r="G928" s="666"/>
      <c r="H928" s="667"/>
      <c r="I928" s="644" t="e">
        <f t="shared" si="110"/>
        <v>#DIV/0!</v>
      </c>
      <c r="J928" s="730"/>
      <c r="K928" s="667"/>
      <c r="L928" s="649"/>
      <c r="M928" s="666"/>
      <c r="N928" s="667"/>
      <c r="O928" s="647"/>
      <c r="P928" s="667"/>
      <c r="Q928" s="667"/>
      <c r="R928" s="737"/>
    </row>
    <row r="929" spans="1:18" ht="12.75" hidden="1">
      <c r="A929" s="728">
        <v>4438</v>
      </c>
      <c r="B929" s="865" t="s">
        <v>717</v>
      </c>
      <c r="C929" s="697"/>
      <c r="D929" s="643">
        <f t="shared" si="109"/>
        <v>0</v>
      </c>
      <c r="E929" s="643">
        <f t="shared" si="111"/>
        <v>0</v>
      </c>
      <c r="F929" s="1001" t="e">
        <f t="shared" si="103"/>
        <v>#DIV/0!</v>
      </c>
      <c r="G929" s="666"/>
      <c r="H929" s="667"/>
      <c r="I929" s="644" t="e">
        <f t="shared" si="110"/>
        <v>#DIV/0!</v>
      </c>
      <c r="J929" s="730"/>
      <c r="K929" s="667"/>
      <c r="L929" s="649"/>
      <c r="M929" s="666"/>
      <c r="N929" s="667"/>
      <c r="O929" s="647"/>
      <c r="P929" s="667"/>
      <c r="Q929" s="667"/>
      <c r="R929" s="737"/>
    </row>
    <row r="930" spans="1:18" ht="12.75" hidden="1">
      <c r="A930" s="728">
        <v>4439</v>
      </c>
      <c r="B930" s="865" t="s">
        <v>717</v>
      </c>
      <c r="C930" s="697"/>
      <c r="D930" s="643">
        <f t="shared" si="109"/>
        <v>0</v>
      </c>
      <c r="E930" s="643">
        <f t="shared" si="111"/>
        <v>0</v>
      </c>
      <c r="F930" s="1001" t="e">
        <f t="shared" si="103"/>
        <v>#DIV/0!</v>
      </c>
      <c r="G930" s="666"/>
      <c r="H930" s="667"/>
      <c r="I930" s="644" t="e">
        <f t="shared" si="110"/>
        <v>#DIV/0!</v>
      </c>
      <c r="J930" s="730"/>
      <c r="K930" s="667"/>
      <c r="L930" s="649"/>
      <c r="M930" s="666"/>
      <c r="N930" s="667"/>
      <c r="O930" s="647"/>
      <c r="P930" s="667"/>
      <c r="Q930" s="667"/>
      <c r="R930" s="737"/>
    </row>
    <row r="931" spans="1:18" ht="48" hidden="1">
      <c r="A931" s="728">
        <v>4215</v>
      </c>
      <c r="B931" s="735" t="s">
        <v>34</v>
      </c>
      <c r="C931" s="697"/>
      <c r="D931" s="643">
        <f t="shared" si="109"/>
        <v>0</v>
      </c>
      <c r="E931" s="643">
        <f t="shared" si="111"/>
        <v>0</v>
      </c>
      <c r="F931" s="1001" t="e">
        <f t="shared" si="103"/>
        <v>#DIV/0!</v>
      </c>
      <c r="G931" s="666"/>
      <c r="H931" s="667"/>
      <c r="I931" s="644" t="e">
        <f t="shared" si="110"/>
        <v>#DIV/0!</v>
      </c>
      <c r="J931" s="730"/>
      <c r="K931" s="667"/>
      <c r="L931" s="649"/>
      <c r="M931" s="666"/>
      <c r="N931" s="667"/>
      <c r="O931" s="647"/>
      <c r="P931" s="667"/>
      <c r="Q931" s="667"/>
      <c r="R931" s="737"/>
    </row>
    <row r="932" spans="1:18" s="775" customFormat="1" ht="36">
      <c r="A932" s="746"/>
      <c r="B932" s="926" t="s">
        <v>35</v>
      </c>
      <c r="C932" s="748"/>
      <c r="D932" s="749">
        <f t="shared" si="109"/>
        <v>136504</v>
      </c>
      <c r="E932" s="749">
        <f t="shared" si="111"/>
        <v>136503</v>
      </c>
      <c r="F932" s="1001">
        <f t="shared" si="103"/>
        <v>99.99926742073492</v>
      </c>
      <c r="G932" s="748">
        <f>SUM(G933:G942)</f>
        <v>136504</v>
      </c>
      <c r="H932" s="749">
        <f>SUM(H933:H942)</f>
        <v>136503</v>
      </c>
      <c r="I932" s="644">
        <f t="shared" si="110"/>
        <v>99.99926742073492</v>
      </c>
      <c r="J932" s="750"/>
      <c r="K932" s="749"/>
      <c r="L932" s="751"/>
      <c r="M932" s="748">
        <f>SUM(M933:M942)</f>
        <v>0</v>
      </c>
      <c r="N932" s="749">
        <f>SUM(N933:N942)</f>
        <v>0</v>
      </c>
      <c r="O932" s="492" t="e">
        <f>N932/M932*100</f>
        <v>#DIV/0!</v>
      </c>
      <c r="P932" s="749"/>
      <c r="Q932" s="749"/>
      <c r="R932" s="755"/>
    </row>
    <row r="933" spans="1:18" ht="24">
      <c r="A933" s="728">
        <v>4215</v>
      </c>
      <c r="B933" s="735" t="s">
        <v>707</v>
      </c>
      <c r="C933" s="697"/>
      <c r="D933" s="643">
        <f t="shared" si="109"/>
        <v>19031</v>
      </c>
      <c r="E933" s="643">
        <f t="shared" si="111"/>
        <v>19030</v>
      </c>
      <c r="F933" s="1001">
        <f t="shared" si="103"/>
        <v>99.99474541537492</v>
      </c>
      <c r="G933" s="666">
        <f>18885+146</f>
        <v>19031</v>
      </c>
      <c r="H933" s="667">
        <f>19031-1</f>
        <v>19030</v>
      </c>
      <c r="I933" s="644">
        <f t="shared" si="110"/>
        <v>99.99474541537492</v>
      </c>
      <c r="J933" s="730"/>
      <c r="K933" s="667"/>
      <c r="L933" s="649"/>
      <c r="M933" s="666"/>
      <c r="N933" s="667"/>
      <c r="O933" s="492"/>
      <c r="P933" s="667"/>
      <c r="Q933" s="667"/>
      <c r="R933" s="737"/>
    </row>
    <row r="934" spans="1:18" ht="36">
      <c r="A934" s="728">
        <v>4245</v>
      </c>
      <c r="B934" s="735" t="s">
        <v>832</v>
      </c>
      <c r="C934" s="697"/>
      <c r="D934" s="643">
        <f t="shared" si="109"/>
        <v>4000</v>
      </c>
      <c r="E934" s="643">
        <f t="shared" si="111"/>
        <v>4000</v>
      </c>
      <c r="F934" s="1001">
        <f t="shared" si="103"/>
        <v>100</v>
      </c>
      <c r="G934" s="666">
        <v>4000</v>
      </c>
      <c r="H934" s="667">
        <v>4000</v>
      </c>
      <c r="I934" s="644">
        <f t="shared" si="110"/>
        <v>100</v>
      </c>
      <c r="J934" s="730"/>
      <c r="K934" s="667"/>
      <c r="L934" s="649"/>
      <c r="M934" s="666"/>
      <c r="N934" s="667"/>
      <c r="O934" s="492"/>
      <c r="P934" s="667"/>
      <c r="Q934" s="667"/>
      <c r="R934" s="737"/>
    </row>
    <row r="935" spans="1:18" ht="24" hidden="1">
      <c r="A935" s="728">
        <v>4300</v>
      </c>
      <c r="B935" s="735" t="s">
        <v>715</v>
      </c>
      <c r="C935" s="697"/>
      <c r="D935" s="643">
        <f>G935+J935+P935+M935</f>
        <v>0</v>
      </c>
      <c r="E935" s="643">
        <f>SUM(H935+K935+N935+Q935)</f>
        <v>0</v>
      </c>
      <c r="F935" s="1001" t="e">
        <f t="shared" si="103"/>
        <v>#DIV/0!</v>
      </c>
      <c r="G935" s="666"/>
      <c r="H935" s="667"/>
      <c r="I935" s="644" t="e">
        <f t="shared" si="110"/>
        <v>#DIV/0!</v>
      </c>
      <c r="J935" s="730"/>
      <c r="K935" s="667"/>
      <c r="L935" s="649"/>
      <c r="M935" s="666"/>
      <c r="N935" s="667"/>
      <c r="O935" s="492"/>
      <c r="P935" s="667"/>
      <c r="Q935" s="667"/>
      <c r="R935" s="737"/>
    </row>
    <row r="936" spans="1:18" ht="24">
      <c r="A936" s="728">
        <v>4305</v>
      </c>
      <c r="B936" s="735" t="s">
        <v>715</v>
      </c>
      <c r="C936" s="697"/>
      <c r="D936" s="643">
        <f t="shared" si="109"/>
        <v>18636</v>
      </c>
      <c r="E936" s="643">
        <f t="shared" si="111"/>
        <v>18636</v>
      </c>
      <c r="F936" s="1001">
        <f t="shared" si="103"/>
        <v>100</v>
      </c>
      <c r="G936" s="666">
        <f>18361+275</f>
        <v>18636</v>
      </c>
      <c r="H936" s="667">
        <v>18636</v>
      </c>
      <c r="I936" s="644">
        <f t="shared" si="110"/>
        <v>100</v>
      </c>
      <c r="J936" s="730"/>
      <c r="K936" s="667"/>
      <c r="L936" s="649"/>
      <c r="M936" s="666"/>
      <c r="N936" s="667"/>
      <c r="O936" s="492"/>
      <c r="P936" s="667"/>
      <c r="Q936" s="667"/>
      <c r="R936" s="737"/>
    </row>
    <row r="937" spans="1:18" ht="24">
      <c r="A937" s="728">
        <v>4355</v>
      </c>
      <c r="B937" s="735" t="s">
        <v>807</v>
      </c>
      <c r="C937" s="697"/>
      <c r="D937" s="643">
        <f>G937+J937+P937+M937</f>
        <v>500</v>
      </c>
      <c r="E937" s="643">
        <f>SUM(H937+K937+N937+Q937)</f>
        <v>500</v>
      </c>
      <c r="F937" s="1001">
        <f t="shared" si="103"/>
        <v>100</v>
      </c>
      <c r="G937" s="666">
        <v>500</v>
      </c>
      <c r="H937" s="667">
        <v>500</v>
      </c>
      <c r="I937" s="644">
        <f t="shared" si="110"/>
        <v>100</v>
      </c>
      <c r="J937" s="730"/>
      <c r="K937" s="667"/>
      <c r="L937" s="649"/>
      <c r="M937" s="666"/>
      <c r="N937" s="667"/>
      <c r="O937" s="492"/>
      <c r="P937" s="667"/>
      <c r="Q937" s="667"/>
      <c r="R937" s="737"/>
    </row>
    <row r="938" spans="1:18" ht="24">
      <c r="A938" s="728">
        <v>4415</v>
      </c>
      <c r="B938" s="735" t="s">
        <v>689</v>
      </c>
      <c r="C938" s="697"/>
      <c r="D938" s="643">
        <f>G938+J938+P938+M938</f>
        <v>3000</v>
      </c>
      <c r="E938" s="643">
        <f>SUM(H938+K938+N938+Q938)</f>
        <v>3000</v>
      </c>
      <c r="F938" s="1001">
        <f>E938/D938*100</f>
        <v>100</v>
      </c>
      <c r="G938" s="666">
        <v>3000</v>
      </c>
      <c r="H938" s="667">
        <v>3000</v>
      </c>
      <c r="I938" s="644">
        <f t="shared" si="110"/>
        <v>100</v>
      </c>
      <c r="J938" s="730"/>
      <c r="K938" s="667"/>
      <c r="L938" s="649"/>
      <c r="M938" s="666"/>
      <c r="N938" s="667"/>
      <c r="O938" s="492"/>
      <c r="P938" s="667"/>
      <c r="Q938" s="667"/>
      <c r="R938" s="737"/>
    </row>
    <row r="939" spans="1:18" ht="24">
      <c r="A939" s="709">
        <v>4425</v>
      </c>
      <c r="B939" s="776" t="s">
        <v>823</v>
      </c>
      <c r="C939" s="684"/>
      <c r="D939" s="685">
        <f t="shared" si="109"/>
        <v>84349</v>
      </c>
      <c r="E939" s="685">
        <f t="shared" si="111"/>
        <v>84349</v>
      </c>
      <c r="F939" s="1002">
        <f t="shared" si="103"/>
        <v>100</v>
      </c>
      <c r="G939" s="670">
        <f>87758-3409</f>
        <v>84349</v>
      </c>
      <c r="H939" s="686">
        <v>84349</v>
      </c>
      <c r="I939" s="668">
        <f t="shared" si="110"/>
        <v>100</v>
      </c>
      <c r="J939" s="777"/>
      <c r="K939" s="686"/>
      <c r="L939" s="690"/>
      <c r="M939" s="670"/>
      <c r="N939" s="686"/>
      <c r="O939" s="652"/>
      <c r="P939" s="686"/>
      <c r="Q939" s="686"/>
      <c r="R939" s="760"/>
    </row>
    <row r="940" spans="1:18" ht="12.75">
      <c r="A940" s="728">
        <v>4435</v>
      </c>
      <c r="B940" s="865" t="s">
        <v>717</v>
      </c>
      <c r="C940" s="697"/>
      <c r="D940" s="643">
        <f t="shared" si="109"/>
        <v>2588</v>
      </c>
      <c r="E940" s="643">
        <f t="shared" si="111"/>
        <v>2588</v>
      </c>
      <c r="F940" s="1001">
        <f t="shared" si="103"/>
        <v>100</v>
      </c>
      <c r="G940" s="666">
        <f>2600-12</f>
        <v>2588</v>
      </c>
      <c r="H940" s="667">
        <v>2588</v>
      </c>
      <c r="I940" s="644">
        <f t="shared" si="110"/>
        <v>100</v>
      </c>
      <c r="J940" s="730"/>
      <c r="K940" s="667"/>
      <c r="L940" s="649"/>
      <c r="M940" s="666"/>
      <c r="N940" s="667"/>
      <c r="O940" s="647"/>
      <c r="P940" s="667"/>
      <c r="Q940" s="667"/>
      <c r="R940" s="737"/>
    </row>
    <row r="941" spans="1:18" ht="60">
      <c r="A941" s="728">
        <v>4745</v>
      </c>
      <c r="B941" s="850" t="s">
        <v>728</v>
      </c>
      <c r="C941" s="697"/>
      <c r="D941" s="643">
        <f t="shared" si="109"/>
        <v>1000</v>
      </c>
      <c r="E941" s="643">
        <f t="shared" si="111"/>
        <v>1000</v>
      </c>
      <c r="F941" s="1001">
        <f t="shared" si="103"/>
        <v>100</v>
      </c>
      <c r="G941" s="666">
        <v>1000</v>
      </c>
      <c r="H941" s="667">
        <v>1000</v>
      </c>
      <c r="I941" s="644">
        <f t="shared" si="110"/>
        <v>100</v>
      </c>
      <c r="J941" s="730"/>
      <c r="K941" s="667"/>
      <c r="L941" s="649"/>
      <c r="M941" s="666"/>
      <c r="N941" s="667"/>
      <c r="O941" s="647"/>
      <c r="P941" s="667"/>
      <c r="Q941" s="667"/>
      <c r="R941" s="737"/>
    </row>
    <row r="942" spans="1:18" ht="36">
      <c r="A942" s="728">
        <v>4755</v>
      </c>
      <c r="B942" s="850" t="s">
        <v>814</v>
      </c>
      <c r="C942" s="697"/>
      <c r="D942" s="643">
        <f t="shared" si="109"/>
        <v>3400</v>
      </c>
      <c r="E942" s="643">
        <f t="shared" si="111"/>
        <v>3400</v>
      </c>
      <c r="F942" s="1001">
        <f t="shared" si="103"/>
        <v>100</v>
      </c>
      <c r="G942" s="666">
        <v>3400</v>
      </c>
      <c r="H942" s="667">
        <v>3400</v>
      </c>
      <c r="I942" s="644">
        <f t="shared" si="110"/>
        <v>100</v>
      </c>
      <c r="J942" s="730"/>
      <c r="K942" s="667"/>
      <c r="L942" s="649"/>
      <c r="M942" s="666"/>
      <c r="N942" s="667"/>
      <c r="O942" s="647"/>
      <c r="P942" s="667"/>
      <c r="Q942" s="667"/>
      <c r="R942" s="737"/>
    </row>
    <row r="943" spans="1:18" s="775" customFormat="1" ht="48">
      <c r="A943" s="746"/>
      <c r="B943" s="926" t="s">
        <v>36</v>
      </c>
      <c r="C943" s="748"/>
      <c r="D943" s="749">
        <f>G943+J943+P943+M943</f>
        <v>37300</v>
      </c>
      <c r="E943" s="749">
        <f>SUM(H943+K943+N943+Q943)</f>
        <v>37299</v>
      </c>
      <c r="F943" s="1001">
        <f aca="true" t="shared" si="112" ref="F943:F968">E943/D943*100</f>
        <v>99.99731903485255</v>
      </c>
      <c r="G943" s="748"/>
      <c r="H943" s="749"/>
      <c r="I943" s="644"/>
      <c r="J943" s="750"/>
      <c r="K943" s="749"/>
      <c r="L943" s="751"/>
      <c r="M943" s="748">
        <f>SUM(M944:M947)</f>
        <v>37300</v>
      </c>
      <c r="N943" s="749">
        <f>SUM(N944:N947)</f>
        <v>37299</v>
      </c>
      <c r="O943" s="519">
        <f>N943/M943*100</f>
        <v>99.99731903485255</v>
      </c>
      <c r="P943" s="749"/>
      <c r="Q943" s="749"/>
      <c r="R943" s="755"/>
    </row>
    <row r="944" spans="1:18" ht="24">
      <c r="A944" s="728">
        <v>4215</v>
      </c>
      <c r="B944" s="735" t="s">
        <v>707</v>
      </c>
      <c r="C944" s="697"/>
      <c r="D944" s="643">
        <f>G944+J944+P944+M944</f>
        <v>1700</v>
      </c>
      <c r="E944" s="643">
        <f>SUM(H944+K944+N944+Q944)</f>
        <v>1700</v>
      </c>
      <c r="F944" s="1001">
        <f t="shared" si="112"/>
        <v>100</v>
      </c>
      <c r="G944" s="666"/>
      <c r="H944" s="667"/>
      <c r="I944" s="644"/>
      <c r="J944" s="730"/>
      <c r="K944" s="667"/>
      <c r="L944" s="649"/>
      <c r="M944" s="666">
        <v>1700</v>
      </c>
      <c r="N944" s="667">
        <v>1700</v>
      </c>
      <c r="O944" s="492">
        <f>N944/M944*100</f>
        <v>100</v>
      </c>
      <c r="P944" s="667"/>
      <c r="Q944" s="667"/>
      <c r="R944" s="737"/>
    </row>
    <row r="945" spans="1:18" ht="24">
      <c r="A945" s="728">
        <v>4305</v>
      </c>
      <c r="B945" s="735" t="s">
        <v>715</v>
      </c>
      <c r="C945" s="697"/>
      <c r="D945" s="643">
        <f>G945+J945+P945+M945</f>
        <v>35063</v>
      </c>
      <c r="E945" s="643">
        <f>SUM(H945+K945+N945+Q945)</f>
        <v>35062</v>
      </c>
      <c r="F945" s="1001">
        <f t="shared" si="112"/>
        <v>99.99714799075949</v>
      </c>
      <c r="G945" s="666"/>
      <c r="H945" s="667"/>
      <c r="I945" s="644"/>
      <c r="J945" s="730"/>
      <c r="K945" s="667"/>
      <c r="L945" s="649"/>
      <c r="M945" s="666">
        <v>35063</v>
      </c>
      <c r="N945" s="667">
        <v>35062</v>
      </c>
      <c r="O945" s="492">
        <f>N945/M945*100</f>
        <v>99.99714799075949</v>
      </c>
      <c r="P945" s="667"/>
      <c r="Q945" s="667"/>
      <c r="R945" s="737"/>
    </row>
    <row r="946" spans="1:18" ht="48">
      <c r="A946" s="829">
        <v>4365</v>
      </c>
      <c r="B946" s="850" t="s">
        <v>982</v>
      </c>
      <c r="C946" s="697"/>
      <c r="D946" s="643">
        <f>G946+J946+P946+M946</f>
        <v>179</v>
      </c>
      <c r="E946" s="643">
        <f>SUM(H946+K946+N946+Q946)</f>
        <v>179</v>
      </c>
      <c r="F946" s="1001">
        <f t="shared" si="112"/>
        <v>100</v>
      </c>
      <c r="G946" s="666"/>
      <c r="H946" s="667"/>
      <c r="I946" s="644"/>
      <c r="J946" s="730"/>
      <c r="K946" s="667"/>
      <c r="L946" s="649"/>
      <c r="M946" s="666">
        <v>179</v>
      </c>
      <c r="N946" s="667">
        <v>179</v>
      </c>
      <c r="O946" s="492">
        <f>N946/M946*100</f>
        <v>100</v>
      </c>
      <c r="P946" s="667"/>
      <c r="Q946" s="667"/>
      <c r="R946" s="737"/>
    </row>
    <row r="947" spans="1:18" ht="12.75">
      <c r="A947" s="728">
        <v>4435</v>
      </c>
      <c r="B947" s="865" t="s">
        <v>717</v>
      </c>
      <c r="C947" s="697"/>
      <c r="D947" s="643">
        <f>G947+J947+P947+M947</f>
        <v>358</v>
      </c>
      <c r="E947" s="643">
        <f>SUM(H947+K947+N947+Q947)</f>
        <v>358</v>
      </c>
      <c r="F947" s="1001">
        <f t="shared" si="112"/>
        <v>100</v>
      </c>
      <c r="G947" s="666"/>
      <c r="H947" s="667"/>
      <c r="I947" s="644"/>
      <c r="J947" s="730"/>
      <c r="K947" s="667"/>
      <c r="L947" s="649"/>
      <c r="M947" s="666">
        <v>358</v>
      </c>
      <c r="N947" s="667">
        <v>358</v>
      </c>
      <c r="O947" s="492">
        <f>N947/M947*100</f>
        <v>100</v>
      </c>
      <c r="P947" s="667"/>
      <c r="Q947" s="667"/>
      <c r="R947" s="737"/>
    </row>
    <row r="948" spans="1:18" s="775" customFormat="1" ht="84">
      <c r="A948" s="746"/>
      <c r="B948" s="926" t="s">
        <v>37</v>
      </c>
      <c r="C948" s="748">
        <f>SUM(C949:C955)</f>
        <v>122205</v>
      </c>
      <c r="D948" s="749">
        <f t="shared" si="109"/>
        <v>122205</v>
      </c>
      <c r="E948" s="749">
        <f t="shared" si="111"/>
        <v>121925</v>
      </c>
      <c r="F948" s="1001">
        <f t="shared" si="112"/>
        <v>99.77087680536802</v>
      </c>
      <c r="G948" s="748"/>
      <c r="H948" s="749"/>
      <c r="I948" s="699"/>
      <c r="J948" s="750"/>
      <c r="K948" s="749"/>
      <c r="L948" s="751"/>
      <c r="M948" s="748">
        <f>SUM(M949:M955)</f>
        <v>122205</v>
      </c>
      <c r="N948" s="749">
        <f>SUM(N949:N955)</f>
        <v>121925</v>
      </c>
      <c r="O948" s="519">
        <f aca="true" t="shared" si="113" ref="O948:O955">N948/M948*100</f>
        <v>99.77087680536802</v>
      </c>
      <c r="P948" s="749"/>
      <c r="Q948" s="749"/>
      <c r="R948" s="755"/>
    </row>
    <row r="949" spans="1:18" ht="24">
      <c r="A949" s="728">
        <v>4115</v>
      </c>
      <c r="B949" s="995" t="s">
        <v>703</v>
      </c>
      <c r="C949" s="697">
        <v>90</v>
      </c>
      <c r="D949" s="643">
        <f t="shared" si="109"/>
        <v>90</v>
      </c>
      <c r="E949" s="643">
        <f t="shared" si="111"/>
        <v>70</v>
      </c>
      <c r="F949" s="1001">
        <f t="shared" si="112"/>
        <v>77.77777777777779</v>
      </c>
      <c r="G949" s="666"/>
      <c r="H949" s="667"/>
      <c r="I949" s="699"/>
      <c r="J949" s="730"/>
      <c r="K949" s="667"/>
      <c r="L949" s="649"/>
      <c r="M949" s="666">
        <v>90</v>
      </c>
      <c r="N949" s="667">
        <v>70</v>
      </c>
      <c r="O949" s="492">
        <f t="shared" si="113"/>
        <v>77.77777777777779</v>
      </c>
      <c r="P949" s="667"/>
      <c r="Q949" s="667"/>
      <c r="R949" s="737"/>
    </row>
    <row r="950" spans="1:18" ht="12.75">
      <c r="A950" s="728">
        <v>4125</v>
      </c>
      <c r="B950" s="995" t="s">
        <v>847</v>
      </c>
      <c r="C950" s="697">
        <v>30</v>
      </c>
      <c r="D950" s="643">
        <f t="shared" si="109"/>
        <v>30</v>
      </c>
      <c r="E950" s="643">
        <f t="shared" si="111"/>
        <v>10</v>
      </c>
      <c r="F950" s="1001">
        <f t="shared" si="112"/>
        <v>33.33333333333333</v>
      </c>
      <c r="G950" s="666"/>
      <c r="H950" s="667"/>
      <c r="I950" s="699"/>
      <c r="J950" s="730"/>
      <c r="K950" s="667"/>
      <c r="L950" s="649"/>
      <c r="M950" s="666">
        <v>30</v>
      </c>
      <c r="N950" s="667">
        <v>10</v>
      </c>
      <c r="O950" s="492">
        <f t="shared" si="113"/>
        <v>33.33333333333333</v>
      </c>
      <c r="P950" s="667"/>
      <c r="Q950" s="667"/>
      <c r="R950" s="737"/>
    </row>
    <row r="951" spans="1:18" ht="24">
      <c r="A951" s="728">
        <v>4175</v>
      </c>
      <c r="B951" s="735" t="s">
        <v>742</v>
      </c>
      <c r="C951" s="697">
        <v>480</v>
      </c>
      <c r="D951" s="643">
        <f t="shared" si="109"/>
        <v>480</v>
      </c>
      <c r="E951" s="643">
        <f t="shared" si="111"/>
        <v>440</v>
      </c>
      <c r="F951" s="1001">
        <f t="shared" si="112"/>
        <v>91.66666666666666</v>
      </c>
      <c r="G951" s="666"/>
      <c r="H951" s="667"/>
      <c r="I951" s="699"/>
      <c r="J951" s="730"/>
      <c r="K951" s="667"/>
      <c r="L951" s="649"/>
      <c r="M951" s="666">
        <v>480</v>
      </c>
      <c r="N951" s="667">
        <v>440</v>
      </c>
      <c r="O951" s="492">
        <f t="shared" si="113"/>
        <v>91.66666666666666</v>
      </c>
      <c r="P951" s="667"/>
      <c r="Q951" s="667"/>
      <c r="R951" s="737"/>
    </row>
    <row r="952" spans="1:18" ht="24" hidden="1">
      <c r="A952" s="728">
        <v>4215</v>
      </c>
      <c r="B952" s="735" t="s">
        <v>707</v>
      </c>
      <c r="C952" s="697"/>
      <c r="D952" s="643">
        <f>G952+J952+P952+M952</f>
        <v>0</v>
      </c>
      <c r="E952" s="643">
        <f>SUM(H952+K952+N952+Q952)</f>
        <v>0</v>
      </c>
      <c r="F952" s="1001" t="e">
        <f t="shared" si="112"/>
        <v>#DIV/0!</v>
      </c>
      <c r="G952" s="666"/>
      <c r="H952" s="667"/>
      <c r="I952" s="699"/>
      <c r="J952" s="730"/>
      <c r="K952" s="667"/>
      <c r="L952" s="649"/>
      <c r="M952" s="666"/>
      <c r="N952" s="667"/>
      <c r="O952" s="492" t="e">
        <f t="shared" si="113"/>
        <v>#DIV/0!</v>
      </c>
      <c r="P952" s="667"/>
      <c r="Q952" s="667"/>
      <c r="R952" s="737"/>
    </row>
    <row r="953" spans="1:18" ht="36">
      <c r="A953" s="728">
        <v>4245</v>
      </c>
      <c r="B953" s="735" t="s">
        <v>832</v>
      </c>
      <c r="C953" s="697">
        <v>400</v>
      </c>
      <c r="D953" s="643">
        <f t="shared" si="109"/>
        <v>400</v>
      </c>
      <c r="E953" s="643">
        <f t="shared" si="111"/>
        <v>400</v>
      </c>
      <c r="F953" s="1001">
        <f t="shared" si="112"/>
        <v>100</v>
      </c>
      <c r="G953" s="666"/>
      <c r="H953" s="667"/>
      <c r="I953" s="699"/>
      <c r="J953" s="730"/>
      <c r="K953" s="667"/>
      <c r="L953" s="649"/>
      <c r="M953" s="666">
        <v>400</v>
      </c>
      <c r="N953" s="667">
        <v>400</v>
      </c>
      <c r="O953" s="492">
        <f t="shared" si="113"/>
        <v>100</v>
      </c>
      <c r="P953" s="667"/>
      <c r="Q953" s="667"/>
      <c r="R953" s="737"/>
    </row>
    <row r="954" spans="1:18" ht="24">
      <c r="A954" s="728">
        <v>4305</v>
      </c>
      <c r="B954" s="735" t="s">
        <v>715</v>
      </c>
      <c r="C954" s="697">
        <v>110605</v>
      </c>
      <c r="D954" s="643">
        <f t="shared" si="109"/>
        <v>110605</v>
      </c>
      <c r="E954" s="643">
        <f t="shared" si="111"/>
        <v>110605</v>
      </c>
      <c r="F954" s="1001">
        <f t="shared" si="112"/>
        <v>100</v>
      </c>
      <c r="G954" s="666"/>
      <c r="H954" s="667"/>
      <c r="I954" s="699"/>
      <c r="J954" s="730"/>
      <c r="K954" s="667"/>
      <c r="L954" s="649"/>
      <c r="M954" s="666">
        <v>110605</v>
      </c>
      <c r="N954" s="667">
        <v>110605</v>
      </c>
      <c r="O954" s="492">
        <f t="shared" si="113"/>
        <v>100</v>
      </c>
      <c r="P954" s="667"/>
      <c r="Q954" s="667"/>
      <c r="R954" s="737"/>
    </row>
    <row r="955" spans="1:18" ht="24.75" thickBot="1">
      <c r="A955" s="709">
        <v>4425</v>
      </c>
      <c r="B955" s="1005" t="s">
        <v>823</v>
      </c>
      <c r="C955" s="684">
        <v>10600</v>
      </c>
      <c r="D955" s="685">
        <f t="shared" si="109"/>
        <v>10600</v>
      </c>
      <c r="E955" s="685">
        <f>SUM(H955+K955+N955+Q955)</f>
        <v>10400</v>
      </c>
      <c r="F955" s="1002">
        <f t="shared" si="112"/>
        <v>98.11320754716981</v>
      </c>
      <c r="G955" s="670"/>
      <c r="H955" s="686"/>
      <c r="I955" s="694"/>
      <c r="J955" s="777"/>
      <c r="K955" s="686"/>
      <c r="L955" s="690"/>
      <c r="M955" s="670">
        <v>10600</v>
      </c>
      <c r="N955" s="686">
        <v>10400</v>
      </c>
      <c r="O955" s="758">
        <f t="shared" si="113"/>
        <v>98.11320754716981</v>
      </c>
      <c r="P955" s="686"/>
      <c r="Q955" s="686"/>
      <c r="R955" s="760"/>
    </row>
    <row r="956" spans="1:18" s="775" customFormat="1" ht="13.5" hidden="1" thickBot="1">
      <c r="A956" s="746"/>
      <c r="B956" s="926" t="s">
        <v>32</v>
      </c>
      <c r="C956" s="748"/>
      <c r="D956" s="749">
        <f t="shared" si="109"/>
        <v>0</v>
      </c>
      <c r="E956" s="749">
        <f>SUM(H956+K956+N956+Q956)</f>
        <v>0</v>
      </c>
      <c r="F956" s="1001" t="e">
        <f t="shared" si="112"/>
        <v>#DIV/0!</v>
      </c>
      <c r="G956" s="748">
        <f>SUM(G957:G959)</f>
        <v>0</v>
      </c>
      <c r="H956" s="749">
        <f>SUM(H957:H959)</f>
        <v>0</v>
      </c>
      <c r="I956" s="699" t="e">
        <f t="shared" si="110"/>
        <v>#DIV/0!</v>
      </c>
      <c r="J956" s="750"/>
      <c r="K956" s="749"/>
      <c r="L956" s="751"/>
      <c r="M956" s="748"/>
      <c r="N956" s="749"/>
      <c r="O956" s="519"/>
      <c r="P956" s="749"/>
      <c r="Q956" s="749"/>
      <c r="R956" s="755"/>
    </row>
    <row r="957" spans="1:18" ht="24.75" hidden="1" thickBot="1">
      <c r="A957" s="728">
        <v>4170</v>
      </c>
      <c r="B957" s="735" t="s">
        <v>33</v>
      </c>
      <c r="C957" s="697"/>
      <c r="D957" s="643">
        <f t="shared" si="109"/>
        <v>0</v>
      </c>
      <c r="E957" s="643">
        <f>SUM(H957+K957+N957+Q957)</f>
        <v>0</v>
      </c>
      <c r="F957" s="1001" t="e">
        <f t="shared" si="112"/>
        <v>#DIV/0!</v>
      </c>
      <c r="G957" s="666"/>
      <c r="H957" s="667"/>
      <c r="I957" s="644" t="e">
        <f t="shared" si="110"/>
        <v>#DIV/0!</v>
      </c>
      <c r="J957" s="730"/>
      <c r="K957" s="667"/>
      <c r="L957" s="649"/>
      <c r="M957" s="666"/>
      <c r="N957" s="667"/>
      <c r="O957" s="492"/>
      <c r="P957" s="667"/>
      <c r="Q957" s="667"/>
      <c r="R957" s="737"/>
    </row>
    <row r="958" spans="1:18" ht="24.75" hidden="1" thickBot="1">
      <c r="A958" s="728">
        <v>4110</v>
      </c>
      <c r="B958" s="735" t="s">
        <v>703</v>
      </c>
      <c r="C958" s="697"/>
      <c r="D958" s="643">
        <f t="shared" si="109"/>
        <v>0</v>
      </c>
      <c r="E958" s="643">
        <f>SUM(H958+K958+N958+Q958)</f>
        <v>0</v>
      </c>
      <c r="F958" s="1001" t="e">
        <f t="shared" si="112"/>
        <v>#DIV/0!</v>
      </c>
      <c r="G958" s="666"/>
      <c r="H958" s="667"/>
      <c r="I958" s="699" t="e">
        <f t="shared" si="110"/>
        <v>#DIV/0!</v>
      </c>
      <c r="J958" s="730"/>
      <c r="K958" s="667"/>
      <c r="L958" s="649"/>
      <c r="M958" s="666"/>
      <c r="N958" s="667"/>
      <c r="O958" s="492"/>
      <c r="P958" s="667"/>
      <c r="Q958" s="667"/>
      <c r="R958" s="737"/>
    </row>
    <row r="959" spans="1:18" ht="13.5" hidden="1" thickBot="1">
      <c r="A959" s="728">
        <v>4120</v>
      </c>
      <c r="B959" s="735" t="s">
        <v>847</v>
      </c>
      <c r="C959" s="697"/>
      <c r="D959" s="643">
        <f t="shared" si="109"/>
        <v>0</v>
      </c>
      <c r="E959" s="643">
        <f>SUM(H959+K959+N959+Q959)</f>
        <v>0</v>
      </c>
      <c r="F959" s="1001" t="e">
        <f t="shared" si="112"/>
        <v>#DIV/0!</v>
      </c>
      <c r="G959" s="666"/>
      <c r="H959" s="667"/>
      <c r="I959" s="699" t="e">
        <f t="shared" si="110"/>
        <v>#DIV/0!</v>
      </c>
      <c r="J959" s="730"/>
      <c r="K959" s="667"/>
      <c r="L959" s="649"/>
      <c r="M959" s="666"/>
      <c r="N959" s="667"/>
      <c r="O959" s="492"/>
      <c r="P959" s="667"/>
      <c r="Q959" s="667"/>
      <c r="R959" s="737"/>
    </row>
    <row r="960" spans="1:18" ht="27" customHeight="1" thickBot="1" thickTop="1">
      <c r="A960" s="718">
        <v>803</v>
      </c>
      <c r="B960" s="719" t="s">
        <v>38</v>
      </c>
      <c r="C960" s="740">
        <f>SUM(C961)+C971</f>
        <v>15000</v>
      </c>
      <c r="D960" s="618">
        <f t="shared" si="109"/>
        <v>45530</v>
      </c>
      <c r="E960" s="618">
        <f>E961+E971</f>
        <v>21378</v>
      </c>
      <c r="F960" s="1006">
        <f t="shared" si="112"/>
        <v>46.953656929497036</v>
      </c>
      <c r="G960" s="720">
        <f>G961+G971</f>
        <v>45530</v>
      </c>
      <c r="H960" s="623">
        <f>H961+H971</f>
        <v>21378</v>
      </c>
      <c r="I960" s="852">
        <f t="shared" si="110"/>
        <v>46.953656929497036</v>
      </c>
      <c r="J960" s="622"/>
      <c r="K960" s="623"/>
      <c r="L960" s="721"/>
      <c r="M960" s="720"/>
      <c r="N960" s="623"/>
      <c r="O960" s="722"/>
      <c r="P960" s="623"/>
      <c r="Q960" s="623"/>
      <c r="R960" s="853"/>
    </row>
    <row r="961" spans="1:18" ht="23.25" customHeight="1" thickTop="1">
      <c r="A961" s="956">
        <v>80309</v>
      </c>
      <c r="B961" s="957" t="s">
        <v>39</v>
      </c>
      <c r="C961" s="885">
        <f>SUM(C962:C963)</f>
        <v>10000</v>
      </c>
      <c r="D961" s="631">
        <f t="shared" si="109"/>
        <v>20530</v>
      </c>
      <c r="E961" s="631">
        <f>H961+K961+Q961+N961</f>
        <v>16380</v>
      </c>
      <c r="F961" s="1007">
        <f t="shared" si="112"/>
        <v>79.78567949342425</v>
      </c>
      <c r="G961" s="958">
        <f>SUM(G962:G963)</f>
        <v>20530</v>
      </c>
      <c r="H961" s="637">
        <f>SUM(H962:H963)</f>
        <v>16380</v>
      </c>
      <c r="I961" s="855">
        <f t="shared" si="110"/>
        <v>79.78567949342425</v>
      </c>
      <c r="J961" s="636"/>
      <c r="K961" s="637"/>
      <c r="L961" s="638"/>
      <c r="M961" s="958"/>
      <c r="N961" s="637"/>
      <c r="O961" s="953"/>
      <c r="P961" s="637"/>
      <c r="Q961" s="637"/>
      <c r="R961" s="989"/>
    </row>
    <row r="962" spans="1:18" ht="12.75">
      <c r="A962" s="709">
        <v>3250</v>
      </c>
      <c r="B962" s="776" t="s">
        <v>40</v>
      </c>
      <c r="C962" s="684">
        <v>10000</v>
      </c>
      <c r="D962" s="685">
        <f t="shared" si="109"/>
        <v>20530</v>
      </c>
      <c r="E962" s="685">
        <f aca="true" t="shared" si="114" ref="E962:E970">SUM(H962+K962+N962+Q962)</f>
        <v>16380</v>
      </c>
      <c r="F962" s="1002">
        <f t="shared" si="112"/>
        <v>79.78567949342425</v>
      </c>
      <c r="G962" s="670">
        <f>10000+10530</f>
        <v>20530</v>
      </c>
      <c r="H962" s="686">
        <v>16380</v>
      </c>
      <c r="I962" s="694">
        <f t="shared" si="110"/>
        <v>79.78567949342425</v>
      </c>
      <c r="J962" s="777"/>
      <c r="K962" s="686"/>
      <c r="L962" s="690"/>
      <c r="M962" s="670"/>
      <c r="N962" s="686"/>
      <c r="O962" s="779"/>
      <c r="P962" s="686"/>
      <c r="Q962" s="686"/>
      <c r="R962" s="760"/>
    </row>
    <row r="963" spans="1:18" s="775" customFormat="1" ht="48" hidden="1">
      <c r="A963" s="746"/>
      <c r="B963" s="926" t="s">
        <v>41</v>
      </c>
      <c r="C963" s="748">
        <f>SUM(C964:C970)</f>
        <v>0</v>
      </c>
      <c r="D963" s="749">
        <f t="shared" si="109"/>
        <v>0</v>
      </c>
      <c r="E963" s="749">
        <f t="shared" si="114"/>
        <v>0</v>
      </c>
      <c r="F963" s="1001" t="e">
        <f t="shared" si="112"/>
        <v>#DIV/0!</v>
      </c>
      <c r="G963" s="748">
        <f>SUM(G964:G970)</f>
        <v>0</v>
      </c>
      <c r="H963" s="749">
        <f>SUM(H964:H970)</f>
        <v>0</v>
      </c>
      <c r="I963" s="699" t="e">
        <f t="shared" si="110"/>
        <v>#DIV/0!</v>
      </c>
      <c r="J963" s="750"/>
      <c r="K963" s="749"/>
      <c r="L963" s="751"/>
      <c r="M963" s="748"/>
      <c r="N963" s="749"/>
      <c r="O963" s="774"/>
      <c r="P963" s="749"/>
      <c r="Q963" s="749"/>
      <c r="R963" s="755"/>
    </row>
    <row r="964" spans="1:18" ht="24" hidden="1">
      <c r="A964" s="728">
        <v>3218</v>
      </c>
      <c r="B964" s="735" t="s">
        <v>42</v>
      </c>
      <c r="C964" s="697"/>
      <c r="D964" s="643">
        <f t="shared" si="109"/>
        <v>0</v>
      </c>
      <c r="E964" s="643">
        <f t="shared" si="114"/>
        <v>0</v>
      </c>
      <c r="F964" s="1001" t="e">
        <f t="shared" si="112"/>
        <v>#DIV/0!</v>
      </c>
      <c r="G964" s="666"/>
      <c r="H964" s="667"/>
      <c r="I964" s="644" t="e">
        <f t="shared" si="110"/>
        <v>#DIV/0!</v>
      </c>
      <c r="J964" s="730"/>
      <c r="K964" s="667"/>
      <c r="L964" s="649"/>
      <c r="M964" s="666"/>
      <c r="N964" s="667"/>
      <c r="O964" s="731"/>
      <c r="P964" s="667"/>
      <c r="Q964" s="667"/>
      <c r="R964" s="737"/>
    </row>
    <row r="965" spans="1:18" ht="24" hidden="1">
      <c r="A965" s="728">
        <v>3219</v>
      </c>
      <c r="B965" s="735" t="s">
        <v>42</v>
      </c>
      <c r="C965" s="697"/>
      <c r="D965" s="643">
        <f t="shared" si="109"/>
        <v>0</v>
      </c>
      <c r="E965" s="643">
        <f t="shared" si="114"/>
        <v>0</v>
      </c>
      <c r="F965" s="1001" t="e">
        <f t="shared" si="112"/>
        <v>#DIV/0!</v>
      </c>
      <c r="G965" s="666"/>
      <c r="H965" s="667"/>
      <c r="I965" s="644" t="e">
        <f t="shared" si="110"/>
        <v>#DIV/0!</v>
      </c>
      <c r="J965" s="730"/>
      <c r="K965" s="667"/>
      <c r="L965" s="649"/>
      <c r="M965" s="666"/>
      <c r="N965" s="667"/>
      <c r="O965" s="731"/>
      <c r="P965" s="667"/>
      <c r="Q965" s="667"/>
      <c r="R965" s="737"/>
    </row>
    <row r="966" spans="1:18" ht="24" hidden="1">
      <c r="A966" s="728">
        <v>3210</v>
      </c>
      <c r="B966" s="735" t="s">
        <v>42</v>
      </c>
      <c r="C966" s="697"/>
      <c r="D966" s="643">
        <f>G966+J966+P966+M966</f>
        <v>0</v>
      </c>
      <c r="E966" s="643">
        <f>SUM(H966+K966+N966+Q966)</f>
        <v>0</v>
      </c>
      <c r="F966" s="1001" t="e">
        <f>E966/D966*100</f>
        <v>#DIV/0!</v>
      </c>
      <c r="G966" s="666"/>
      <c r="H966" s="667"/>
      <c r="I966" s="644" t="e">
        <f t="shared" si="110"/>
        <v>#DIV/0!</v>
      </c>
      <c r="J966" s="730"/>
      <c r="K966" s="667"/>
      <c r="L966" s="649"/>
      <c r="M966" s="666"/>
      <c r="N966" s="667"/>
      <c r="O966" s="731"/>
      <c r="P966" s="667"/>
      <c r="Q966" s="667"/>
      <c r="R966" s="737"/>
    </row>
    <row r="967" spans="1:18" ht="24" hidden="1">
      <c r="A967" s="728">
        <v>4218</v>
      </c>
      <c r="B967" s="995" t="s">
        <v>707</v>
      </c>
      <c r="C967" s="697"/>
      <c r="D967" s="643">
        <f aca="true" t="shared" si="115" ref="D967:D975">G967+J967+P967+M967</f>
        <v>0</v>
      </c>
      <c r="E967" s="643">
        <f t="shared" si="114"/>
        <v>0</v>
      </c>
      <c r="F967" s="1001" t="e">
        <f t="shared" si="112"/>
        <v>#DIV/0!</v>
      </c>
      <c r="G967" s="666"/>
      <c r="H967" s="667"/>
      <c r="I967" s="644" t="e">
        <f t="shared" si="110"/>
        <v>#DIV/0!</v>
      </c>
      <c r="J967" s="730"/>
      <c r="K967" s="667"/>
      <c r="L967" s="649"/>
      <c r="M967" s="666"/>
      <c r="N967" s="667"/>
      <c r="O967" s="731"/>
      <c r="P967" s="667"/>
      <c r="Q967" s="667"/>
      <c r="R967" s="737"/>
    </row>
    <row r="968" spans="1:18" ht="24" hidden="1">
      <c r="A968" s="728">
        <v>4219</v>
      </c>
      <c r="B968" s="995" t="s">
        <v>707</v>
      </c>
      <c r="C968" s="697"/>
      <c r="D968" s="643">
        <f t="shared" si="115"/>
        <v>0</v>
      </c>
      <c r="E968" s="643">
        <f t="shared" si="114"/>
        <v>0</v>
      </c>
      <c r="F968" s="1001" t="e">
        <f t="shared" si="112"/>
        <v>#DIV/0!</v>
      </c>
      <c r="G968" s="666"/>
      <c r="H968" s="667"/>
      <c r="I968" s="644" t="e">
        <f t="shared" si="110"/>
        <v>#DIV/0!</v>
      </c>
      <c r="J968" s="730"/>
      <c r="K968" s="667"/>
      <c r="L968" s="649"/>
      <c r="M968" s="666"/>
      <c r="N968" s="667"/>
      <c r="O968" s="731"/>
      <c r="P968" s="667"/>
      <c r="Q968" s="667"/>
      <c r="R968" s="737"/>
    </row>
    <row r="969" spans="1:18" ht="24" hidden="1">
      <c r="A969" s="728">
        <v>4308</v>
      </c>
      <c r="B969" s="735" t="s">
        <v>715</v>
      </c>
      <c r="C969" s="697"/>
      <c r="D969" s="643">
        <f t="shared" si="115"/>
        <v>0</v>
      </c>
      <c r="E969" s="643">
        <f t="shared" si="114"/>
        <v>0</v>
      </c>
      <c r="F969" s="1001"/>
      <c r="G969" s="666"/>
      <c r="H969" s="667"/>
      <c r="I969" s="699"/>
      <c r="J969" s="730"/>
      <c r="K969" s="667"/>
      <c r="L969" s="649"/>
      <c r="M969" s="666"/>
      <c r="N969" s="667"/>
      <c r="O969" s="731"/>
      <c r="P969" s="667"/>
      <c r="Q969" s="667"/>
      <c r="R969" s="737"/>
    </row>
    <row r="970" spans="1:18" ht="24" hidden="1">
      <c r="A970" s="728">
        <v>4309</v>
      </c>
      <c r="B970" s="735" t="s">
        <v>715</v>
      </c>
      <c r="C970" s="764"/>
      <c r="D970" s="643">
        <f t="shared" si="115"/>
        <v>0</v>
      </c>
      <c r="E970" s="643">
        <f t="shared" si="114"/>
        <v>0</v>
      </c>
      <c r="F970" s="1001"/>
      <c r="G970" s="781"/>
      <c r="H970" s="785"/>
      <c r="I970" s="699"/>
      <c r="J970" s="782"/>
      <c r="K970" s="785"/>
      <c r="L970" s="768"/>
      <c r="M970" s="781"/>
      <c r="N970" s="785"/>
      <c r="O970" s="786"/>
      <c r="P970" s="785"/>
      <c r="Q970" s="785"/>
      <c r="R970" s="770"/>
    </row>
    <row r="971" spans="1:18" ht="17.25" customHeight="1">
      <c r="A971" s="787">
        <v>80395</v>
      </c>
      <c r="B971" s="856" t="s">
        <v>311</v>
      </c>
      <c r="C971" s="673">
        <f>C972+C974</f>
        <v>5000</v>
      </c>
      <c r="D971" s="674">
        <f t="shared" si="115"/>
        <v>25000</v>
      </c>
      <c r="E971" s="674">
        <f>SUM(E972:E974)</f>
        <v>4998</v>
      </c>
      <c r="F971" s="890">
        <f aca="true" t="shared" si="116" ref="F971:F980">E971/D971*100</f>
        <v>19.991999999999997</v>
      </c>
      <c r="G971" s="673">
        <f>SUM(G972:G974)</f>
        <v>25000</v>
      </c>
      <c r="H971" s="674">
        <f>SUM(H972:H974)</f>
        <v>4998</v>
      </c>
      <c r="I971" s="890">
        <f aca="true" t="shared" si="117" ref="I971:I980">H971/G971*100</f>
        <v>19.991999999999997</v>
      </c>
      <c r="J971" s="896"/>
      <c r="K971" s="895"/>
      <c r="L971" s="897"/>
      <c r="M971" s="893"/>
      <c r="N971" s="895"/>
      <c r="O971" s="317"/>
      <c r="P971" s="895"/>
      <c r="Q971" s="895"/>
      <c r="R971" s="842"/>
    </row>
    <row r="972" spans="1:18" ht="40.5" customHeight="1">
      <c r="A972" s="709">
        <v>3040</v>
      </c>
      <c r="B972" s="757" t="s">
        <v>43</v>
      </c>
      <c r="C972" s="684">
        <v>5000</v>
      </c>
      <c r="D972" s="685">
        <f t="shared" si="115"/>
        <v>5000</v>
      </c>
      <c r="E972" s="685">
        <f>SUM(H972+K972+N972+Q972)</f>
        <v>4998</v>
      </c>
      <c r="F972" s="1002">
        <f t="shared" si="116"/>
        <v>99.96000000000001</v>
      </c>
      <c r="G972" s="670">
        <v>5000</v>
      </c>
      <c r="H972" s="686">
        <v>4998</v>
      </c>
      <c r="I972" s="668">
        <f t="shared" si="117"/>
        <v>99.96000000000001</v>
      </c>
      <c r="J972" s="777"/>
      <c r="K972" s="686"/>
      <c r="L972" s="690"/>
      <c r="M972" s="670"/>
      <c r="N972" s="686"/>
      <c r="O972" s="652"/>
      <c r="P972" s="686"/>
      <c r="Q972" s="686"/>
      <c r="R972" s="760"/>
    </row>
    <row r="973" spans="1:18" ht="40.5" customHeight="1" thickBot="1">
      <c r="A973" s="728">
        <v>2520</v>
      </c>
      <c r="B973" s="865" t="s">
        <v>44</v>
      </c>
      <c r="C973" s="697"/>
      <c r="D973" s="643">
        <f>G973+J973+P973+M973</f>
        <v>20000</v>
      </c>
      <c r="E973" s="643">
        <f>SUM(H973+K973+N973+Q973)</f>
        <v>0</v>
      </c>
      <c r="F973" s="1001">
        <f>E973/D973*100</f>
        <v>0</v>
      </c>
      <c r="G973" s="666">
        <v>20000</v>
      </c>
      <c r="H973" s="667"/>
      <c r="I973" s="644">
        <f t="shared" si="117"/>
        <v>0</v>
      </c>
      <c r="J973" s="730"/>
      <c r="K973" s="667"/>
      <c r="L973" s="649"/>
      <c r="M973" s="666"/>
      <c r="N973" s="667"/>
      <c r="O973" s="647"/>
      <c r="P973" s="667"/>
      <c r="Q973" s="667"/>
      <c r="R973" s="737"/>
    </row>
    <row r="974" spans="1:18" ht="96.75" hidden="1" thickBot="1">
      <c r="A974" s="728">
        <v>6220</v>
      </c>
      <c r="B974" s="865" t="s">
        <v>45</v>
      </c>
      <c r="C974" s="697"/>
      <c r="D974" s="643">
        <f t="shared" si="115"/>
        <v>0</v>
      </c>
      <c r="E974" s="643">
        <f>SUM(H974+K974+N974+Q974)</f>
        <v>0</v>
      </c>
      <c r="F974" s="1001" t="e">
        <f t="shared" si="116"/>
        <v>#DIV/0!</v>
      </c>
      <c r="G974" s="666">
        <f>271500-271500</f>
        <v>0</v>
      </c>
      <c r="H974" s="667"/>
      <c r="I974" s="644" t="e">
        <f t="shared" si="117"/>
        <v>#DIV/0!</v>
      </c>
      <c r="J974" s="730"/>
      <c r="K974" s="667"/>
      <c r="L974" s="649"/>
      <c r="M974" s="666"/>
      <c r="N974" s="667"/>
      <c r="O974" s="647"/>
      <c r="P974" s="667"/>
      <c r="Q974" s="667"/>
      <c r="R974" s="737"/>
    </row>
    <row r="975" spans="1:18" s="723" customFormat="1" ht="17.25" customHeight="1" thickBot="1" thickTop="1">
      <c r="A975" s="718">
        <v>851</v>
      </c>
      <c r="B975" s="719" t="s">
        <v>532</v>
      </c>
      <c r="C975" s="720">
        <f>C979+C983+C991+C1008+C1010+C1026+C976</f>
        <v>2786300</v>
      </c>
      <c r="D975" s="618">
        <f t="shared" si="115"/>
        <v>3494749</v>
      </c>
      <c r="E975" s="623">
        <f>H975+K975+Q975+N975</f>
        <v>2187698</v>
      </c>
      <c r="F975" s="1006">
        <f t="shared" si="116"/>
        <v>62.599574390034874</v>
      </c>
      <c r="G975" s="720">
        <f>G979+G983+G991+G1008+G1010+G1026+G976</f>
        <v>3451749</v>
      </c>
      <c r="H975" s="623">
        <f>H979+H983+H991+H1008+H1010+H1026+H976</f>
        <v>2147320</v>
      </c>
      <c r="I975" s="852">
        <f t="shared" si="117"/>
        <v>62.209621846779704</v>
      </c>
      <c r="J975" s="622"/>
      <c r="K975" s="623"/>
      <c r="L975" s="721"/>
      <c r="M975" s="720">
        <f>M1026</f>
        <v>35000</v>
      </c>
      <c r="N975" s="720">
        <f>N1026</f>
        <v>34954</v>
      </c>
      <c r="O975" s="1008">
        <f>N975/M975*100</f>
        <v>99.86857142857143</v>
      </c>
      <c r="P975" s="623">
        <f>P979+P983+P991+P1008+P1010+P1026</f>
        <v>8000</v>
      </c>
      <c r="Q975" s="623">
        <f>Q979+Q983+Q991+Q1008+Q1010+Q1026</f>
        <v>5424</v>
      </c>
      <c r="R975" s="621">
        <f>Q975/P975*100</f>
        <v>67.80000000000001</v>
      </c>
    </row>
    <row r="976" spans="1:18" s="723" customFormat="1" ht="17.25" customHeight="1" hidden="1">
      <c r="A976" s="956">
        <v>85111</v>
      </c>
      <c r="B976" s="957" t="s">
        <v>46</v>
      </c>
      <c r="C976" s="958">
        <f>SUM(C977)</f>
        <v>0</v>
      </c>
      <c r="D976" s="753">
        <f>G976+J976+M976+P976</f>
        <v>0</v>
      </c>
      <c r="E976" s="1009">
        <f>Q976+N976+K976+H976</f>
        <v>0</v>
      </c>
      <c r="F976" s="1010" t="e">
        <f t="shared" si="116"/>
        <v>#DIV/0!</v>
      </c>
      <c r="G976" s="958">
        <f>SUM(G977:G978)</f>
        <v>0</v>
      </c>
      <c r="H976" s="637">
        <f>SUM(H977:H978)</f>
        <v>0</v>
      </c>
      <c r="I976" s="855" t="e">
        <f t="shared" si="117"/>
        <v>#DIV/0!</v>
      </c>
      <c r="J976" s="636"/>
      <c r="K976" s="637"/>
      <c r="L976" s="638"/>
      <c r="M976" s="958"/>
      <c r="N976" s="637"/>
      <c r="O976" s="953"/>
      <c r="P976" s="637"/>
      <c r="Q976" s="637"/>
      <c r="R976" s="855"/>
    </row>
    <row r="977" spans="1:18" s="761" customFormat="1" ht="60.75" hidden="1" thickTop="1">
      <c r="A977" s="829">
        <v>2800</v>
      </c>
      <c r="B977" s="865" t="s">
        <v>47</v>
      </c>
      <c r="C977" s="697"/>
      <c r="D977" s="685">
        <f>G977+J977+M977+P977</f>
        <v>0</v>
      </c>
      <c r="E977" s="685">
        <f>Q977+N977+K977+H977</f>
        <v>0</v>
      </c>
      <c r="F977" s="644" t="e">
        <f t="shared" si="116"/>
        <v>#DIV/0!</v>
      </c>
      <c r="G977" s="697"/>
      <c r="H977" s="643"/>
      <c r="I977" s="644" t="e">
        <f t="shared" si="117"/>
        <v>#DIV/0!</v>
      </c>
      <c r="J977" s="648"/>
      <c r="K977" s="643"/>
      <c r="L977" s="649"/>
      <c r="M977" s="697"/>
      <c r="N977" s="643"/>
      <c r="O977" s="731"/>
      <c r="P977" s="643"/>
      <c r="Q977" s="643"/>
      <c r="R977" s="699"/>
    </row>
    <row r="978" spans="1:18" s="761" customFormat="1" ht="24.75" hidden="1" thickTop="1">
      <c r="A978" s="829">
        <v>4300</v>
      </c>
      <c r="B978" s="865" t="s">
        <v>715</v>
      </c>
      <c r="C978" s="697"/>
      <c r="D978" s="643">
        <f>G978+J978+M978+P978</f>
        <v>0</v>
      </c>
      <c r="E978" s="643">
        <f>Q978+N978+K978+H978</f>
        <v>0</v>
      </c>
      <c r="F978" s="644" t="e">
        <f t="shared" si="116"/>
        <v>#DIV/0!</v>
      </c>
      <c r="G978" s="697"/>
      <c r="H978" s="643"/>
      <c r="I978" s="699" t="e">
        <f t="shared" si="117"/>
        <v>#DIV/0!</v>
      </c>
      <c r="J978" s="648"/>
      <c r="K978" s="643"/>
      <c r="L978" s="649"/>
      <c r="M978" s="697"/>
      <c r="N978" s="643"/>
      <c r="O978" s="731"/>
      <c r="P978" s="643"/>
      <c r="Q978" s="643"/>
      <c r="R978" s="699"/>
    </row>
    <row r="979" spans="1:18" ht="25.5" customHeight="1" thickTop="1">
      <c r="A979" s="724">
        <v>85149</v>
      </c>
      <c r="B979" s="854" t="s">
        <v>48</v>
      </c>
      <c r="C979" s="655">
        <f>SUM(C980:C982)</f>
        <v>150000</v>
      </c>
      <c r="D979" s="674">
        <f>G979+J979+P979+M979</f>
        <v>237000</v>
      </c>
      <c r="E979" s="664">
        <f>SUM(E980:E982)</f>
        <v>48005</v>
      </c>
      <c r="F979" s="996">
        <f t="shared" si="116"/>
        <v>20.255274261603375</v>
      </c>
      <c r="G979" s="655">
        <f>SUM(G980:G982)</f>
        <v>237000</v>
      </c>
      <c r="H979" s="664">
        <f>SUM(H980:H982)</f>
        <v>48005</v>
      </c>
      <c r="I979" s="857">
        <f t="shared" si="117"/>
        <v>20.255274261603375</v>
      </c>
      <c r="J979" s="816"/>
      <c r="K979" s="664"/>
      <c r="L979" s="791"/>
      <c r="M979" s="655"/>
      <c r="N979" s="664"/>
      <c r="O979" s="817"/>
      <c r="P979" s="664"/>
      <c r="Q979" s="664"/>
      <c r="R979" s="708"/>
    </row>
    <row r="980" spans="1:18" ht="24">
      <c r="A980" s="709">
        <v>4210</v>
      </c>
      <c r="B980" s="1005" t="s">
        <v>707</v>
      </c>
      <c r="C980" s="670"/>
      <c r="D980" s="685">
        <f>G980+J980+P980+M980</f>
        <v>100</v>
      </c>
      <c r="E980" s="686">
        <f>SUM(H980+K980+N980+Q980)</f>
        <v>85</v>
      </c>
      <c r="F980" s="1002">
        <f t="shared" si="116"/>
        <v>85</v>
      </c>
      <c r="G980" s="670">
        <v>100</v>
      </c>
      <c r="H980" s="686">
        <f>85</f>
        <v>85</v>
      </c>
      <c r="I980" s="694">
        <f t="shared" si="117"/>
        <v>85</v>
      </c>
      <c r="J980" s="777"/>
      <c r="K980" s="686"/>
      <c r="L980" s="690"/>
      <c r="M980" s="670"/>
      <c r="N980" s="686"/>
      <c r="O980" s="779"/>
      <c r="P980" s="686"/>
      <c r="Q980" s="686"/>
      <c r="R980" s="760"/>
    </row>
    <row r="981" spans="1:18" ht="52.5" customHeight="1" hidden="1">
      <c r="A981" s="728">
        <v>2570</v>
      </c>
      <c r="B981" s="1005" t="s">
        <v>49</v>
      </c>
      <c r="C981" s="666"/>
      <c r="D981" s="643">
        <f>G981+J981+P981+M981</f>
        <v>0</v>
      </c>
      <c r="E981" s="667">
        <f>SUM(H981+K981+N981+Q981)</f>
        <v>0</v>
      </c>
      <c r="F981" s="1011"/>
      <c r="G981" s="666"/>
      <c r="H981" s="667"/>
      <c r="I981" s="647"/>
      <c r="J981" s="730"/>
      <c r="K981" s="667"/>
      <c r="L981" s="649"/>
      <c r="M981" s="666"/>
      <c r="N981" s="667"/>
      <c r="O981" s="731"/>
      <c r="P981" s="667"/>
      <c r="Q981" s="667"/>
      <c r="R981" s="737"/>
    </row>
    <row r="982" spans="1:18" ht="16.5" customHeight="1">
      <c r="A982" s="762">
        <v>4300</v>
      </c>
      <c r="B982" s="1012" t="s">
        <v>715</v>
      </c>
      <c r="C982" s="781">
        <v>150000</v>
      </c>
      <c r="D982" s="765">
        <f aca="true" t="shared" si="118" ref="D982:D1013">G982+J982+P982+M982</f>
        <v>236900</v>
      </c>
      <c r="E982" s="785">
        <f aca="true" t="shared" si="119" ref="E982:E990">SUM(H982+K982+N982+Q982)</f>
        <v>47920</v>
      </c>
      <c r="F982" s="1013">
        <f aca="true" t="shared" si="120" ref="F982:F1045">E982/D982*100</f>
        <v>20.22794428028704</v>
      </c>
      <c r="G982" s="781">
        <f>150000-100+72000+15000</f>
        <v>236900</v>
      </c>
      <c r="H982" s="783">
        <v>47920</v>
      </c>
      <c r="I982" s="815">
        <f>H982/G982*100</f>
        <v>20.22794428028704</v>
      </c>
      <c r="J982" s="967"/>
      <c r="K982" s="785"/>
      <c r="L982" s="768"/>
      <c r="M982" s="966"/>
      <c r="N982" s="783"/>
      <c r="O982" s="968"/>
      <c r="P982" s="783"/>
      <c r="Q982" s="783"/>
      <c r="R982" s="969"/>
    </row>
    <row r="983" spans="1:18" s="723" customFormat="1" ht="13.5" customHeight="1">
      <c r="A983" s="724">
        <v>85153</v>
      </c>
      <c r="B983" s="854" t="s">
        <v>50</v>
      </c>
      <c r="C983" s="726">
        <f>SUM(C984:C990)</f>
        <v>150000</v>
      </c>
      <c r="D983" s="674">
        <f t="shared" si="118"/>
        <v>150000</v>
      </c>
      <c r="E983" s="657">
        <f t="shared" si="119"/>
        <v>112567</v>
      </c>
      <c r="F983" s="996">
        <f t="shared" si="120"/>
        <v>75.04466666666667</v>
      </c>
      <c r="G983" s="726">
        <f>SUM(G984:G990)</f>
        <v>150000</v>
      </c>
      <c r="H983" s="657">
        <f>SUM(H984:H990)</f>
        <v>112567</v>
      </c>
      <c r="I983" s="857">
        <f aca="true" t="shared" si="121" ref="I983:I1033">H983/G983*100</f>
        <v>75.04466666666667</v>
      </c>
      <c r="J983" s="662"/>
      <c r="K983" s="657"/>
      <c r="L983" s="663"/>
      <c r="M983" s="726"/>
      <c r="N983" s="657"/>
      <c r="O983" s="317"/>
      <c r="P983" s="657"/>
      <c r="Q983" s="657"/>
      <c r="R983" s="842"/>
    </row>
    <row r="984" spans="1:18" ht="72" customHeight="1" hidden="1">
      <c r="A984" s="1014">
        <v>2620</v>
      </c>
      <c r="B984" s="776" t="s">
        <v>51</v>
      </c>
      <c r="C984" s="670"/>
      <c r="D984" s="685">
        <f t="shared" si="118"/>
        <v>0</v>
      </c>
      <c r="E984" s="686">
        <f t="shared" si="119"/>
        <v>0</v>
      </c>
      <c r="F984" s="1002" t="e">
        <f t="shared" si="120"/>
        <v>#DIV/0!</v>
      </c>
      <c r="G984" s="670">
        <f>3000-3000</f>
        <v>0</v>
      </c>
      <c r="H984" s="686">
        <f>3000-3000</f>
        <v>0</v>
      </c>
      <c r="I984" s="694" t="e">
        <f t="shared" si="121"/>
        <v>#DIV/0!</v>
      </c>
      <c r="J984" s="777"/>
      <c r="K984" s="686"/>
      <c r="L984" s="690"/>
      <c r="M984" s="670"/>
      <c r="N984" s="686"/>
      <c r="O984" s="779"/>
      <c r="P984" s="686"/>
      <c r="Q984" s="686"/>
      <c r="R984" s="760"/>
    </row>
    <row r="985" spans="1:18" ht="72" hidden="1">
      <c r="A985" s="728">
        <v>2570</v>
      </c>
      <c r="B985" s="1005" t="s">
        <v>52</v>
      </c>
      <c r="C985" s="666"/>
      <c r="D985" s="643">
        <f t="shared" si="118"/>
        <v>0</v>
      </c>
      <c r="E985" s="667">
        <f t="shared" si="119"/>
        <v>0</v>
      </c>
      <c r="F985" s="1001" t="e">
        <f t="shared" si="120"/>
        <v>#DIV/0!</v>
      </c>
      <c r="G985" s="666"/>
      <c r="H985" s="667"/>
      <c r="I985" s="699" t="e">
        <f t="shared" si="121"/>
        <v>#DIV/0!</v>
      </c>
      <c r="J985" s="730"/>
      <c r="K985" s="667"/>
      <c r="L985" s="649"/>
      <c r="M985" s="666"/>
      <c r="N985" s="667"/>
      <c r="O985" s="731"/>
      <c r="P985" s="667"/>
      <c r="Q985" s="667"/>
      <c r="R985" s="737"/>
    </row>
    <row r="986" spans="1:18" ht="61.5" customHeight="1">
      <c r="A986" s="849">
        <v>2820</v>
      </c>
      <c r="B986" s="735" t="s">
        <v>818</v>
      </c>
      <c r="C986" s="666">
        <v>100000</v>
      </c>
      <c r="D986" s="643">
        <f t="shared" si="118"/>
        <v>100000</v>
      </c>
      <c r="E986" s="667">
        <f t="shared" si="119"/>
        <v>85200</v>
      </c>
      <c r="F986" s="1001">
        <f t="shared" si="120"/>
        <v>85.2</v>
      </c>
      <c r="G986" s="666">
        <v>100000</v>
      </c>
      <c r="H986" s="667">
        <v>85200</v>
      </c>
      <c r="I986" s="644">
        <f t="shared" si="121"/>
        <v>85.2</v>
      </c>
      <c r="J986" s="730"/>
      <c r="K986" s="667"/>
      <c r="L986" s="649"/>
      <c r="M986" s="666"/>
      <c r="N986" s="667"/>
      <c r="O986" s="731"/>
      <c r="P986" s="667"/>
      <c r="Q986" s="667"/>
      <c r="R986" s="737"/>
    </row>
    <row r="987" spans="1:18" ht="36">
      <c r="A987" s="728">
        <v>6060</v>
      </c>
      <c r="B987" s="735" t="s">
        <v>856</v>
      </c>
      <c r="C987" s="666"/>
      <c r="D987" s="643">
        <f t="shared" si="118"/>
        <v>7930</v>
      </c>
      <c r="E987" s="667">
        <f t="shared" si="119"/>
        <v>7930</v>
      </c>
      <c r="F987" s="1001">
        <f t="shared" si="120"/>
        <v>100</v>
      </c>
      <c r="G987" s="666">
        <f>7930+7930-7930</f>
        <v>7930</v>
      </c>
      <c r="H987" s="667">
        <v>7930</v>
      </c>
      <c r="I987" s="644">
        <f t="shared" si="121"/>
        <v>100</v>
      </c>
      <c r="J987" s="730"/>
      <c r="K987" s="667"/>
      <c r="L987" s="649"/>
      <c r="M987" s="666"/>
      <c r="N987" s="667"/>
      <c r="O987" s="731"/>
      <c r="P987" s="667"/>
      <c r="Q987" s="667"/>
      <c r="R987" s="737"/>
    </row>
    <row r="988" spans="1:18" ht="24">
      <c r="A988" s="728">
        <v>3000</v>
      </c>
      <c r="B988" s="735" t="s">
        <v>969</v>
      </c>
      <c r="C988" s="666"/>
      <c r="D988" s="643">
        <f t="shared" si="118"/>
        <v>10000</v>
      </c>
      <c r="E988" s="667">
        <f t="shared" si="119"/>
        <v>10000</v>
      </c>
      <c r="F988" s="1001">
        <f t="shared" si="120"/>
        <v>100</v>
      </c>
      <c r="G988" s="666">
        <v>10000</v>
      </c>
      <c r="H988" s="667">
        <v>10000</v>
      </c>
      <c r="I988" s="644">
        <f t="shared" si="121"/>
        <v>100</v>
      </c>
      <c r="J988" s="730"/>
      <c r="K988" s="667"/>
      <c r="L988" s="649"/>
      <c r="M988" s="666"/>
      <c r="N988" s="667"/>
      <c r="O988" s="731"/>
      <c r="P988" s="667"/>
      <c r="Q988" s="667"/>
      <c r="R988" s="737"/>
    </row>
    <row r="989" spans="1:18" ht="24">
      <c r="A989" s="728">
        <v>4210</v>
      </c>
      <c r="B989" s="735" t="s">
        <v>707</v>
      </c>
      <c r="C989" s="666">
        <v>10000</v>
      </c>
      <c r="D989" s="643">
        <f t="shared" si="118"/>
        <v>2070</v>
      </c>
      <c r="E989" s="667">
        <f t="shared" si="119"/>
        <v>1139</v>
      </c>
      <c r="F989" s="1001">
        <f t="shared" si="120"/>
        <v>55.024154589371975</v>
      </c>
      <c r="G989" s="666">
        <f>10000-7930-7930+7930</f>
        <v>2070</v>
      </c>
      <c r="H989" s="667">
        <v>1139</v>
      </c>
      <c r="I989" s="644">
        <f t="shared" si="121"/>
        <v>55.024154589371975</v>
      </c>
      <c r="J989" s="730"/>
      <c r="K989" s="667"/>
      <c r="L989" s="649"/>
      <c r="M989" s="666"/>
      <c r="N989" s="667"/>
      <c r="O989" s="731"/>
      <c r="P989" s="667"/>
      <c r="Q989" s="667"/>
      <c r="R989" s="737"/>
    </row>
    <row r="990" spans="1:18" ht="12.75" customHeight="1">
      <c r="A990" s="728">
        <v>4300</v>
      </c>
      <c r="B990" s="735" t="s">
        <v>715</v>
      </c>
      <c r="C990" s="666">
        <v>40000</v>
      </c>
      <c r="D990" s="643">
        <f t="shared" si="118"/>
        <v>30000</v>
      </c>
      <c r="E990" s="667">
        <f t="shared" si="119"/>
        <v>8298</v>
      </c>
      <c r="F990" s="1001">
        <f t="shared" si="120"/>
        <v>27.66</v>
      </c>
      <c r="G990" s="666">
        <f>40000-10000</f>
        <v>30000</v>
      </c>
      <c r="H990" s="667">
        <v>8298</v>
      </c>
      <c r="I990" s="644">
        <f t="shared" si="121"/>
        <v>27.66</v>
      </c>
      <c r="J990" s="730"/>
      <c r="K990" s="667"/>
      <c r="L990" s="649"/>
      <c r="M990" s="666"/>
      <c r="N990" s="667"/>
      <c r="O990" s="731"/>
      <c r="P990" s="667"/>
      <c r="Q990" s="667"/>
      <c r="R990" s="737"/>
    </row>
    <row r="991" spans="1:18" ht="24" customHeight="1">
      <c r="A991" s="724">
        <v>85154</v>
      </c>
      <c r="B991" s="854" t="s">
        <v>53</v>
      </c>
      <c r="C991" s="726">
        <f>SUM(C992:C1007)</f>
        <v>1589300</v>
      </c>
      <c r="D991" s="674">
        <f t="shared" si="118"/>
        <v>2178749</v>
      </c>
      <c r="E991" s="657">
        <f>H991+K991+Q991+N991</f>
        <v>1291361</v>
      </c>
      <c r="F991" s="996">
        <f t="shared" si="120"/>
        <v>59.27075583281965</v>
      </c>
      <c r="G991" s="726">
        <f>SUM(G992:G1007)</f>
        <v>2178749</v>
      </c>
      <c r="H991" s="657">
        <f>SUM(H992:H1007)</f>
        <v>1291361</v>
      </c>
      <c r="I991" s="857">
        <f t="shared" si="121"/>
        <v>59.27075583281965</v>
      </c>
      <c r="J991" s="662"/>
      <c r="K991" s="657"/>
      <c r="L991" s="663"/>
      <c r="M991" s="726"/>
      <c r="N991" s="657"/>
      <c r="O991" s="317"/>
      <c r="P991" s="657"/>
      <c r="Q991" s="657"/>
      <c r="R991" s="842"/>
    </row>
    <row r="992" spans="1:18" ht="48">
      <c r="A992" s="709">
        <v>2480</v>
      </c>
      <c r="B992" s="776" t="s">
        <v>54</v>
      </c>
      <c r="C992" s="670">
        <v>80000</v>
      </c>
      <c r="D992" s="685">
        <f t="shared" si="118"/>
        <v>80000</v>
      </c>
      <c r="E992" s="686">
        <f aca="true" t="shared" si="122" ref="E992:E1007">SUM(H992+K992+N992+Q992)</f>
        <v>7779</v>
      </c>
      <c r="F992" s="1002">
        <f t="shared" si="120"/>
        <v>9.72375</v>
      </c>
      <c r="G992" s="670">
        <v>80000</v>
      </c>
      <c r="H992" s="686">
        <f>7779-1+1</f>
        <v>7779</v>
      </c>
      <c r="I992" s="694">
        <f t="shared" si="121"/>
        <v>9.72375</v>
      </c>
      <c r="J992" s="777"/>
      <c r="K992" s="686"/>
      <c r="L992" s="690"/>
      <c r="M992" s="670"/>
      <c r="N992" s="686"/>
      <c r="O992" s="779"/>
      <c r="P992" s="686"/>
      <c r="Q992" s="686"/>
      <c r="R992" s="760"/>
    </row>
    <row r="993" spans="1:18" ht="72">
      <c r="A993" s="728">
        <v>2820</v>
      </c>
      <c r="B993" s="735" t="s">
        <v>818</v>
      </c>
      <c r="C993" s="666">
        <v>440000</v>
      </c>
      <c r="D993" s="643">
        <f t="shared" si="118"/>
        <v>440000</v>
      </c>
      <c r="E993" s="667">
        <f t="shared" si="122"/>
        <v>440000</v>
      </c>
      <c r="F993" s="1001">
        <f t="shared" si="120"/>
        <v>100</v>
      </c>
      <c r="G993" s="666">
        <v>440000</v>
      </c>
      <c r="H993" s="667">
        <f>424000+16000</f>
        <v>440000</v>
      </c>
      <c r="I993" s="644">
        <f t="shared" si="121"/>
        <v>100</v>
      </c>
      <c r="J993" s="730"/>
      <c r="K993" s="667"/>
      <c r="L993" s="649"/>
      <c r="M993" s="666"/>
      <c r="N993" s="667"/>
      <c r="O993" s="731"/>
      <c r="P993" s="667"/>
      <c r="Q993" s="667"/>
      <c r="R993" s="737"/>
    </row>
    <row r="994" spans="1:18" ht="25.5" customHeight="1" hidden="1">
      <c r="A994" s="728">
        <v>3030</v>
      </c>
      <c r="B994" s="735" t="s">
        <v>695</v>
      </c>
      <c r="C994" s="666"/>
      <c r="D994" s="643">
        <f t="shared" si="118"/>
        <v>0</v>
      </c>
      <c r="E994" s="667">
        <f t="shared" si="122"/>
        <v>0</v>
      </c>
      <c r="F994" s="1001" t="e">
        <f t="shared" si="120"/>
        <v>#DIV/0!</v>
      </c>
      <c r="G994" s="666"/>
      <c r="H994" s="667"/>
      <c r="I994" s="699" t="e">
        <f t="shared" si="121"/>
        <v>#DIV/0!</v>
      </c>
      <c r="J994" s="730"/>
      <c r="K994" s="667"/>
      <c r="L994" s="649"/>
      <c r="M994" s="666"/>
      <c r="N994" s="667"/>
      <c r="O994" s="731"/>
      <c r="P994" s="667"/>
      <c r="Q994" s="667"/>
      <c r="R994" s="737"/>
    </row>
    <row r="995" spans="1:18" ht="25.5" customHeight="1">
      <c r="A995" s="728">
        <v>4170</v>
      </c>
      <c r="B995" s="735" t="s">
        <v>742</v>
      </c>
      <c r="C995" s="666">
        <v>65500</v>
      </c>
      <c r="D995" s="643">
        <f>G995+J995+P995+M995</f>
        <v>65500</v>
      </c>
      <c r="E995" s="667">
        <f>SUM(H995+K995+N995+Q995)</f>
        <v>36032</v>
      </c>
      <c r="F995" s="1001">
        <f>E995/D995*100</f>
        <v>55.01068702290076</v>
      </c>
      <c r="G995" s="666">
        <v>65500</v>
      </c>
      <c r="H995" s="667">
        <v>36032</v>
      </c>
      <c r="I995" s="699">
        <f t="shared" si="121"/>
        <v>55.01068702290076</v>
      </c>
      <c r="J995" s="730"/>
      <c r="K995" s="667"/>
      <c r="L995" s="649"/>
      <c r="M995" s="666"/>
      <c r="N995" s="667"/>
      <c r="O995" s="731"/>
      <c r="P995" s="667"/>
      <c r="Q995" s="667"/>
      <c r="R995" s="737"/>
    </row>
    <row r="996" spans="1:18" ht="24" customHeight="1">
      <c r="A996" s="728">
        <v>4210</v>
      </c>
      <c r="B996" s="735" t="s">
        <v>707</v>
      </c>
      <c r="C996" s="666">
        <v>40000</v>
      </c>
      <c r="D996" s="643">
        <f t="shared" si="118"/>
        <v>39500</v>
      </c>
      <c r="E996" s="667">
        <f t="shared" si="122"/>
        <v>25426</v>
      </c>
      <c r="F996" s="1001">
        <f t="shared" si="120"/>
        <v>64.36962025316456</v>
      </c>
      <c r="G996" s="666">
        <f>40000-500</f>
        <v>39500</v>
      </c>
      <c r="H996" s="667">
        <v>25426</v>
      </c>
      <c r="I996" s="699">
        <f t="shared" si="121"/>
        <v>64.36962025316456</v>
      </c>
      <c r="J996" s="730"/>
      <c r="K996" s="667"/>
      <c r="L996" s="649"/>
      <c r="M996" s="666"/>
      <c r="N996" s="667"/>
      <c r="O996" s="731"/>
      <c r="P996" s="667"/>
      <c r="Q996" s="667"/>
      <c r="R996" s="737"/>
    </row>
    <row r="997" spans="1:18" ht="36">
      <c r="A997" s="728">
        <v>4240</v>
      </c>
      <c r="B997" s="735" t="s">
        <v>832</v>
      </c>
      <c r="C997" s="666">
        <v>10000</v>
      </c>
      <c r="D997" s="643">
        <f t="shared" si="118"/>
        <v>10000</v>
      </c>
      <c r="E997" s="667">
        <f t="shared" si="122"/>
        <v>9203</v>
      </c>
      <c r="F997" s="1001">
        <f t="shared" si="120"/>
        <v>92.03</v>
      </c>
      <c r="G997" s="666">
        <v>10000</v>
      </c>
      <c r="H997" s="667">
        <v>9203</v>
      </c>
      <c r="I997" s="699">
        <f t="shared" si="121"/>
        <v>92.03</v>
      </c>
      <c r="J997" s="730"/>
      <c r="K997" s="667"/>
      <c r="L997" s="649"/>
      <c r="M997" s="666"/>
      <c r="N997" s="667"/>
      <c r="O997" s="731"/>
      <c r="P997" s="667"/>
      <c r="Q997" s="667"/>
      <c r="R997" s="737"/>
    </row>
    <row r="998" spans="1:18" ht="24">
      <c r="A998" s="728">
        <v>4270</v>
      </c>
      <c r="B998" s="735" t="s">
        <v>713</v>
      </c>
      <c r="C998" s="666"/>
      <c r="D998" s="643">
        <f t="shared" si="118"/>
        <v>225000</v>
      </c>
      <c r="E998" s="667">
        <f>SUM(H998+K998+N998+Q998)</f>
        <v>130806</v>
      </c>
      <c r="F998" s="1001">
        <f>E998/D998*100</f>
        <v>58.135999999999996</v>
      </c>
      <c r="G998" s="666">
        <v>225000</v>
      </c>
      <c r="H998" s="667">
        <f>130805+1</f>
        <v>130806</v>
      </c>
      <c r="I998" s="699">
        <f t="shared" si="121"/>
        <v>58.135999999999996</v>
      </c>
      <c r="J998" s="730"/>
      <c r="K998" s="667"/>
      <c r="L998" s="649"/>
      <c r="M998" s="666"/>
      <c r="N998" s="667"/>
      <c r="O998" s="731"/>
      <c r="P998" s="667"/>
      <c r="Q998" s="667"/>
      <c r="R998" s="737"/>
    </row>
    <row r="999" spans="1:18" ht="13.5" customHeight="1">
      <c r="A999" s="728">
        <v>4300</v>
      </c>
      <c r="B999" s="735" t="s">
        <v>715</v>
      </c>
      <c r="C999" s="666">
        <v>933300</v>
      </c>
      <c r="D999" s="643">
        <f t="shared" si="118"/>
        <v>1147749</v>
      </c>
      <c r="E999" s="667">
        <f t="shared" si="122"/>
        <v>604612</v>
      </c>
      <c r="F999" s="1001">
        <f t="shared" si="120"/>
        <v>52.678068114195696</v>
      </c>
      <c r="G999" s="666">
        <f>933300+85000+129449</f>
        <v>1147749</v>
      </c>
      <c r="H999" s="667">
        <v>604612</v>
      </c>
      <c r="I999" s="699">
        <f t="shared" si="121"/>
        <v>52.678068114195696</v>
      </c>
      <c r="J999" s="730"/>
      <c r="K999" s="667"/>
      <c r="L999" s="649"/>
      <c r="M999" s="666"/>
      <c r="N999" s="667"/>
      <c r="O999" s="731"/>
      <c r="P999" s="667"/>
      <c r="Q999" s="667"/>
      <c r="R999" s="737"/>
    </row>
    <row r="1000" spans="1:18" ht="36">
      <c r="A1000" s="728">
        <v>4390</v>
      </c>
      <c r="B1000" s="865" t="s">
        <v>743</v>
      </c>
      <c r="C1000" s="666">
        <v>10000</v>
      </c>
      <c r="D1000" s="643">
        <f>G1000+J1000+P1000+M1000</f>
        <v>10000</v>
      </c>
      <c r="E1000" s="667">
        <f>SUM(H1000+K1000+N1000+Q1000)</f>
        <v>0</v>
      </c>
      <c r="F1000" s="1001">
        <f>E1000/D1000*100</f>
        <v>0</v>
      </c>
      <c r="G1000" s="666">
        <v>10000</v>
      </c>
      <c r="H1000" s="667"/>
      <c r="I1000" s="699">
        <f t="shared" si="121"/>
        <v>0</v>
      </c>
      <c r="J1000" s="730"/>
      <c r="K1000" s="667"/>
      <c r="L1000" s="649"/>
      <c r="M1000" s="666"/>
      <c r="N1000" s="667"/>
      <c r="O1000" s="731"/>
      <c r="P1000" s="667"/>
      <c r="Q1000" s="667"/>
      <c r="R1000" s="737"/>
    </row>
    <row r="1001" spans="1:18" ht="13.5" customHeight="1">
      <c r="A1001" s="728">
        <v>4410</v>
      </c>
      <c r="B1001" s="735" t="s">
        <v>689</v>
      </c>
      <c r="C1001" s="666">
        <v>2600</v>
      </c>
      <c r="D1001" s="643">
        <f t="shared" si="118"/>
        <v>2600</v>
      </c>
      <c r="E1001" s="667">
        <f t="shared" si="122"/>
        <v>207</v>
      </c>
      <c r="F1001" s="1001">
        <f t="shared" si="120"/>
        <v>7.961538461538462</v>
      </c>
      <c r="G1001" s="666">
        <v>2600</v>
      </c>
      <c r="H1001" s="667">
        <v>207</v>
      </c>
      <c r="I1001" s="699">
        <f t="shared" si="121"/>
        <v>7.961538461538462</v>
      </c>
      <c r="J1001" s="730"/>
      <c r="K1001" s="667"/>
      <c r="L1001" s="649"/>
      <c r="M1001" s="666"/>
      <c r="N1001" s="667"/>
      <c r="O1001" s="731"/>
      <c r="P1001" s="667"/>
      <c r="Q1001" s="667"/>
      <c r="R1001" s="737"/>
    </row>
    <row r="1002" spans="1:18" ht="13.5" customHeight="1" hidden="1">
      <c r="A1002" s="728">
        <v>4430</v>
      </c>
      <c r="B1002" s="735" t="s">
        <v>717</v>
      </c>
      <c r="C1002" s="666"/>
      <c r="D1002" s="643">
        <f t="shared" si="118"/>
        <v>0</v>
      </c>
      <c r="E1002" s="667">
        <f t="shared" si="122"/>
        <v>0</v>
      </c>
      <c r="F1002" s="1001" t="e">
        <f t="shared" si="120"/>
        <v>#DIV/0!</v>
      </c>
      <c r="G1002" s="666"/>
      <c r="H1002" s="667"/>
      <c r="I1002" s="699" t="e">
        <f t="shared" si="121"/>
        <v>#DIV/0!</v>
      </c>
      <c r="J1002" s="730"/>
      <c r="K1002" s="667"/>
      <c r="L1002" s="649"/>
      <c r="M1002" s="666"/>
      <c r="N1002" s="667"/>
      <c r="O1002" s="731"/>
      <c r="P1002" s="667"/>
      <c r="Q1002" s="667"/>
      <c r="R1002" s="737"/>
    </row>
    <row r="1003" spans="1:18" ht="36">
      <c r="A1003" s="728">
        <v>4610</v>
      </c>
      <c r="B1003" s="735" t="s">
        <v>55</v>
      </c>
      <c r="C1003" s="666">
        <v>3000</v>
      </c>
      <c r="D1003" s="643">
        <f>G1003+J1003+P1003+M1003</f>
        <v>3000</v>
      </c>
      <c r="E1003" s="667">
        <f>SUM(H1003+K1003+N1003+Q1003)</f>
        <v>1996</v>
      </c>
      <c r="F1003" s="1001">
        <f>E1003/D1003*100</f>
        <v>66.53333333333333</v>
      </c>
      <c r="G1003" s="666">
        <v>3000</v>
      </c>
      <c r="H1003" s="667">
        <v>1996</v>
      </c>
      <c r="I1003" s="699">
        <f t="shared" si="121"/>
        <v>66.53333333333333</v>
      </c>
      <c r="J1003" s="730"/>
      <c r="K1003" s="667"/>
      <c r="L1003" s="649"/>
      <c r="M1003" s="666"/>
      <c r="N1003" s="667"/>
      <c r="O1003" s="731"/>
      <c r="P1003" s="667"/>
      <c r="Q1003" s="667"/>
      <c r="R1003" s="737"/>
    </row>
    <row r="1004" spans="1:18" ht="36">
      <c r="A1004" s="829">
        <v>4700</v>
      </c>
      <c r="B1004" s="850" t="s">
        <v>813</v>
      </c>
      <c r="C1004" s="666">
        <v>4000</v>
      </c>
      <c r="D1004" s="643">
        <f>G1004+J1004+P1004+M1004</f>
        <v>4000</v>
      </c>
      <c r="E1004" s="667">
        <f>SUM(H1004+K1004+N1004+Q1004)</f>
        <v>990</v>
      </c>
      <c r="F1004" s="1001">
        <f>E1004/D1004*100</f>
        <v>24.75</v>
      </c>
      <c r="G1004" s="666">
        <v>4000</v>
      </c>
      <c r="H1004" s="667">
        <v>990</v>
      </c>
      <c r="I1004" s="699">
        <f t="shared" si="121"/>
        <v>24.75</v>
      </c>
      <c r="J1004" s="730"/>
      <c r="K1004" s="667"/>
      <c r="L1004" s="649"/>
      <c r="M1004" s="666"/>
      <c r="N1004" s="667"/>
      <c r="O1004" s="731"/>
      <c r="P1004" s="667"/>
      <c r="Q1004" s="667"/>
      <c r="R1004" s="737"/>
    </row>
    <row r="1005" spans="1:18" ht="60">
      <c r="A1005" s="829">
        <v>4740</v>
      </c>
      <c r="B1005" s="850" t="s">
        <v>728</v>
      </c>
      <c r="C1005" s="666">
        <v>900</v>
      </c>
      <c r="D1005" s="643">
        <f>G1005+J1005+P1005+M1005</f>
        <v>900</v>
      </c>
      <c r="E1005" s="667">
        <f>SUM(H1005+K1005+N1005+Q1005)</f>
        <v>150</v>
      </c>
      <c r="F1005" s="1001">
        <f>E1005/D1005*100</f>
        <v>16.666666666666664</v>
      </c>
      <c r="G1005" s="666">
        <v>900</v>
      </c>
      <c r="H1005" s="667">
        <v>150</v>
      </c>
      <c r="I1005" s="699">
        <f t="shared" si="121"/>
        <v>16.666666666666664</v>
      </c>
      <c r="J1005" s="730"/>
      <c r="K1005" s="667"/>
      <c r="L1005" s="649"/>
      <c r="M1005" s="666"/>
      <c r="N1005" s="667"/>
      <c r="O1005" s="731"/>
      <c r="P1005" s="667"/>
      <c r="Q1005" s="667"/>
      <c r="R1005" s="737"/>
    </row>
    <row r="1006" spans="1:18" ht="36">
      <c r="A1006" s="829">
        <v>4750</v>
      </c>
      <c r="B1006" s="850" t="s">
        <v>814</v>
      </c>
      <c r="C1006" s="666"/>
      <c r="D1006" s="643">
        <f>G1006+J1006+P1006+M1006</f>
        <v>500</v>
      </c>
      <c r="E1006" s="667">
        <f>SUM(H1006+K1006+N1006+Q1006)</f>
        <v>0</v>
      </c>
      <c r="F1006" s="1001">
        <f>E1006/D1006*100</f>
        <v>0</v>
      </c>
      <c r="G1006" s="666">
        <v>500</v>
      </c>
      <c r="H1006" s="667"/>
      <c r="I1006" s="699">
        <f t="shared" si="121"/>
        <v>0</v>
      </c>
      <c r="J1006" s="730"/>
      <c r="K1006" s="667"/>
      <c r="L1006" s="649"/>
      <c r="M1006" s="666"/>
      <c r="N1006" s="667"/>
      <c r="O1006" s="731"/>
      <c r="P1006" s="667"/>
      <c r="Q1006" s="667"/>
      <c r="R1006" s="737"/>
    </row>
    <row r="1007" spans="1:18" ht="24">
      <c r="A1007" s="762">
        <v>6050</v>
      </c>
      <c r="B1007" s="780" t="s">
        <v>735</v>
      </c>
      <c r="C1007" s="781"/>
      <c r="D1007" s="765">
        <f t="shared" si="118"/>
        <v>150000</v>
      </c>
      <c r="E1007" s="785">
        <f t="shared" si="122"/>
        <v>34160</v>
      </c>
      <c r="F1007" s="1013">
        <f t="shared" si="120"/>
        <v>22.773333333333333</v>
      </c>
      <c r="G1007" s="781">
        <f>375000-225000</f>
        <v>150000</v>
      </c>
      <c r="H1007" s="785">
        <v>34160</v>
      </c>
      <c r="I1007" s="815">
        <f t="shared" si="121"/>
        <v>22.773333333333333</v>
      </c>
      <c r="J1007" s="782"/>
      <c r="K1007" s="785"/>
      <c r="L1007" s="768"/>
      <c r="M1007" s="781"/>
      <c r="N1007" s="785"/>
      <c r="O1007" s="786"/>
      <c r="P1007" s="785"/>
      <c r="Q1007" s="785"/>
      <c r="R1007" s="770"/>
    </row>
    <row r="1008" spans="1:18" s="723" customFormat="1" ht="75.75" customHeight="1">
      <c r="A1008" s="724">
        <v>85156</v>
      </c>
      <c r="B1008" s="854" t="s">
        <v>56</v>
      </c>
      <c r="C1008" s="726">
        <f>SUM(C1009)</f>
        <v>8000</v>
      </c>
      <c r="D1008" s="674">
        <f t="shared" si="118"/>
        <v>8000</v>
      </c>
      <c r="E1008" s="657">
        <f>SUM(E1009)</f>
        <v>5424</v>
      </c>
      <c r="F1008" s="996">
        <f>E1008/D1008*100</f>
        <v>67.80000000000001</v>
      </c>
      <c r="G1008" s="726"/>
      <c r="H1008" s="657"/>
      <c r="I1008" s="842"/>
      <c r="J1008" s="662"/>
      <c r="K1008" s="657"/>
      <c r="L1008" s="663"/>
      <c r="M1008" s="726"/>
      <c r="N1008" s="657"/>
      <c r="O1008" s="897"/>
      <c r="P1008" s="657">
        <f>SUM(P1009)</f>
        <v>8000</v>
      </c>
      <c r="Q1008" s="657">
        <f>SUM(Q1009)</f>
        <v>5424</v>
      </c>
      <c r="R1008" s="890">
        <f>Q1008/P1008*100</f>
        <v>67.80000000000001</v>
      </c>
    </row>
    <row r="1009" spans="1:18" s="723" customFormat="1" ht="23.25" customHeight="1">
      <c r="A1009" s="728">
        <v>4130</v>
      </c>
      <c r="B1009" s="735" t="s">
        <v>1025</v>
      </c>
      <c r="C1009" s="666">
        <v>8000</v>
      </c>
      <c r="D1009" s="643">
        <f t="shared" si="118"/>
        <v>8000</v>
      </c>
      <c r="E1009" s="667">
        <f>SUM(H1009+K1009+N1009+Q1009)</f>
        <v>5424</v>
      </c>
      <c r="F1009" s="1001">
        <f>E1009/D1009*100</f>
        <v>67.80000000000001</v>
      </c>
      <c r="G1009" s="666"/>
      <c r="H1009" s="667"/>
      <c r="I1009" s="737"/>
      <c r="J1009" s="730"/>
      <c r="K1009" s="667"/>
      <c r="L1009" s="649"/>
      <c r="M1009" s="666"/>
      <c r="N1009" s="667"/>
      <c r="O1009" s="649"/>
      <c r="P1009" s="667">
        <v>8000</v>
      </c>
      <c r="Q1009" s="667">
        <v>5424</v>
      </c>
      <c r="R1009" s="492">
        <f>Q1009/P1009*100</f>
        <v>67.80000000000001</v>
      </c>
    </row>
    <row r="1010" spans="1:18" ht="13.5" customHeight="1" hidden="1">
      <c r="A1010" s="724">
        <v>85158</v>
      </c>
      <c r="B1010" s="994" t="s">
        <v>57</v>
      </c>
      <c r="C1010" s="726">
        <f>SUM(C1012:C1025)</f>
        <v>0</v>
      </c>
      <c r="D1010" s="674">
        <f t="shared" si="118"/>
        <v>0</v>
      </c>
      <c r="E1010" s="657">
        <f>SUM(E1011:E1025)</f>
        <v>0</v>
      </c>
      <c r="F1010" s="996" t="e">
        <f t="shared" si="120"/>
        <v>#DIV/0!</v>
      </c>
      <c r="G1010" s="841">
        <f>SUM(G1011:G1025)</f>
        <v>0</v>
      </c>
      <c r="H1010" s="657">
        <f>SUM(H1011:H1025)</f>
        <v>0</v>
      </c>
      <c r="I1010" s="857" t="e">
        <f t="shared" si="121"/>
        <v>#DIV/0!</v>
      </c>
      <c r="J1010" s="662"/>
      <c r="K1010" s="657"/>
      <c r="L1010" s="663"/>
      <c r="M1010" s="726"/>
      <c r="N1010" s="657"/>
      <c r="O1010" s="317"/>
      <c r="P1010" s="657"/>
      <c r="Q1010" s="657"/>
      <c r="R1010" s="1015"/>
    </row>
    <row r="1011" spans="1:18" ht="36.75" customHeight="1" hidden="1">
      <c r="A1011" s="709">
        <v>3020</v>
      </c>
      <c r="B1011" s="776" t="s">
        <v>934</v>
      </c>
      <c r="C1011" s="684">
        <v>0</v>
      </c>
      <c r="D1011" s="685">
        <f>G1011+J1011+P1011+M1011</f>
        <v>0</v>
      </c>
      <c r="E1011" s="686">
        <f>SUM(H1011+K1011+N1011+Q1011)</f>
        <v>0</v>
      </c>
      <c r="F1011" s="1002" t="e">
        <f t="shared" si="120"/>
        <v>#DIV/0!</v>
      </c>
      <c r="G1011" s="670"/>
      <c r="H1011" s="686"/>
      <c r="I1011" s="694" t="e">
        <f>H1011/G1011*100</f>
        <v>#DIV/0!</v>
      </c>
      <c r="J1011" s="1016"/>
      <c r="K1011" s="1017"/>
      <c r="L1011" s="1018"/>
      <c r="M1011" s="1019"/>
      <c r="N1011" s="1017"/>
      <c r="O1011" s="779"/>
      <c r="P1011" s="1017"/>
      <c r="Q1011" s="1017"/>
      <c r="R1011" s="1020"/>
    </row>
    <row r="1012" spans="1:18" ht="24.75" customHeight="1" hidden="1">
      <c r="A1012" s="728">
        <v>4010</v>
      </c>
      <c r="B1012" s="995" t="s">
        <v>973</v>
      </c>
      <c r="C1012" s="666"/>
      <c r="D1012" s="643">
        <f t="shared" si="118"/>
        <v>0</v>
      </c>
      <c r="E1012" s="667">
        <f>SUM(H1012+K1012+N1012+Q1012)</f>
        <v>0</v>
      </c>
      <c r="F1012" s="1001" t="e">
        <f t="shared" si="120"/>
        <v>#DIV/0!</v>
      </c>
      <c r="G1012" s="666"/>
      <c r="H1012" s="667"/>
      <c r="I1012" s="699" t="e">
        <f t="shared" si="121"/>
        <v>#DIV/0!</v>
      </c>
      <c r="J1012" s="730"/>
      <c r="K1012" s="667"/>
      <c r="L1012" s="649"/>
      <c r="M1012" s="666"/>
      <c r="N1012" s="667"/>
      <c r="O1012" s="731"/>
      <c r="P1012" s="667"/>
      <c r="Q1012" s="667"/>
      <c r="R1012" s="1021"/>
    </row>
    <row r="1013" spans="1:18" ht="21.75" customHeight="1" hidden="1">
      <c r="A1013" s="728">
        <v>4040</v>
      </c>
      <c r="B1013" s="995" t="s">
        <v>801</v>
      </c>
      <c r="C1013" s="666"/>
      <c r="D1013" s="643">
        <f t="shared" si="118"/>
        <v>0</v>
      </c>
      <c r="E1013" s="667">
        <f>SUM(H1013+K1013+N1013+Q1013)</f>
        <v>0</v>
      </c>
      <c r="F1013" s="1001" t="e">
        <f t="shared" si="120"/>
        <v>#DIV/0!</v>
      </c>
      <c r="G1013" s="666"/>
      <c r="H1013" s="667"/>
      <c r="I1013" s="699" t="e">
        <f t="shared" si="121"/>
        <v>#DIV/0!</v>
      </c>
      <c r="J1013" s="730"/>
      <c r="K1013" s="667"/>
      <c r="L1013" s="649"/>
      <c r="M1013" s="666"/>
      <c r="N1013" s="667"/>
      <c r="O1013" s="731"/>
      <c r="P1013" s="667"/>
      <c r="Q1013" s="667"/>
      <c r="R1013" s="1021"/>
    </row>
    <row r="1014" spans="1:18" ht="24.75" customHeight="1" hidden="1">
      <c r="A1014" s="728">
        <v>4110</v>
      </c>
      <c r="B1014" s="995" t="s">
        <v>703</v>
      </c>
      <c r="C1014" s="666"/>
      <c r="D1014" s="643">
        <f>G1014+J1014+P1014+M1014</f>
        <v>0</v>
      </c>
      <c r="E1014" s="667">
        <f>SUM(H1014+K1014+N1014+Q1014)</f>
        <v>0</v>
      </c>
      <c r="F1014" s="1001" t="e">
        <f t="shared" si="120"/>
        <v>#DIV/0!</v>
      </c>
      <c r="G1014" s="666"/>
      <c r="H1014" s="667"/>
      <c r="I1014" s="699" t="e">
        <f t="shared" si="121"/>
        <v>#DIV/0!</v>
      </c>
      <c r="J1014" s="730"/>
      <c r="K1014" s="667"/>
      <c r="L1014" s="649"/>
      <c r="M1014" s="667"/>
      <c r="N1014" s="667"/>
      <c r="O1014" s="731"/>
      <c r="P1014" s="667"/>
      <c r="Q1014" s="667"/>
      <c r="R1014" s="1021"/>
    </row>
    <row r="1015" spans="1:18" ht="11.25" customHeight="1" hidden="1">
      <c r="A1015" s="728">
        <v>4120</v>
      </c>
      <c r="B1015" s="995" t="s">
        <v>847</v>
      </c>
      <c r="C1015" s="666"/>
      <c r="D1015" s="643">
        <f>G1015+J1015+P1015+M1015</f>
        <v>0</v>
      </c>
      <c r="E1015" s="667">
        <f>SUM(H1015+K1015+N1015+Q1015)</f>
        <v>0</v>
      </c>
      <c r="F1015" s="1001" t="e">
        <f t="shared" si="120"/>
        <v>#DIV/0!</v>
      </c>
      <c r="G1015" s="666"/>
      <c r="H1015" s="667"/>
      <c r="I1015" s="699" t="e">
        <f t="shared" si="121"/>
        <v>#DIV/0!</v>
      </c>
      <c r="J1015" s="730"/>
      <c r="K1015" s="667"/>
      <c r="L1015" s="649"/>
      <c r="M1015" s="667"/>
      <c r="N1015" s="667"/>
      <c r="O1015" s="731"/>
      <c r="P1015" s="667"/>
      <c r="Q1015" s="667"/>
      <c r="R1015" s="1021"/>
    </row>
    <row r="1016" spans="1:18" ht="22.5" customHeight="1" hidden="1">
      <c r="A1016" s="728">
        <v>4210</v>
      </c>
      <c r="B1016" s="995" t="s">
        <v>707</v>
      </c>
      <c r="C1016" s="666"/>
      <c r="D1016" s="643">
        <f aca="true" t="shared" si="123" ref="D1016:D1033">G1016+J1016+P1016+M1016</f>
        <v>0</v>
      </c>
      <c r="E1016" s="667">
        <f aca="true" t="shared" si="124" ref="E1016:E1025">SUM(H1016+K1016+N1016+Q1016)</f>
        <v>0</v>
      </c>
      <c r="F1016" s="1001" t="e">
        <f t="shared" si="120"/>
        <v>#DIV/0!</v>
      </c>
      <c r="G1016" s="666"/>
      <c r="H1016" s="667"/>
      <c r="I1016" s="699" t="e">
        <f t="shared" si="121"/>
        <v>#DIV/0!</v>
      </c>
      <c r="J1016" s="730"/>
      <c r="K1016" s="667"/>
      <c r="L1016" s="649"/>
      <c r="M1016" s="667"/>
      <c r="N1016" s="667"/>
      <c r="O1016" s="731"/>
      <c r="P1016" s="667"/>
      <c r="Q1016" s="667"/>
      <c r="R1016" s="1021"/>
    </row>
    <row r="1017" spans="1:18" ht="11.25" customHeight="1" hidden="1">
      <c r="A1017" s="728">
        <v>4260</v>
      </c>
      <c r="B1017" s="995" t="s">
        <v>711</v>
      </c>
      <c r="C1017" s="666"/>
      <c r="D1017" s="643">
        <f t="shared" si="123"/>
        <v>0</v>
      </c>
      <c r="E1017" s="667">
        <f t="shared" si="124"/>
        <v>0</v>
      </c>
      <c r="F1017" s="1001" t="e">
        <f t="shared" si="120"/>
        <v>#DIV/0!</v>
      </c>
      <c r="G1017" s="666"/>
      <c r="H1017" s="667"/>
      <c r="I1017" s="699" t="e">
        <f t="shared" si="121"/>
        <v>#DIV/0!</v>
      </c>
      <c r="J1017" s="730"/>
      <c r="K1017" s="667"/>
      <c r="L1017" s="649"/>
      <c r="M1017" s="667"/>
      <c r="N1017" s="667"/>
      <c r="O1017" s="731"/>
      <c r="P1017" s="667"/>
      <c r="Q1017" s="667"/>
      <c r="R1017" s="1021"/>
    </row>
    <row r="1018" spans="1:18" ht="11.25" customHeight="1" hidden="1">
      <c r="A1018" s="728">
        <v>4270</v>
      </c>
      <c r="B1018" s="995" t="s">
        <v>713</v>
      </c>
      <c r="C1018" s="666"/>
      <c r="D1018" s="643">
        <f t="shared" si="123"/>
        <v>0</v>
      </c>
      <c r="E1018" s="667">
        <f t="shared" si="124"/>
        <v>0</v>
      </c>
      <c r="F1018" s="1001" t="e">
        <f t="shared" si="120"/>
        <v>#DIV/0!</v>
      </c>
      <c r="G1018" s="666"/>
      <c r="H1018" s="667"/>
      <c r="I1018" s="699" t="e">
        <f t="shared" si="121"/>
        <v>#DIV/0!</v>
      </c>
      <c r="J1018" s="730"/>
      <c r="K1018" s="667"/>
      <c r="L1018" s="649"/>
      <c r="M1018" s="667"/>
      <c r="N1018" s="667"/>
      <c r="O1018" s="731"/>
      <c r="P1018" s="667"/>
      <c r="Q1018" s="667"/>
      <c r="R1018" s="1021"/>
    </row>
    <row r="1019" spans="1:18" ht="24" customHeight="1" hidden="1">
      <c r="A1019" s="728">
        <v>4280</v>
      </c>
      <c r="B1019" s="995" t="s">
        <v>58</v>
      </c>
      <c r="C1019" s="666"/>
      <c r="D1019" s="643">
        <f t="shared" si="123"/>
        <v>0</v>
      </c>
      <c r="E1019" s="667">
        <f t="shared" si="124"/>
        <v>0</v>
      </c>
      <c r="F1019" s="1001" t="e">
        <f t="shared" si="120"/>
        <v>#DIV/0!</v>
      </c>
      <c r="G1019" s="666"/>
      <c r="H1019" s="667"/>
      <c r="I1019" s="699" t="e">
        <f t="shared" si="121"/>
        <v>#DIV/0!</v>
      </c>
      <c r="J1019" s="730"/>
      <c r="K1019" s="667"/>
      <c r="L1019" s="649"/>
      <c r="M1019" s="667"/>
      <c r="N1019" s="667"/>
      <c r="O1019" s="731"/>
      <c r="P1019" s="667"/>
      <c r="Q1019" s="667"/>
      <c r="R1019" s="1021"/>
    </row>
    <row r="1020" spans="1:18" ht="11.25" customHeight="1" hidden="1">
      <c r="A1020" s="728">
        <v>4300</v>
      </c>
      <c r="B1020" s="995" t="s">
        <v>715</v>
      </c>
      <c r="C1020" s="666"/>
      <c r="D1020" s="643">
        <f t="shared" si="123"/>
        <v>0</v>
      </c>
      <c r="E1020" s="667">
        <f t="shared" si="124"/>
        <v>0</v>
      </c>
      <c r="F1020" s="1001" t="e">
        <f t="shared" si="120"/>
        <v>#DIV/0!</v>
      </c>
      <c r="G1020" s="666"/>
      <c r="H1020" s="667"/>
      <c r="I1020" s="699" t="e">
        <f t="shared" si="121"/>
        <v>#DIV/0!</v>
      </c>
      <c r="J1020" s="730"/>
      <c r="K1020" s="667"/>
      <c r="L1020" s="649"/>
      <c r="M1020" s="667"/>
      <c r="N1020" s="667"/>
      <c r="O1020" s="731"/>
      <c r="P1020" s="667"/>
      <c r="Q1020" s="667"/>
      <c r="R1020" s="1021"/>
    </row>
    <row r="1021" spans="1:18" ht="12.75" customHeight="1" hidden="1">
      <c r="A1021" s="728">
        <v>4410</v>
      </c>
      <c r="B1021" s="995" t="s">
        <v>689</v>
      </c>
      <c r="C1021" s="666"/>
      <c r="D1021" s="643">
        <f t="shared" si="123"/>
        <v>0</v>
      </c>
      <c r="E1021" s="667">
        <f t="shared" si="124"/>
        <v>0</v>
      </c>
      <c r="F1021" s="1001" t="e">
        <f t="shared" si="120"/>
        <v>#DIV/0!</v>
      </c>
      <c r="G1021" s="666"/>
      <c r="H1021" s="667"/>
      <c r="I1021" s="699" t="e">
        <f t="shared" si="121"/>
        <v>#DIV/0!</v>
      </c>
      <c r="J1021" s="730"/>
      <c r="K1021" s="667"/>
      <c r="L1021" s="649"/>
      <c r="M1021" s="667"/>
      <c r="N1021" s="667"/>
      <c r="O1021" s="731"/>
      <c r="P1021" s="667"/>
      <c r="Q1021" s="667"/>
      <c r="R1021" s="1021"/>
    </row>
    <row r="1022" spans="1:18" ht="12.75" customHeight="1" hidden="1">
      <c r="A1022" s="728">
        <v>4430</v>
      </c>
      <c r="B1022" s="995" t="s">
        <v>717</v>
      </c>
      <c r="C1022" s="666"/>
      <c r="D1022" s="643">
        <f t="shared" si="123"/>
        <v>0</v>
      </c>
      <c r="E1022" s="667">
        <f t="shared" si="124"/>
        <v>0</v>
      </c>
      <c r="F1022" s="1001" t="e">
        <f t="shared" si="120"/>
        <v>#DIV/0!</v>
      </c>
      <c r="G1022" s="666"/>
      <c r="H1022" s="733"/>
      <c r="I1022" s="699" t="e">
        <f t="shared" si="121"/>
        <v>#DIV/0!</v>
      </c>
      <c r="J1022" s="792"/>
      <c r="K1022" s="667"/>
      <c r="L1022" s="649"/>
      <c r="M1022" s="733"/>
      <c r="N1022" s="733"/>
      <c r="O1022" s="793"/>
      <c r="P1022" s="733"/>
      <c r="Q1022" s="733"/>
      <c r="R1022" s="866"/>
    </row>
    <row r="1023" spans="1:18" ht="11.25" customHeight="1" hidden="1">
      <c r="A1023" s="728">
        <v>4440</v>
      </c>
      <c r="B1023" s="995" t="s">
        <v>719</v>
      </c>
      <c r="C1023" s="666"/>
      <c r="D1023" s="643">
        <f t="shared" si="123"/>
        <v>0</v>
      </c>
      <c r="E1023" s="667">
        <f t="shared" si="124"/>
        <v>0</v>
      </c>
      <c r="F1023" s="1001" t="e">
        <f t="shared" si="120"/>
        <v>#DIV/0!</v>
      </c>
      <c r="G1023" s="666"/>
      <c r="H1023" s="667"/>
      <c r="I1023" s="699" t="e">
        <f t="shared" si="121"/>
        <v>#DIV/0!</v>
      </c>
      <c r="J1023" s="730"/>
      <c r="K1023" s="667"/>
      <c r="L1023" s="649"/>
      <c r="M1023" s="667"/>
      <c r="N1023" s="667"/>
      <c r="O1023" s="731"/>
      <c r="P1023" s="667"/>
      <c r="Q1023" s="667"/>
      <c r="R1023" s="1021"/>
    </row>
    <row r="1024" spans="1:18" s="723" customFormat="1" ht="12.75" customHeight="1" hidden="1">
      <c r="A1024" s="728">
        <v>4480</v>
      </c>
      <c r="B1024" s="995" t="s">
        <v>426</v>
      </c>
      <c r="C1024" s="666"/>
      <c r="D1024" s="643">
        <f t="shared" si="123"/>
        <v>0</v>
      </c>
      <c r="E1024" s="667">
        <f t="shared" si="124"/>
        <v>0</v>
      </c>
      <c r="F1024" s="1001" t="e">
        <f t="shared" si="120"/>
        <v>#DIV/0!</v>
      </c>
      <c r="G1024" s="666"/>
      <c r="H1024" s="667"/>
      <c r="I1024" s="699" t="e">
        <f t="shared" si="121"/>
        <v>#DIV/0!</v>
      </c>
      <c r="J1024" s="730"/>
      <c r="K1024" s="667"/>
      <c r="L1024" s="649"/>
      <c r="M1024" s="667"/>
      <c r="N1024" s="667"/>
      <c r="O1024" s="731"/>
      <c r="P1024" s="667"/>
      <c r="Q1024" s="667"/>
      <c r="R1024" s="1021"/>
    </row>
    <row r="1025" spans="1:18" s="723" customFormat="1" ht="36" hidden="1">
      <c r="A1025" s="762">
        <v>4520</v>
      </c>
      <c r="B1025" s="1012" t="s">
        <v>59</v>
      </c>
      <c r="C1025" s="781"/>
      <c r="D1025" s="765">
        <f t="shared" si="123"/>
        <v>0</v>
      </c>
      <c r="E1025" s="785">
        <f t="shared" si="124"/>
        <v>0</v>
      </c>
      <c r="F1025" s="1013" t="e">
        <f t="shared" si="120"/>
        <v>#DIV/0!</v>
      </c>
      <c r="G1025" s="781"/>
      <c r="H1025" s="785"/>
      <c r="I1025" s="815" t="e">
        <f t="shared" si="121"/>
        <v>#DIV/0!</v>
      </c>
      <c r="J1025" s="782"/>
      <c r="K1025" s="785"/>
      <c r="L1025" s="768"/>
      <c r="M1025" s="785"/>
      <c r="N1025" s="785"/>
      <c r="O1025" s="786"/>
      <c r="P1025" s="785"/>
      <c r="Q1025" s="785"/>
      <c r="R1025" s="1022"/>
    </row>
    <row r="1026" spans="1:18" s="938" customFormat="1" ht="11.25" customHeight="1">
      <c r="A1026" s="724">
        <v>85195</v>
      </c>
      <c r="B1026" s="994" t="s">
        <v>311</v>
      </c>
      <c r="C1026" s="726">
        <f>SUM(C1027:C1033)</f>
        <v>889000</v>
      </c>
      <c r="D1026" s="674">
        <f>G1026+J1026+P1026+M1026</f>
        <v>921000</v>
      </c>
      <c r="E1026" s="674">
        <f>H1026+K1026+Q1026+N1026</f>
        <v>730341</v>
      </c>
      <c r="F1026" s="996">
        <f t="shared" si="120"/>
        <v>79.29869706840391</v>
      </c>
      <c r="G1026" s="726">
        <f>SUM(G1027:G1033)</f>
        <v>886000</v>
      </c>
      <c r="H1026" s="657">
        <f>SUM(H1027:H1033)</f>
        <v>695387</v>
      </c>
      <c r="I1026" s="658">
        <f t="shared" si="121"/>
        <v>78.48611738148983</v>
      </c>
      <c r="J1026" s="662"/>
      <c r="K1026" s="657"/>
      <c r="L1026" s="663"/>
      <c r="M1026" s="657">
        <f>M1034</f>
        <v>35000</v>
      </c>
      <c r="N1026" s="657">
        <f>N1034</f>
        <v>34954</v>
      </c>
      <c r="O1026" s="317"/>
      <c r="P1026" s="657"/>
      <c r="Q1026" s="657"/>
      <c r="R1026" s="1015"/>
    </row>
    <row r="1027" spans="1:18" s="882" customFormat="1" ht="72">
      <c r="A1027" s="709">
        <v>2820</v>
      </c>
      <c r="B1027" s="1023" t="s">
        <v>60</v>
      </c>
      <c r="C1027" s="670">
        <v>140000</v>
      </c>
      <c r="D1027" s="685">
        <f t="shared" si="123"/>
        <v>180000</v>
      </c>
      <c r="E1027" s="686">
        <f aca="true" t="shared" si="125" ref="E1027:E1033">SUM(H1027+K1027+N1027+Q1027)</f>
        <v>131600</v>
      </c>
      <c r="F1027" s="1002">
        <f t="shared" si="120"/>
        <v>73.11111111111111</v>
      </c>
      <c r="G1027" s="670">
        <f>140000+40000</f>
        <v>180000</v>
      </c>
      <c r="H1027" s="686">
        <v>131600</v>
      </c>
      <c r="I1027" s="668">
        <f t="shared" si="121"/>
        <v>73.11111111111111</v>
      </c>
      <c r="J1027" s="777"/>
      <c r="K1027" s="686"/>
      <c r="L1027" s="690"/>
      <c r="M1027" s="686"/>
      <c r="N1027" s="686"/>
      <c r="O1027" s="779"/>
      <c r="P1027" s="686"/>
      <c r="Q1027" s="686"/>
      <c r="R1027" s="760"/>
    </row>
    <row r="1028" spans="1:18" s="882" customFormat="1" ht="48" hidden="1">
      <c r="A1028" s="728">
        <v>2480</v>
      </c>
      <c r="B1028" s="865" t="s">
        <v>54</v>
      </c>
      <c r="C1028" s="666"/>
      <c r="D1028" s="643">
        <f>G1028+J1028+P1028+M1028</f>
        <v>0</v>
      </c>
      <c r="E1028" s="667">
        <f>SUM(H1028+K1028+N1028+Q1028)</f>
        <v>0</v>
      </c>
      <c r="F1028" s="1001" t="e">
        <f>E1028/D1028*100</f>
        <v>#DIV/0!</v>
      </c>
      <c r="G1028" s="666"/>
      <c r="H1028" s="667"/>
      <c r="I1028" s="644" t="e">
        <f t="shared" si="121"/>
        <v>#DIV/0!</v>
      </c>
      <c r="J1028" s="730"/>
      <c r="K1028" s="667"/>
      <c r="L1028" s="649"/>
      <c r="M1028" s="667"/>
      <c r="N1028" s="667"/>
      <c r="O1028" s="731"/>
      <c r="P1028" s="667"/>
      <c r="Q1028" s="667"/>
      <c r="R1028" s="737"/>
    </row>
    <row r="1029" spans="1:18" s="882" customFormat="1" ht="48" hidden="1">
      <c r="A1029" s="728">
        <v>2620</v>
      </c>
      <c r="B1029" s="865" t="s">
        <v>61</v>
      </c>
      <c r="C1029" s="666"/>
      <c r="D1029" s="643">
        <f>G1029+J1029+P1029+M1029</f>
        <v>0</v>
      </c>
      <c r="E1029" s="667">
        <f t="shared" si="125"/>
        <v>0</v>
      </c>
      <c r="F1029" s="1001" t="e">
        <f>E1029/D1029*100</f>
        <v>#DIV/0!</v>
      </c>
      <c r="G1029" s="666"/>
      <c r="H1029" s="667"/>
      <c r="I1029" s="644" t="e">
        <f t="shared" si="121"/>
        <v>#DIV/0!</v>
      </c>
      <c r="J1029" s="730"/>
      <c r="K1029" s="667"/>
      <c r="L1029" s="649"/>
      <c r="M1029" s="667"/>
      <c r="N1029" s="667"/>
      <c r="O1029" s="731"/>
      <c r="P1029" s="667"/>
      <c r="Q1029" s="667"/>
      <c r="R1029" s="737"/>
    </row>
    <row r="1030" spans="1:18" s="882" customFormat="1" ht="24">
      <c r="A1030" s="728">
        <v>4210</v>
      </c>
      <c r="B1030" s="735" t="s">
        <v>707</v>
      </c>
      <c r="C1030" s="666"/>
      <c r="D1030" s="643">
        <f>G1030+J1030+P1030+M1030</f>
        <v>200</v>
      </c>
      <c r="E1030" s="667">
        <f t="shared" si="125"/>
        <v>200</v>
      </c>
      <c r="F1030" s="1001">
        <f>E1030/D1030*100</f>
        <v>100</v>
      </c>
      <c r="G1030" s="666">
        <v>200</v>
      </c>
      <c r="H1030" s="667">
        <v>200</v>
      </c>
      <c r="I1030" s="644">
        <f t="shared" si="121"/>
        <v>100</v>
      </c>
      <c r="J1030" s="730"/>
      <c r="K1030" s="667"/>
      <c r="L1030" s="649"/>
      <c r="M1030" s="667"/>
      <c r="N1030" s="667"/>
      <c r="O1030" s="731"/>
      <c r="P1030" s="667"/>
      <c r="Q1030" s="667"/>
      <c r="R1030" s="737"/>
    </row>
    <row r="1031" spans="1:18" s="882" customFormat="1" ht="24">
      <c r="A1031" s="728">
        <v>4300</v>
      </c>
      <c r="B1031" s="995" t="s">
        <v>733</v>
      </c>
      <c r="C1031" s="666">
        <v>469000</v>
      </c>
      <c r="D1031" s="643">
        <f t="shared" si="123"/>
        <v>425800</v>
      </c>
      <c r="E1031" s="667">
        <f t="shared" si="125"/>
        <v>283608</v>
      </c>
      <c r="F1031" s="1001">
        <f t="shared" si="120"/>
        <v>66.60591827148896</v>
      </c>
      <c r="G1031" s="666">
        <f>469000-200-15000-35000+7000</f>
        <v>425800</v>
      </c>
      <c r="H1031" s="667">
        <v>283608</v>
      </c>
      <c r="I1031" s="644">
        <f t="shared" si="121"/>
        <v>66.60591827148896</v>
      </c>
      <c r="J1031" s="730"/>
      <c r="K1031" s="667"/>
      <c r="L1031" s="649"/>
      <c r="M1031" s="667"/>
      <c r="N1031" s="667"/>
      <c r="O1031" s="731"/>
      <c r="P1031" s="667"/>
      <c r="Q1031" s="667"/>
      <c r="R1031" s="737"/>
    </row>
    <row r="1032" spans="1:18" ht="48" hidden="1">
      <c r="A1032" s="728">
        <v>6050</v>
      </c>
      <c r="B1032" s="735" t="s">
        <v>62</v>
      </c>
      <c r="C1032" s="666"/>
      <c r="D1032" s="643">
        <f>G1032+J1032+P1032+M1032</f>
        <v>0</v>
      </c>
      <c r="E1032" s="667">
        <f t="shared" si="125"/>
        <v>0</v>
      </c>
      <c r="F1032" s="1001" t="e">
        <f>E1032/D1032*100</f>
        <v>#DIV/0!</v>
      </c>
      <c r="G1032" s="666"/>
      <c r="H1032" s="733"/>
      <c r="I1032" s="644" t="e">
        <f>H1032/G1032*100</f>
        <v>#DIV/0!</v>
      </c>
      <c r="J1032" s="792"/>
      <c r="K1032" s="667"/>
      <c r="L1032" s="649"/>
      <c r="M1032" s="733"/>
      <c r="N1032" s="733"/>
      <c r="O1032" s="793"/>
      <c r="P1032" s="733"/>
      <c r="Q1032" s="733"/>
      <c r="R1032" s="734"/>
    </row>
    <row r="1033" spans="1:18" ht="36">
      <c r="A1033" s="728">
        <v>6050</v>
      </c>
      <c r="B1033" s="735" t="s">
        <v>63</v>
      </c>
      <c r="C1033" s="666">
        <v>280000</v>
      </c>
      <c r="D1033" s="643">
        <f t="shared" si="123"/>
        <v>280000</v>
      </c>
      <c r="E1033" s="667">
        <f t="shared" si="125"/>
        <v>279979</v>
      </c>
      <c r="F1033" s="1001">
        <f t="shared" si="120"/>
        <v>99.99249999999999</v>
      </c>
      <c r="G1033" s="666">
        <v>280000</v>
      </c>
      <c r="H1033" s="733">
        <v>279979</v>
      </c>
      <c r="I1033" s="644">
        <f t="shared" si="121"/>
        <v>99.99249999999999</v>
      </c>
      <c r="J1033" s="792"/>
      <c r="K1033" s="667"/>
      <c r="L1033" s="649"/>
      <c r="M1033" s="733"/>
      <c r="N1033" s="733"/>
      <c r="O1033" s="793"/>
      <c r="P1033" s="733"/>
      <c r="Q1033" s="733"/>
      <c r="R1033" s="734"/>
    </row>
    <row r="1034" spans="1:18" ht="36.75" thickBot="1">
      <c r="A1034" s="986">
        <v>6050</v>
      </c>
      <c r="B1034" s="1024" t="s">
        <v>64</v>
      </c>
      <c r="C1034" s="666"/>
      <c r="D1034" s="643">
        <f>G1034+J1034+P1034+M1034</f>
        <v>35000</v>
      </c>
      <c r="E1034" s="667">
        <f>SUM(H1034+K1034+N1034+Q1034)</f>
        <v>34954</v>
      </c>
      <c r="F1034" s="1001">
        <f>E1034/D1034*100</f>
        <v>99.86857142857143</v>
      </c>
      <c r="G1034" s="666"/>
      <c r="H1034" s="733"/>
      <c r="I1034" s="644"/>
      <c r="J1034" s="792"/>
      <c r="K1034" s="667"/>
      <c r="L1034" s="649"/>
      <c r="M1034" s="1025">
        <v>35000</v>
      </c>
      <c r="N1034" s="733">
        <v>34954</v>
      </c>
      <c r="O1034" s="793"/>
      <c r="P1034" s="733"/>
      <c r="Q1034" s="733"/>
      <c r="R1034" s="734"/>
    </row>
    <row r="1035" spans="1:18" s="1028" customFormat="1" ht="27" thickBot="1" thickTop="1">
      <c r="A1035" s="1026">
        <v>852</v>
      </c>
      <c r="B1035" s="1027" t="s">
        <v>538</v>
      </c>
      <c r="C1035" s="740">
        <f>C1036+C1092+C1095+C1187+C1195+C1218+C1221+C1246+C1224+C1323+C1341+C1284+C1294+C1227+C1229+C1339</f>
        <v>42994110</v>
      </c>
      <c r="D1035" s="618">
        <f>G1035+J1035+P1035+M1035</f>
        <v>44678242</v>
      </c>
      <c r="E1035" s="618">
        <f>H1035+K1035+Q1035+N1035</f>
        <v>30697940</v>
      </c>
      <c r="F1035" s="1006">
        <f t="shared" si="120"/>
        <v>68.70892547652166</v>
      </c>
      <c r="G1035" s="740">
        <f>G1036+G1092+G1095+G1187+G1195+G1218+G1221+G1246+G1224+G1323+G1341+G1284+G1294+G1227+G1229+G1339</f>
        <v>18692927</v>
      </c>
      <c r="H1035" s="618">
        <f>H1036+H1092+H1095+H1187+H1195+H1218+H1221+H1246+H1224+H1323+H1341+H1284+H1294+H1227+H1229+H1339</f>
        <v>12592917</v>
      </c>
      <c r="I1035" s="619">
        <f>H1035/G1035*100</f>
        <v>67.36728282306991</v>
      </c>
      <c r="J1035" s="618">
        <f>J1036+J1092+J1095+J1187+J1195+J1218+J1221+J1246+J1224+J1323+J1341+J1284+J1294+J1227+J1229+J1339</f>
        <v>20936762</v>
      </c>
      <c r="K1035" s="618">
        <f>K1036+K1092+K1095+K1187+K1195+K1218+K1221+K1246+K1224+K1323+K1341+K1284+K1294+K1227+K1229+K1339</f>
        <v>14341216</v>
      </c>
      <c r="L1035" s="744">
        <f>K1035/J1035*100</f>
        <v>68.49777439319413</v>
      </c>
      <c r="M1035" s="950">
        <f>M1036+M1092+M1095+M1187+M1195+M1221+M1246+M1224+M1323+M1341+M1284+M1294+M1227+M1229</f>
        <v>5031053</v>
      </c>
      <c r="N1035" s="618">
        <f>N1036+N1092+N1095+N1187+N1195+N1221+N1246+N1224+N1323+N1341+N1284+N1294+N1227+N1229</f>
        <v>3756628</v>
      </c>
      <c r="O1035" s="621">
        <f aca="true" t="shared" si="126" ref="O1035:O1091">N1035/M1035*100</f>
        <v>74.66882181523431</v>
      </c>
      <c r="P1035" s="618">
        <f>P1284+P1294</f>
        <v>17500</v>
      </c>
      <c r="Q1035" s="618">
        <f>Q1284+Q1294</f>
        <v>7179</v>
      </c>
      <c r="R1035" s="621">
        <f>Q1035/P1035*100</f>
        <v>41.02285714285714</v>
      </c>
    </row>
    <row r="1036" spans="1:18" s="723" customFormat="1" ht="33.75" customHeight="1" thickTop="1">
      <c r="A1036" s="956">
        <v>85201</v>
      </c>
      <c r="B1036" s="1029" t="s">
        <v>65</v>
      </c>
      <c r="C1036" s="630">
        <f>SUM(C1037:C1041)+C1055+C1073</f>
        <v>979770</v>
      </c>
      <c r="D1036" s="631">
        <f>G1036+J1036+P1036+M1036</f>
        <v>1202876</v>
      </c>
      <c r="E1036" s="871">
        <f>H1036+K1036+Q1036+N1036</f>
        <v>932498</v>
      </c>
      <c r="F1036" s="1013">
        <f t="shared" si="120"/>
        <v>77.52237138325148</v>
      </c>
      <c r="G1036" s="958">
        <f>SUM(G1037:G1041)</f>
        <v>247618</v>
      </c>
      <c r="H1036" s="637">
        <f>SUM(H1037:H1041)</f>
        <v>210651</v>
      </c>
      <c r="I1036" s="1030">
        <f>H1036/G1036*100</f>
        <v>85.07095606942953</v>
      </c>
      <c r="J1036" s="636"/>
      <c r="K1036" s="637"/>
      <c r="L1036" s="638"/>
      <c r="M1036" s="633">
        <f>SUM(M1037:M1040)+M1055+M1073</f>
        <v>955258</v>
      </c>
      <c r="N1036" s="633">
        <f>SUM(N1037:N1040)+N1055+N1073</f>
        <v>721847</v>
      </c>
      <c r="O1036" s="766">
        <f t="shared" si="126"/>
        <v>75.56565870162825</v>
      </c>
      <c r="P1036" s="633"/>
      <c r="Q1036" s="633"/>
      <c r="R1036" s="1031"/>
    </row>
    <row r="1037" spans="1:18" s="723" customFormat="1" ht="72">
      <c r="A1037" s="728">
        <v>2320</v>
      </c>
      <c r="B1037" s="995" t="s">
        <v>861</v>
      </c>
      <c r="C1037" s="666">
        <v>400000</v>
      </c>
      <c r="D1037" s="643">
        <f aca="true" t="shared" si="127" ref="D1037:E1056">G1037+J1037+P1037+M1037</f>
        <v>400000</v>
      </c>
      <c r="E1037" s="643">
        <f t="shared" si="127"/>
        <v>301130</v>
      </c>
      <c r="F1037" s="1001">
        <f t="shared" si="120"/>
        <v>75.2825</v>
      </c>
      <c r="G1037" s="697"/>
      <c r="H1037" s="643"/>
      <c r="I1037" s="1032"/>
      <c r="J1037" s="848"/>
      <c r="K1037" s="847"/>
      <c r="L1037" s="751"/>
      <c r="M1037" s="670">
        <v>400000</v>
      </c>
      <c r="N1037" s="686">
        <v>301130</v>
      </c>
      <c r="O1037" s="492">
        <f t="shared" si="126"/>
        <v>75.2825</v>
      </c>
      <c r="P1037" s="667"/>
      <c r="Q1037" s="667"/>
      <c r="R1037" s="737"/>
    </row>
    <row r="1038" spans="1:18" s="723" customFormat="1" ht="52.5" customHeight="1">
      <c r="A1038" s="728">
        <v>2820</v>
      </c>
      <c r="B1038" s="995" t="s">
        <v>66</v>
      </c>
      <c r="C1038" s="666">
        <v>45000</v>
      </c>
      <c r="D1038" s="643">
        <f t="shared" si="127"/>
        <v>45000</v>
      </c>
      <c r="E1038" s="643">
        <f t="shared" si="127"/>
        <v>45000</v>
      </c>
      <c r="F1038" s="1001">
        <f t="shared" si="120"/>
        <v>100</v>
      </c>
      <c r="G1038" s="697"/>
      <c r="H1038" s="643"/>
      <c r="I1038" s="1032"/>
      <c r="J1038" s="848"/>
      <c r="K1038" s="847"/>
      <c r="L1038" s="751"/>
      <c r="M1038" s="666">
        <v>45000</v>
      </c>
      <c r="N1038" s="667">
        <v>45000</v>
      </c>
      <c r="O1038" s="492">
        <f t="shared" si="126"/>
        <v>100</v>
      </c>
      <c r="P1038" s="667"/>
      <c r="Q1038" s="667"/>
      <c r="R1038" s="737"/>
    </row>
    <row r="1039" spans="1:18" s="723" customFormat="1" ht="12.75">
      <c r="A1039" s="728">
        <v>4580</v>
      </c>
      <c r="B1039" s="818" t="s">
        <v>412</v>
      </c>
      <c r="C1039" s="666"/>
      <c r="D1039" s="643">
        <f>G1039+J1039+P1039+M1039</f>
        <v>5</v>
      </c>
      <c r="E1039" s="643">
        <f>H1039+K1039+Q1039+N1039</f>
        <v>3</v>
      </c>
      <c r="F1039" s="1001">
        <f>E1039/D1039*100</f>
        <v>60</v>
      </c>
      <c r="G1039" s="697"/>
      <c r="H1039" s="643"/>
      <c r="I1039" s="1032"/>
      <c r="J1039" s="848"/>
      <c r="K1039" s="847"/>
      <c r="L1039" s="751"/>
      <c r="M1039" s="666">
        <v>5</v>
      </c>
      <c r="N1039" s="667">
        <v>3</v>
      </c>
      <c r="O1039" s="492">
        <f t="shared" si="126"/>
        <v>60</v>
      </c>
      <c r="P1039" s="667"/>
      <c r="Q1039" s="667"/>
      <c r="R1039" s="737"/>
    </row>
    <row r="1040" spans="1:18" s="723" customFormat="1" ht="16.5" customHeight="1">
      <c r="A1040" s="709">
        <v>3110</v>
      </c>
      <c r="B1040" s="1005" t="s">
        <v>1024</v>
      </c>
      <c r="C1040" s="670">
        <v>30000</v>
      </c>
      <c r="D1040" s="685">
        <f t="shared" si="127"/>
        <v>146615</v>
      </c>
      <c r="E1040" s="685">
        <f t="shared" si="127"/>
        <v>99485</v>
      </c>
      <c r="F1040" s="1002">
        <f t="shared" si="120"/>
        <v>67.85458513794632</v>
      </c>
      <c r="G1040" s="684"/>
      <c r="H1040" s="685"/>
      <c r="I1040" s="1033"/>
      <c r="J1040" s="1016"/>
      <c r="K1040" s="1017"/>
      <c r="L1040" s="1018"/>
      <c r="M1040" s="670">
        <f>30000+246615-30000-100000</f>
        <v>146615</v>
      </c>
      <c r="N1040" s="686">
        <v>99485</v>
      </c>
      <c r="O1040" s="758">
        <f t="shared" si="126"/>
        <v>67.85458513794632</v>
      </c>
      <c r="P1040" s="686"/>
      <c r="Q1040" s="686"/>
      <c r="R1040" s="760"/>
    </row>
    <row r="1041" spans="1:18" s="775" customFormat="1" ht="16.5" customHeight="1">
      <c r="A1041" s="832"/>
      <c r="B1041" s="1034" t="s">
        <v>67</v>
      </c>
      <c r="C1041" s="834">
        <f>SUM(C1042:C1054)</f>
        <v>189840</v>
      </c>
      <c r="D1041" s="727">
        <f>G1041+J1041+P1041+M1041</f>
        <v>247618</v>
      </c>
      <c r="E1041" s="727">
        <f>H1041+K1041+Q1041+N1041</f>
        <v>210651</v>
      </c>
      <c r="F1041" s="1035">
        <f>E1041/D1041*100</f>
        <v>85.07095606942953</v>
      </c>
      <c r="G1041" s="1036">
        <f>SUM(G1042:G1054)</f>
        <v>247618</v>
      </c>
      <c r="H1041" s="727">
        <f>SUM(H1042:H1054)</f>
        <v>210651</v>
      </c>
      <c r="I1041" s="1037">
        <f>H1041/G1041*100</f>
        <v>85.07095606942953</v>
      </c>
      <c r="J1041" s="835"/>
      <c r="K1041" s="727"/>
      <c r="L1041" s="873"/>
      <c r="M1041" s="834"/>
      <c r="N1041" s="727"/>
      <c r="O1041" s="905"/>
      <c r="P1041" s="727"/>
      <c r="Q1041" s="727"/>
      <c r="R1041" s="839"/>
    </row>
    <row r="1042" spans="1:18" s="723" customFormat="1" ht="24">
      <c r="A1042" s="728">
        <v>4010</v>
      </c>
      <c r="B1042" s="995" t="s">
        <v>697</v>
      </c>
      <c r="C1042" s="666">
        <v>72130</v>
      </c>
      <c r="D1042" s="643">
        <f t="shared" si="127"/>
        <v>86836</v>
      </c>
      <c r="E1042" s="643">
        <f t="shared" si="127"/>
        <v>64420</v>
      </c>
      <c r="F1042" s="1001">
        <f t="shared" si="120"/>
        <v>74.18582154866645</v>
      </c>
      <c r="G1042" s="666">
        <f>72130+14706</f>
        <v>86836</v>
      </c>
      <c r="H1042" s="643">
        <f>64419+1</f>
        <v>64420</v>
      </c>
      <c r="I1042" s="1032">
        <f>H1042/G1042*100</f>
        <v>74.18582154866645</v>
      </c>
      <c r="J1042" s="848"/>
      <c r="K1042" s="847"/>
      <c r="L1042" s="751"/>
      <c r="M1042" s="666"/>
      <c r="N1042" s="667"/>
      <c r="O1042" s="647"/>
      <c r="P1042" s="667"/>
      <c r="Q1042" s="667"/>
      <c r="R1042" s="737"/>
    </row>
    <row r="1043" spans="1:18" s="723" customFormat="1" ht="24">
      <c r="A1043" s="728">
        <v>4040</v>
      </c>
      <c r="B1043" s="995" t="s">
        <v>801</v>
      </c>
      <c r="C1043" s="666">
        <v>5300</v>
      </c>
      <c r="D1043" s="643">
        <f t="shared" si="127"/>
        <v>4962</v>
      </c>
      <c r="E1043" s="667">
        <f aca="true" t="shared" si="128" ref="E1043:E1091">SUM(H1043+K1043+N1043+Q1043)</f>
        <v>4961</v>
      </c>
      <c r="F1043" s="1001">
        <f t="shared" si="120"/>
        <v>99.97984683595324</v>
      </c>
      <c r="G1043" s="666">
        <f>5300-338</f>
        <v>4962</v>
      </c>
      <c r="H1043" s="643">
        <v>4961</v>
      </c>
      <c r="I1043" s="1032">
        <f aca="true" t="shared" si="129" ref="I1043:I1054">H1043/G1043*100</f>
        <v>99.97984683595324</v>
      </c>
      <c r="J1043" s="848"/>
      <c r="K1043" s="847"/>
      <c r="L1043" s="751"/>
      <c r="M1043" s="666"/>
      <c r="N1043" s="667"/>
      <c r="O1043" s="647"/>
      <c r="P1043" s="667"/>
      <c r="Q1043" s="667"/>
      <c r="R1043" s="737"/>
    </row>
    <row r="1044" spans="1:18" s="723" customFormat="1" ht="24">
      <c r="A1044" s="728">
        <v>4110</v>
      </c>
      <c r="B1044" s="995" t="s">
        <v>703</v>
      </c>
      <c r="C1044" s="666">
        <v>12400</v>
      </c>
      <c r="D1044" s="643">
        <f t="shared" si="127"/>
        <v>14430</v>
      </c>
      <c r="E1044" s="667">
        <f t="shared" si="128"/>
        <v>10792</v>
      </c>
      <c r="F1044" s="1001">
        <f t="shared" si="120"/>
        <v>74.7886347886348</v>
      </c>
      <c r="G1044" s="666">
        <f>12400+2030</f>
        <v>14430</v>
      </c>
      <c r="H1044" s="643">
        <f>10791+1</f>
        <v>10792</v>
      </c>
      <c r="I1044" s="1032">
        <f t="shared" si="129"/>
        <v>74.7886347886348</v>
      </c>
      <c r="J1044" s="848"/>
      <c r="K1044" s="847"/>
      <c r="L1044" s="751"/>
      <c r="M1044" s="666"/>
      <c r="N1044" s="667"/>
      <c r="O1044" s="647"/>
      <c r="P1044" s="667"/>
      <c r="Q1044" s="667"/>
      <c r="R1044" s="737"/>
    </row>
    <row r="1045" spans="1:18" s="723" customFormat="1" ht="12.75">
      <c r="A1045" s="728">
        <v>4120</v>
      </c>
      <c r="B1045" s="995" t="s">
        <v>847</v>
      </c>
      <c r="C1045" s="666">
        <v>1900</v>
      </c>
      <c r="D1045" s="643">
        <f t="shared" si="127"/>
        <v>2207</v>
      </c>
      <c r="E1045" s="667">
        <f t="shared" si="128"/>
        <v>1650</v>
      </c>
      <c r="F1045" s="1001">
        <f t="shared" si="120"/>
        <v>74.76212052560037</v>
      </c>
      <c r="G1045" s="666">
        <f>1900+307</f>
        <v>2207</v>
      </c>
      <c r="H1045" s="643">
        <v>1650</v>
      </c>
      <c r="I1045" s="1032">
        <f t="shared" si="129"/>
        <v>74.76212052560037</v>
      </c>
      <c r="J1045" s="848"/>
      <c r="K1045" s="847"/>
      <c r="L1045" s="751"/>
      <c r="M1045" s="666"/>
      <c r="N1045" s="667"/>
      <c r="O1045" s="647"/>
      <c r="P1045" s="667"/>
      <c r="Q1045" s="667"/>
      <c r="R1045" s="737"/>
    </row>
    <row r="1046" spans="1:18" s="723" customFormat="1" ht="24">
      <c r="A1046" s="728">
        <v>4210</v>
      </c>
      <c r="B1046" s="995" t="s">
        <v>707</v>
      </c>
      <c r="C1046" s="666">
        <v>9500</v>
      </c>
      <c r="D1046" s="643">
        <f t="shared" si="127"/>
        <v>9500</v>
      </c>
      <c r="E1046" s="667">
        <f t="shared" si="128"/>
        <v>3294</v>
      </c>
      <c r="F1046" s="1001">
        <f aca="true" t="shared" si="130" ref="F1046:F1109">E1046/D1046*100</f>
        <v>34.67368421052632</v>
      </c>
      <c r="G1046" s="666">
        <v>9500</v>
      </c>
      <c r="H1046" s="643">
        <v>3294</v>
      </c>
      <c r="I1046" s="1032">
        <f t="shared" si="129"/>
        <v>34.67368421052632</v>
      </c>
      <c r="J1046" s="848"/>
      <c r="K1046" s="847"/>
      <c r="L1046" s="751"/>
      <c r="M1046" s="666"/>
      <c r="N1046" s="667"/>
      <c r="O1046" s="647"/>
      <c r="P1046" s="667"/>
      <c r="Q1046" s="667"/>
      <c r="R1046" s="737"/>
    </row>
    <row r="1047" spans="1:18" s="723" customFormat="1" ht="12.75">
      <c r="A1047" s="728">
        <v>4260</v>
      </c>
      <c r="B1047" s="995" t="s">
        <v>711</v>
      </c>
      <c r="C1047" s="666">
        <v>2010</v>
      </c>
      <c r="D1047" s="643">
        <f t="shared" si="127"/>
        <v>7395</v>
      </c>
      <c r="E1047" s="667">
        <f t="shared" si="128"/>
        <v>5964</v>
      </c>
      <c r="F1047" s="1001">
        <f t="shared" si="130"/>
        <v>80.64908722109534</v>
      </c>
      <c r="G1047" s="666">
        <f>2010+5385</f>
        <v>7395</v>
      </c>
      <c r="H1047" s="643">
        <v>5964</v>
      </c>
      <c r="I1047" s="1032">
        <f t="shared" si="129"/>
        <v>80.64908722109534</v>
      </c>
      <c r="J1047" s="848"/>
      <c r="K1047" s="847"/>
      <c r="L1047" s="751"/>
      <c r="M1047" s="666"/>
      <c r="N1047" s="667"/>
      <c r="O1047" s="647"/>
      <c r="P1047" s="667"/>
      <c r="Q1047" s="667"/>
      <c r="R1047" s="737"/>
    </row>
    <row r="1048" spans="1:18" s="723" customFormat="1" ht="24">
      <c r="A1048" s="728">
        <v>4270</v>
      </c>
      <c r="B1048" s="995" t="s">
        <v>713</v>
      </c>
      <c r="C1048" s="666">
        <v>60000</v>
      </c>
      <c r="D1048" s="643">
        <f t="shared" si="127"/>
        <v>104000</v>
      </c>
      <c r="E1048" s="667">
        <f t="shared" si="128"/>
        <v>104000</v>
      </c>
      <c r="F1048" s="1001">
        <f t="shared" si="130"/>
        <v>100</v>
      </c>
      <c r="G1048" s="666">
        <f>60000+44000</f>
        <v>104000</v>
      </c>
      <c r="H1048" s="643">
        <v>104000</v>
      </c>
      <c r="I1048" s="1032">
        <f t="shared" si="129"/>
        <v>100</v>
      </c>
      <c r="J1048" s="848"/>
      <c r="K1048" s="847"/>
      <c r="L1048" s="751"/>
      <c r="M1048" s="666"/>
      <c r="N1048" s="667"/>
      <c r="O1048" s="647"/>
      <c r="P1048" s="667"/>
      <c r="Q1048" s="667"/>
      <c r="R1048" s="737"/>
    </row>
    <row r="1049" spans="1:18" s="723" customFormat="1" ht="24">
      <c r="A1049" s="728">
        <v>4280</v>
      </c>
      <c r="B1049" s="995" t="s">
        <v>805</v>
      </c>
      <c r="C1049" s="666">
        <v>100</v>
      </c>
      <c r="D1049" s="643">
        <f t="shared" si="127"/>
        <v>100</v>
      </c>
      <c r="E1049" s="667">
        <f t="shared" si="128"/>
        <v>0</v>
      </c>
      <c r="F1049" s="1001">
        <f t="shared" si="130"/>
        <v>0</v>
      </c>
      <c r="G1049" s="666">
        <v>100</v>
      </c>
      <c r="H1049" s="643"/>
      <c r="I1049" s="1032">
        <f t="shared" si="129"/>
        <v>0</v>
      </c>
      <c r="J1049" s="848"/>
      <c r="K1049" s="847"/>
      <c r="L1049" s="751"/>
      <c r="M1049" s="666"/>
      <c r="N1049" s="667"/>
      <c r="O1049" s="647"/>
      <c r="P1049" s="667"/>
      <c r="Q1049" s="667"/>
      <c r="R1049" s="737"/>
    </row>
    <row r="1050" spans="1:18" s="723" customFormat="1" ht="12" customHeight="1">
      <c r="A1050" s="728">
        <v>4300</v>
      </c>
      <c r="B1050" s="995" t="s">
        <v>715</v>
      </c>
      <c r="C1050" s="666">
        <v>18200</v>
      </c>
      <c r="D1050" s="643">
        <f t="shared" si="127"/>
        <v>9083</v>
      </c>
      <c r="E1050" s="667">
        <f t="shared" si="128"/>
        <v>7210</v>
      </c>
      <c r="F1050" s="1001">
        <f t="shared" si="130"/>
        <v>79.37905978201036</v>
      </c>
      <c r="G1050" s="666">
        <f>18200+883-10000</f>
        <v>9083</v>
      </c>
      <c r="H1050" s="643">
        <v>7210</v>
      </c>
      <c r="I1050" s="1032">
        <f t="shared" si="129"/>
        <v>79.37905978201036</v>
      </c>
      <c r="J1050" s="848"/>
      <c r="K1050" s="847"/>
      <c r="L1050" s="751"/>
      <c r="M1050" s="666"/>
      <c r="N1050" s="667"/>
      <c r="O1050" s="647"/>
      <c r="P1050" s="667"/>
      <c r="Q1050" s="667"/>
      <c r="R1050" s="737"/>
    </row>
    <row r="1051" spans="1:18" s="723" customFormat="1" ht="48">
      <c r="A1051" s="829">
        <v>4370</v>
      </c>
      <c r="B1051" s="850" t="s">
        <v>916</v>
      </c>
      <c r="C1051" s="666">
        <v>1200</v>
      </c>
      <c r="D1051" s="643">
        <f t="shared" si="127"/>
        <v>1200</v>
      </c>
      <c r="E1051" s="667">
        <f t="shared" si="128"/>
        <v>814</v>
      </c>
      <c r="F1051" s="1001">
        <f t="shared" si="130"/>
        <v>67.83333333333333</v>
      </c>
      <c r="G1051" s="666">
        <v>1200</v>
      </c>
      <c r="H1051" s="643">
        <v>814</v>
      </c>
      <c r="I1051" s="1032">
        <f t="shared" si="129"/>
        <v>67.83333333333333</v>
      </c>
      <c r="J1051" s="848"/>
      <c r="K1051" s="847"/>
      <c r="L1051" s="751"/>
      <c r="M1051" s="666"/>
      <c r="N1051" s="667"/>
      <c r="O1051" s="647"/>
      <c r="P1051" s="667"/>
      <c r="Q1051" s="667"/>
      <c r="R1051" s="737"/>
    </row>
    <row r="1052" spans="1:18" s="723" customFormat="1" ht="12.75">
      <c r="A1052" s="728">
        <v>4440</v>
      </c>
      <c r="B1052" s="995" t="s">
        <v>719</v>
      </c>
      <c r="C1052" s="666">
        <v>3030</v>
      </c>
      <c r="D1052" s="643">
        <f t="shared" si="127"/>
        <v>3030</v>
      </c>
      <c r="E1052" s="667">
        <f>SUM(H1052+K1052+N1052+Q1052)</f>
        <v>3030</v>
      </c>
      <c r="F1052" s="1001">
        <f t="shared" si="130"/>
        <v>100</v>
      </c>
      <c r="G1052" s="666">
        <v>3030</v>
      </c>
      <c r="H1052" s="643">
        <v>3030</v>
      </c>
      <c r="I1052" s="1032">
        <f t="shared" si="129"/>
        <v>100</v>
      </c>
      <c r="J1052" s="848"/>
      <c r="K1052" s="847"/>
      <c r="L1052" s="751"/>
      <c r="M1052" s="666"/>
      <c r="N1052" s="667"/>
      <c r="O1052" s="647"/>
      <c r="P1052" s="667"/>
      <c r="Q1052" s="667"/>
      <c r="R1052" s="737"/>
    </row>
    <row r="1053" spans="1:18" s="723" customFormat="1" ht="24">
      <c r="A1053" s="728">
        <v>4480</v>
      </c>
      <c r="B1053" s="995" t="s">
        <v>426</v>
      </c>
      <c r="C1053" s="666">
        <v>570</v>
      </c>
      <c r="D1053" s="643">
        <f t="shared" si="127"/>
        <v>1375</v>
      </c>
      <c r="E1053" s="667">
        <f>SUM(H1053+K1053+N1053+Q1053)</f>
        <v>1028</v>
      </c>
      <c r="F1053" s="1001">
        <f t="shared" si="130"/>
        <v>74.76363636363637</v>
      </c>
      <c r="G1053" s="666">
        <f>570+805</f>
        <v>1375</v>
      </c>
      <c r="H1053" s="643">
        <v>1028</v>
      </c>
      <c r="I1053" s="1032">
        <f t="shared" si="129"/>
        <v>74.76363636363637</v>
      </c>
      <c r="J1053" s="848"/>
      <c r="K1053" s="847"/>
      <c r="L1053" s="751"/>
      <c r="M1053" s="666"/>
      <c r="N1053" s="667"/>
      <c r="O1053" s="647"/>
      <c r="P1053" s="667"/>
      <c r="Q1053" s="667"/>
      <c r="R1053" s="737"/>
    </row>
    <row r="1054" spans="1:18" s="723" customFormat="1" ht="36">
      <c r="A1054" s="728">
        <v>6060</v>
      </c>
      <c r="B1054" s="995" t="s">
        <v>856</v>
      </c>
      <c r="C1054" s="666">
        <v>3500</v>
      </c>
      <c r="D1054" s="643">
        <f t="shared" si="127"/>
        <v>3500</v>
      </c>
      <c r="E1054" s="667">
        <f t="shared" si="128"/>
        <v>3488</v>
      </c>
      <c r="F1054" s="1001">
        <f t="shared" si="130"/>
        <v>99.65714285714286</v>
      </c>
      <c r="G1054" s="666">
        <v>3500</v>
      </c>
      <c r="H1054" s="643">
        <v>3488</v>
      </c>
      <c r="I1054" s="1021">
        <f t="shared" si="129"/>
        <v>99.65714285714286</v>
      </c>
      <c r="J1054" s="848"/>
      <c r="K1054" s="847"/>
      <c r="L1054" s="751"/>
      <c r="M1054" s="666"/>
      <c r="N1054" s="667"/>
      <c r="O1054" s="647"/>
      <c r="P1054" s="667"/>
      <c r="Q1054" s="667"/>
      <c r="R1054" s="737"/>
    </row>
    <row r="1055" spans="1:18" s="775" customFormat="1" ht="24">
      <c r="A1055" s="832"/>
      <c r="B1055" s="1034" t="s">
        <v>68</v>
      </c>
      <c r="C1055" s="834">
        <f>SUM(C1056:C1072)</f>
        <v>178550</v>
      </c>
      <c r="D1055" s="727">
        <f t="shared" si="127"/>
        <v>187707</v>
      </c>
      <c r="E1055" s="727">
        <f t="shared" si="128"/>
        <v>139181</v>
      </c>
      <c r="F1055" s="1035">
        <f t="shared" si="130"/>
        <v>74.14800726664429</v>
      </c>
      <c r="G1055" s="834"/>
      <c r="H1055" s="727"/>
      <c r="I1055" s="1022"/>
      <c r="J1055" s="835"/>
      <c r="K1055" s="835"/>
      <c r="L1055" s="873"/>
      <c r="M1055" s="835">
        <f>SUM(M1056:M1072)</f>
        <v>187707</v>
      </c>
      <c r="N1055" s="835">
        <f>SUM(N1056:N1072)</f>
        <v>139181</v>
      </c>
      <c r="O1055" s="766">
        <f t="shared" si="126"/>
        <v>74.14800726664429</v>
      </c>
      <c r="P1055" s="727"/>
      <c r="Q1055" s="727"/>
      <c r="R1055" s="839"/>
    </row>
    <row r="1056" spans="1:18" s="723" customFormat="1" ht="24">
      <c r="A1056" s="728">
        <v>4010</v>
      </c>
      <c r="B1056" s="735" t="s">
        <v>697</v>
      </c>
      <c r="C1056" s="666">
        <v>50474</v>
      </c>
      <c r="D1056" s="643">
        <f t="shared" si="127"/>
        <v>50474</v>
      </c>
      <c r="E1056" s="667">
        <f t="shared" si="128"/>
        <v>37225</v>
      </c>
      <c r="F1056" s="1001">
        <f t="shared" si="130"/>
        <v>73.75084201767247</v>
      </c>
      <c r="G1056" s="846"/>
      <c r="H1056" s="847"/>
      <c r="I1056" s="737"/>
      <c r="J1056" s="848"/>
      <c r="K1056" s="848"/>
      <c r="L1056" s="751"/>
      <c r="M1056" s="730">
        <v>50474</v>
      </c>
      <c r="N1056" s="667">
        <v>37225</v>
      </c>
      <c r="O1056" s="492">
        <f t="shared" si="126"/>
        <v>73.75084201767247</v>
      </c>
      <c r="P1056" s="667"/>
      <c r="Q1056" s="667"/>
      <c r="R1056" s="737"/>
    </row>
    <row r="1057" spans="1:18" s="723" customFormat="1" ht="24">
      <c r="A1057" s="728">
        <v>4040</v>
      </c>
      <c r="B1057" s="735" t="s">
        <v>801</v>
      </c>
      <c r="C1057" s="666">
        <v>4090</v>
      </c>
      <c r="D1057" s="643">
        <f aca="true" t="shared" si="131" ref="D1057:D1091">G1057+J1057+P1057+M1057</f>
        <v>4090</v>
      </c>
      <c r="E1057" s="667">
        <f t="shared" si="128"/>
        <v>4088</v>
      </c>
      <c r="F1057" s="1001">
        <f t="shared" si="130"/>
        <v>99.95110024449878</v>
      </c>
      <c r="G1057" s="846"/>
      <c r="H1057" s="847"/>
      <c r="I1057" s="737"/>
      <c r="J1057" s="848"/>
      <c r="K1057" s="848"/>
      <c r="L1057" s="751"/>
      <c r="M1057" s="730">
        <v>4090</v>
      </c>
      <c r="N1057" s="667">
        <v>4088</v>
      </c>
      <c r="O1057" s="492">
        <f t="shared" si="126"/>
        <v>99.95110024449878</v>
      </c>
      <c r="P1057" s="667"/>
      <c r="Q1057" s="667"/>
      <c r="R1057" s="737"/>
    </row>
    <row r="1058" spans="1:18" s="723" customFormat="1" ht="24">
      <c r="A1058" s="728">
        <v>4110</v>
      </c>
      <c r="B1058" s="735" t="s">
        <v>703</v>
      </c>
      <c r="C1058" s="666">
        <v>8802</v>
      </c>
      <c r="D1058" s="643">
        <f t="shared" si="131"/>
        <v>8802</v>
      </c>
      <c r="E1058" s="667">
        <f t="shared" si="128"/>
        <v>6635</v>
      </c>
      <c r="F1058" s="1001">
        <f t="shared" si="130"/>
        <v>75.38059531924563</v>
      </c>
      <c r="G1058" s="846"/>
      <c r="H1058" s="847"/>
      <c r="I1058" s="737"/>
      <c r="J1058" s="848"/>
      <c r="K1058" s="848"/>
      <c r="L1058" s="751"/>
      <c r="M1058" s="730">
        <v>8802</v>
      </c>
      <c r="N1058" s="667">
        <v>6635</v>
      </c>
      <c r="O1058" s="492">
        <f t="shared" si="126"/>
        <v>75.38059531924563</v>
      </c>
      <c r="P1058" s="667"/>
      <c r="Q1058" s="667"/>
      <c r="R1058" s="737"/>
    </row>
    <row r="1059" spans="1:18" s="723" customFormat="1" ht="12.75">
      <c r="A1059" s="728">
        <v>4120</v>
      </c>
      <c r="B1059" s="735" t="s">
        <v>847</v>
      </c>
      <c r="C1059" s="666">
        <v>1340</v>
      </c>
      <c r="D1059" s="643">
        <f t="shared" si="131"/>
        <v>1340</v>
      </c>
      <c r="E1059" s="667">
        <f t="shared" si="128"/>
        <v>1012</v>
      </c>
      <c r="F1059" s="1001">
        <f t="shared" si="130"/>
        <v>75.5223880597015</v>
      </c>
      <c r="G1059" s="846"/>
      <c r="H1059" s="847"/>
      <c r="I1059" s="737"/>
      <c r="J1059" s="848"/>
      <c r="K1059" s="848"/>
      <c r="L1059" s="751"/>
      <c r="M1059" s="730">
        <v>1340</v>
      </c>
      <c r="N1059" s="667">
        <v>1012</v>
      </c>
      <c r="O1059" s="492">
        <f t="shared" si="126"/>
        <v>75.5223880597015</v>
      </c>
      <c r="P1059" s="667"/>
      <c r="Q1059" s="667"/>
      <c r="R1059" s="737"/>
    </row>
    <row r="1060" spans="1:18" s="723" customFormat="1" ht="24">
      <c r="A1060" s="728">
        <v>4170</v>
      </c>
      <c r="B1060" s="735" t="s">
        <v>742</v>
      </c>
      <c r="C1060" s="666">
        <v>4605</v>
      </c>
      <c r="D1060" s="643">
        <f t="shared" si="131"/>
        <v>9538</v>
      </c>
      <c r="E1060" s="667">
        <f t="shared" si="128"/>
        <v>6240</v>
      </c>
      <c r="F1060" s="1001">
        <f t="shared" si="130"/>
        <v>65.42252044453764</v>
      </c>
      <c r="G1060" s="846"/>
      <c r="H1060" s="847"/>
      <c r="I1060" s="737"/>
      <c r="J1060" s="848"/>
      <c r="K1060" s="848"/>
      <c r="L1060" s="751"/>
      <c r="M1060" s="730">
        <f>4605+4933</f>
        <v>9538</v>
      </c>
      <c r="N1060" s="667">
        <v>6240</v>
      </c>
      <c r="O1060" s="492">
        <f t="shared" si="126"/>
        <v>65.42252044453764</v>
      </c>
      <c r="P1060" s="667"/>
      <c r="Q1060" s="667"/>
      <c r="R1060" s="737"/>
    </row>
    <row r="1061" spans="1:18" s="723" customFormat="1" ht="24">
      <c r="A1061" s="762">
        <v>4210</v>
      </c>
      <c r="B1061" s="780" t="s">
        <v>707</v>
      </c>
      <c r="C1061" s="781">
        <v>15649</v>
      </c>
      <c r="D1061" s="765">
        <f t="shared" si="131"/>
        <v>15649</v>
      </c>
      <c r="E1061" s="785">
        <f t="shared" si="128"/>
        <v>9908</v>
      </c>
      <c r="F1061" s="1013">
        <f t="shared" si="130"/>
        <v>63.31394977314845</v>
      </c>
      <c r="G1061" s="869"/>
      <c r="H1061" s="871"/>
      <c r="I1061" s="770"/>
      <c r="J1061" s="872"/>
      <c r="K1061" s="872"/>
      <c r="L1061" s="873"/>
      <c r="M1061" s="782">
        <v>15649</v>
      </c>
      <c r="N1061" s="785">
        <v>9908</v>
      </c>
      <c r="O1061" s="766">
        <f t="shared" si="126"/>
        <v>63.31394977314845</v>
      </c>
      <c r="P1061" s="785"/>
      <c r="Q1061" s="785"/>
      <c r="R1061" s="770"/>
    </row>
    <row r="1062" spans="1:18" s="723" customFormat="1" ht="24">
      <c r="A1062" s="728">
        <v>4230</v>
      </c>
      <c r="B1062" s="735" t="s">
        <v>709</v>
      </c>
      <c r="C1062" s="666">
        <v>155</v>
      </c>
      <c r="D1062" s="643">
        <f t="shared" si="131"/>
        <v>155</v>
      </c>
      <c r="E1062" s="667">
        <f t="shared" si="128"/>
        <v>0</v>
      </c>
      <c r="F1062" s="1001">
        <f t="shared" si="130"/>
        <v>0</v>
      </c>
      <c r="G1062" s="846"/>
      <c r="H1062" s="847"/>
      <c r="I1062" s="737"/>
      <c r="J1062" s="848"/>
      <c r="K1062" s="848"/>
      <c r="L1062" s="751"/>
      <c r="M1062" s="730">
        <v>155</v>
      </c>
      <c r="N1062" s="667"/>
      <c r="O1062" s="492">
        <f t="shared" si="126"/>
        <v>0</v>
      </c>
      <c r="P1062" s="667"/>
      <c r="Q1062" s="667"/>
      <c r="R1062" s="737"/>
    </row>
    <row r="1063" spans="1:18" s="723" customFormat="1" ht="12.75">
      <c r="A1063" s="728">
        <v>4260</v>
      </c>
      <c r="B1063" s="735" t="s">
        <v>711</v>
      </c>
      <c r="C1063" s="666">
        <v>5605</v>
      </c>
      <c r="D1063" s="643">
        <f t="shared" si="131"/>
        <v>5605</v>
      </c>
      <c r="E1063" s="667">
        <f t="shared" si="128"/>
        <v>4542</v>
      </c>
      <c r="F1063" s="1001">
        <f t="shared" si="130"/>
        <v>81.03479036574487</v>
      </c>
      <c r="G1063" s="846"/>
      <c r="H1063" s="847"/>
      <c r="I1063" s="737"/>
      <c r="J1063" s="848"/>
      <c r="K1063" s="848"/>
      <c r="L1063" s="751"/>
      <c r="M1063" s="730">
        <v>5605</v>
      </c>
      <c r="N1063" s="667">
        <v>4542</v>
      </c>
      <c r="O1063" s="492">
        <f t="shared" si="126"/>
        <v>81.03479036574487</v>
      </c>
      <c r="P1063" s="667"/>
      <c r="Q1063" s="667"/>
      <c r="R1063" s="737"/>
    </row>
    <row r="1064" spans="1:18" s="723" customFormat="1" ht="24">
      <c r="A1064" s="728">
        <v>4270</v>
      </c>
      <c r="B1064" s="735" t="s">
        <v>713</v>
      </c>
      <c r="C1064" s="666">
        <v>2000</v>
      </c>
      <c r="D1064" s="643">
        <f t="shared" si="131"/>
        <v>2000</v>
      </c>
      <c r="E1064" s="667">
        <f t="shared" si="128"/>
        <v>0</v>
      </c>
      <c r="F1064" s="1001">
        <f t="shared" si="130"/>
        <v>0</v>
      </c>
      <c r="G1064" s="846"/>
      <c r="H1064" s="847"/>
      <c r="I1064" s="737"/>
      <c r="J1064" s="848"/>
      <c r="K1064" s="848"/>
      <c r="L1064" s="751"/>
      <c r="M1064" s="730">
        <v>2000</v>
      </c>
      <c r="N1064" s="667"/>
      <c r="O1064" s="492">
        <f t="shared" si="126"/>
        <v>0</v>
      </c>
      <c r="P1064" s="667"/>
      <c r="Q1064" s="667"/>
      <c r="R1064" s="737"/>
    </row>
    <row r="1065" spans="1:18" s="723" customFormat="1" ht="24">
      <c r="A1065" s="728">
        <v>4280</v>
      </c>
      <c r="B1065" s="735" t="s">
        <v>69</v>
      </c>
      <c r="C1065" s="666">
        <v>2050</v>
      </c>
      <c r="D1065" s="643">
        <f t="shared" si="131"/>
        <v>2050</v>
      </c>
      <c r="E1065" s="667">
        <f t="shared" si="128"/>
        <v>0</v>
      </c>
      <c r="F1065" s="1001">
        <f t="shared" si="130"/>
        <v>0</v>
      </c>
      <c r="G1065" s="846"/>
      <c r="H1065" s="847"/>
      <c r="I1065" s="737"/>
      <c r="J1065" s="848"/>
      <c r="K1065" s="848"/>
      <c r="L1065" s="751"/>
      <c r="M1065" s="730">
        <v>2050</v>
      </c>
      <c r="N1065" s="667"/>
      <c r="O1065" s="492">
        <f t="shared" si="126"/>
        <v>0</v>
      </c>
      <c r="P1065" s="667"/>
      <c r="Q1065" s="667"/>
      <c r="R1065" s="737"/>
    </row>
    <row r="1066" spans="1:18" s="723" customFormat="1" ht="12" customHeight="1">
      <c r="A1066" s="728">
        <v>4300</v>
      </c>
      <c r="B1066" s="735" t="s">
        <v>715</v>
      </c>
      <c r="C1066" s="666">
        <v>81210</v>
      </c>
      <c r="D1066" s="643">
        <f t="shared" si="131"/>
        <v>82580</v>
      </c>
      <c r="E1066" s="667">
        <f t="shared" si="128"/>
        <v>66341</v>
      </c>
      <c r="F1066" s="1001">
        <f t="shared" si="130"/>
        <v>80.3354323080649</v>
      </c>
      <c r="G1066" s="846"/>
      <c r="H1066" s="847"/>
      <c r="I1066" s="737"/>
      <c r="J1066" s="848"/>
      <c r="K1066" s="848"/>
      <c r="L1066" s="751"/>
      <c r="M1066" s="730">
        <f>81210+1370</f>
        <v>82580</v>
      </c>
      <c r="N1066" s="667">
        <v>66341</v>
      </c>
      <c r="O1066" s="492">
        <f t="shared" si="126"/>
        <v>80.3354323080649</v>
      </c>
      <c r="P1066" s="667"/>
      <c r="Q1066" s="667"/>
      <c r="R1066" s="737"/>
    </row>
    <row r="1067" spans="1:18" s="723" customFormat="1" ht="24">
      <c r="A1067" s="829">
        <v>4350</v>
      </c>
      <c r="B1067" s="865" t="s">
        <v>807</v>
      </c>
      <c r="C1067" s="666">
        <v>720</v>
      </c>
      <c r="D1067" s="643">
        <f t="shared" si="131"/>
        <v>720</v>
      </c>
      <c r="E1067" s="667">
        <f t="shared" si="128"/>
        <v>525</v>
      </c>
      <c r="F1067" s="1001">
        <f t="shared" si="130"/>
        <v>72.91666666666666</v>
      </c>
      <c r="G1067" s="846"/>
      <c r="H1067" s="847"/>
      <c r="I1067" s="737"/>
      <c r="J1067" s="848"/>
      <c r="K1067" s="848"/>
      <c r="L1067" s="751"/>
      <c r="M1067" s="730">
        <v>720</v>
      </c>
      <c r="N1067" s="667">
        <v>525</v>
      </c>
      <c r="O1067" s="492">
        <f t="shared" si="126"/>
        <v>72.91666666666666</v>
      </c>
      <c r="P1067" s="667"/>
      <c r="Q1067" s="667"/>
      <c r="R1067" s="737"/>
    </row>
    <row r="1068" spans="1:18" s="723" customFormat="1" ht="48">
      <c r="A1068" s="829">
        <v>4370</v>
      </c>
      <c r="B1068" s="865" t="s">
        <v>916</v>
      </c>
      <c r="C1068" s="666">
        <v>1230</v>
      </c>
      <c r="D1068" s="643">
        <f t="shared" si="131"/>
        <v>1230</v>
      </c>
      <c r="E1068" s="667">
        <f t="shared" si="128"/>
        <v>900</v>
      </c>
      <c r="F1068" s="1001">
        <f t="shared" si="130"/>
        <v>73.17073170731707</v>
      </c>
      <c r="G1068" s="846"/>
      <c r="H1068" s="847"/>
      <c r="I1068" s="737"/>
      <c r="J1068" s="848"/>
      <c r="K1068" s="848"/>
      <c r="L1068" s="751"/>
      <c r="M1068" s="730">
        <v>1230</v>
      </c>
      <c r="N1068" s="667">
        <v>900</v>
      </c>
      <c r="O1068" s="492">
        <f t="shared" si="126"/>
        <v>73.17073170731707</v>
      </c>
      <c r="P1068" s="667"/>
      <c r="Q1068" s="667"/>
      <c r="R1068" s="737"/>
    </row>
    <row r="1069" spans="1:18" s="723" customFormat="1" ht="12" customHeight="1">
      <c r="A1069" s="728">
        <v>4410</v>
      </c>
      <c r="B1069" s="735" t="s">
        <v>689</v>
      </c>
      <c r="C1069" s="666">
        <v>155</v>
      </c>
      <c r="D1069" s="643">
        <f t="shared" si="131"/>
        <v>3009</v>
      </c>
      <c r="E1069" s="667">
        <f t="shared" si="128"/>
        <v>1649</v>
      </c>
      <c r="F1069" s="1001">
        <f t="shared" si="130"/>
        <v>54.80225988700565</v>
      </c>
      <c r="G1069" s="846"/>
      <c r="H1069" s="847"/>
      <c r="I1069" s="737"/>
      <c r="J1069" s="848"/>
      <c r="K1069" s="848"/>
      <c r="L1069" s="751"/>
      <c r="M1069" s="730">
        <f>155+2854</f>
        <v>3009</v>
      </c>
      <c r="N1069" s="667">
        <v>1649</v>
      </c>
      <c r="O1069" s="492">
        <f t="shared" si="126"/>
        <v>54.80225988700565</v>
      </c>
      <c r="P1069" s="667"/>
      <c r="Q1069" s="667"/>
      <c r="R1069" s="737"/>
    </row>
    <row r="1070" spans="1:18" s="723" customFormat="1" ht="12" customHeight="1" hidden="1">
      <c r="A1070" s="728">
        <v>4440</v>
      </c>
      <c r="B1070" s="995" t="s">
        <v>719</v>
      </c>
      <c r="C1070" s="730"/>
      <c r="D1070" s="643">
        <f t="shared" si="131"/>
        <v>0</v>
      </c>
      <c r="E1070" s="667">
        <f t="shared" si="128"/>
        <v>0</v>
      </c>
      <c r="F1070" s="1001" t="e">
        <f t="shared" si="130"/>
        <v>#DIV/0!</v>
      </c>
      <c r="G1070" s="846"/>
      <c r="H1070" s="847"/>
      <c r="I1070" s="737"/>
      <c r="J1070" s="848"/>
      <c r="K1070" s="848"/>
      <c r="L1070" s="751"/>
      <c r="M1070" s="730"/>
      <c r="N1070" s="667"/>
      <c r="O1070" s="492"/>
      <c r="P1070" s="667"/>
      <c r="Q1070" s="667"/>
      <c r="R1070" s="737"/>
    </row>
    <row r="1071" spans="1:18" s="723" customFormat="1" ht="60">
      <c r="A1071" s="829">
        <v>4740</v>
      </c>
      <c r="B1071" s="850" t="s">
        <v>728</v>
      </c>
      <c r="C1071" s="730">
        <v>155</v>
      </c>
      <c r="D1071" s="643">
        <f t="shared" si="131"/>
        <v>155</v>
      </c>
      <c r="E1071" s="667">
        <f t="shared" si="128"/>
        <v>0</v>
      </c>
      <c r="F1071" s="1001">
        <f t="shared" si="130"/>
        <v>0</v>
      </c>
      <c r="G1071" s="846"/>
      <c r="H1071" s="847"/>
      <c r="I1071" s="737"/>
      <c r="J1071" s="848"/>
      <c r="K1071" s="848"/>
      <c r="L1071" s="751"/>
      <c r="M1071" s="730">
        <v>155</v>
      </c>
      <c r="N1071" s="667"/>
      <c r="O1071" s="492">
        <f t="shared" si="126"/>
        <v>0</v>
      </c>
      <c r="P1071" s="667"/>
      <c r="Q1071" s="667"/>
      <c r="R1071" s="737"/>
    </row>
    <row r="1072" spans="1:18" s="723" customFormat="1" ht="36">
      <c r="A1072" s="829">
        <v>4750</v>
      </c>
      <c r="B1072" s="850" t="s">
        <v>814</v>
      </c>
      <c r="C1072" s="730">
        <v>310</v>
      </c>
      <c r="D1072" s="643">
        <f t="shared" si="131"/>
        <v>310</v>
      </c>
      <c r="E1072" s="667">
        <f t="shared" si="128"/>
        <v>116</v>
      </c>
      <c r="F1072" s="1001">
        <f t="shared" si="130"/>
        <v>37.41935483870968</v>
      </c>
      <c r="G1072" s="846"/>
      <c r="H1072" s="847"/>
      <c r="I1072" s="737"/>
      <c r="J1072" s="848"/>
      <c r="K1072" s="848"/>
      <c r="L1072" s="751"/>
      <c r="M1072" s="730">
        <v>310</v>
      </c>
      <c r="N1072" s="667">
        <v>116</v>
      </c>
      <c r="O1072" s="492">
        <f t="shared" si="126"/>
        <v>37.41935483870968</v>
      </c>
      <c r="P1072" s="667"/>
      <c r="Q1072" s="667"/>
      <c r="R1072" s="737"/>
    </row>
    <row r="1073" spans="1:18" s="775" customFormat="1" ht="24">
      <c r="A1073" s="832"/>
      <c r="B1073" s="1034" t="s">
        <v>70</v>
      </c>
      <c r="C1073" s="834">
        <f>SUM(C1074:C1091)</f>
        <v>136380</v>
      </c>
      <c r="D1073" s="727">
        <f t="shared" si="131"/>
        <v>175931</v>
      </c>
      <c r="E1073" s="727">
        <f t="shared" si="128"/>
        <v>137048</v>
      </c>
      <c r="F1073" s="1035">
        <f t="shared" si="130"/>
        <v>77.8987216579227</v>
      </c>
      <c r="G1073" s="834"/>
      <c r="H1073" s="727"/>
      <c r="I1073" s="770"/>
      <c r="J1073" s="835"/>
      <c r="K1073" s="835"/>
      <c r="L1073" s="873"/>
      <c r="M1073" s="835">
        <f>SUM(M1074:M1091)</f>
        <v>175931</v>
      </c>
      <c r="N1073" s="835">
        <f>SUM(N1074:N1091)</f>
        <v>137048</v>
      </c>
      <c r="O1073" s="766">
        <f t="shared" si="126"/>
        <v>77.8987216579227</v>
      </c>
      <c r="P1073" s="727"/>
      <c r="Q1073" s="727"/>
      <c r="R1073" s="839"/>
    </row>
    <row r="1074" spans="1:18" s="761" customFormat="1" ht="24">
      <c r="A1074" s="829">
        <v>4010</v>
      </c>
      <c r="B1074" s="1038" t="s">
        <v>697</v>
      </c>
      <c r="C1074" s="697">
        <v>53109</v>
      </c>
      <c r="D1074" s="643">
        <f t="shared" si="131"/>
        <v>53109</v>
      </c>
      <c r="E1074" s="643">
        <f t="shared" si="128"/>
        <v>39093</v>
      </c>
      <c r="F1074" s="1001">
        <f t="shared" si="130"/>
        <v>73.60899282607468</v>
      </c>
      <c r="G1074" s="697"/>
      <c r="H1074" s="643"/>
      <c r="I1074" s="737"/>
      <c r="J1074" s="648"/>
      <c r="K1074" s="648"/>
      <c r="L1074" s="649"/>
      <c r="M1074" s="648">
        <v>53109</v>
      </c>
      <c r="N1074" s="643">
        <v>39093</v>
      </c>
      <c r="O1074" s="492">
        <f t="shared" si="126"/>
        <v>73.60899282607468</v>
      </c>
      <c r="P1074" s="643"/>
      <c r="Q1074" s="643"/>
      <c r="R1074" s="737"/>
    </row>
    <row r="1075" spans="1:18" s="761" customFormat="1" ht="24">
      <c r="A1075" s="829">
        <v>4040</v>
      </c>
      <c r="B1075" s="1038" t="s">
        <v>801</v>
      </c>
      <c r="C1075" s="697">
        <v>4300</v>
      </c>
      <c r="D1075" s="643">
        <f t="shared" si="131"/>
        <v>4300</v>
      </c>
      <c r="E1075" s="643">
        <f t="shared" si="128"/>
        <v>4299</v>
      </c>
      <c r="F1075" s="1001">
        <f t="shared" si="130"/>
        <v>99.9767441860465</v>
      </c>
      <c r="G1075" s="697"/>
      <c r="H1075" s="643"/>
      <c r="I1075" s="737"/>
      <c r="J1075" s="648"/>
      <c r="K1075" s="648"/>
      <c r="L1075" s="649"/>
      <c r="M1075" s="648">
        <v>4300</v>
      </c>
      <c r="N1075" s="643">
        <v>4299</v>
      </c>
      <c r="O1075" s="492">
        <f t="shared" si="126"/>
        <v>99.9767441860465</v>
      </c>
      <c r="P1075" s="643"/>
      <c r="Q1075" s="643"/>
      <c r="R1075" s="737"/>
    </row>
    <row r="1076" spans="1:18" s="761" customFormat="1" ht="24">
      <c r="A1076" s="829">
        <v>4110</v>
      </c>
      <c r="B1076" s="865" t="s">
        <v>703</v>
      </c>
      <c r="C1076" s="697">
        <v>9234</v>
      </c>
      <c r="D1076" s="643">
        <f t="shared" si="131"/>
        <v>9662</v>
      </c>
      <c r="E1076" s="643">
        <f t="shared" si="128"/>
        <v>7210</v>
      </c>
      <c r="F1076" s="1001">
        <f t="shared" si="130"/>
        <v>74.62223142206582</v>
      </c>
      <c r="G1076" s="697"/>
      <c r="H1076" s="643"/>
      <c r="I1076" s="737"/>
      <c r="J1076" s="648"/>
      <c r="K1076" s="648"/>
      <c r="L1076" s="649"/>
      <c r="M1076" s="648">
        <f>9234+428</f>
        <v>9662</v>
      </c>
      <c r="N1076" s="643">
        <v>7210</v>
      </c>
      <c r="O1076" s="492">
        <f t="shared" si="126"/>
        <v>74.62223142206582</v>
      </c>
      <c r="P1076" s="643"/>
      <c r="Q1076" s="643"/>
      <c r="R1076" s="737"/>
    </row>
    <row r="1077" spans="1:18" s="761" customFormat="1" ht="12.75">
      <c r="A1077" s="829">
        <v>4120</v>
      </c>
      <c r="B1077" s="865" t="s">
        <v>847</v>
      </c>
      <c r="C1077" s="697">
        <v>1410</v>
      </c>
      <c r="D1077" s="643">
        <f t="shared" si="131"/>
        <v>1484</v>
      </c>
      <c r="E1077" s="643">
        <f t="shared" si="128"/>
        <v>1100</v>
      </c>
      <c r="F1077" s="1001">
        <f t="shared" si="130"/>
        <v>74.12398921832884</v>
      </c>
      <c r="G1077" s="697"/>
      <c r="H1077" s="643"/>
      <c r="I1077" s="737"/>
      <c r="J1077" s="648"/>
      <c r="K1077" s="648"/>
      <c r="L1077" s="649"/>
      <c r="M1077" s="648">
        <f>1410+74</f>
        <v>1484</v>
      </c>
      <c r="N1077" s="643">
        <v>1100</v>
      </c>
      <c r="O1077" s="492">
        <f t="shared" si="126"/>
        <v>74.12398921832884</v>
      </c>
      <c r="P1077" s="643"/>
      <c r="Q1077" s="643"/>
      <c r="R1077" s="737"/>
    </row>
    <row r="1078" spans="1:18" s="761" customFormat="1" ht="24">
      <c r="A1078" s="829">
        <v>4170</v>
      </c>
      <c r="B1078" s="865" t="s">
        <v>742</v>
      </c>
      <c r="C1078" s="697">
        <v>4605</v>
      </c>
      <c r="D1078" s="643">
        <f t="shared" si="131"/>
        <v>9538</v>
      </c>
      <c r="E1078" s="643">
        <f t="shared" si="128"/>
        <v>6240</v>
      </c>
      <c r="F1078" s="1001">
        <f t="shared" si="130"/>
        <v>65.42252044453764</v>
      </c>
      <c r="G1078" s="697"/>
      <c r="H1078" s="643"/>
      <c r="I1078" s="737"/>
      <c r="J1078" s="648"/>
      <c r="K1078" s="648"/>
      <c r="L1078" s="649"/>
      <c r="M1078" s="648">
        <f>4605+4933</f>
        <v>9538</v>
      </c>
      <c r="N1078" s="643">
        <v>6240</v>
      </c>
      <c r="O1078" s="492">
        <f t="shared" si="126"/>
        <v>65.42252044453764</v>
      </c>
      <c r="P1078" s="643"/>
      <c r="Q1078" s="643"/>
      <c r="R1078" s="737"/>
    </row>
    <row r="1079" spans="1:18" s="761" customFormat="1" ht="24">
      <c r="A1079" s="829">
        <v>4210</v>
      </c>
      <c r="B1079" s="865" t="s">
        <v>707</v>
      </c>
      <c r="C1079" s="697">
        <v>10760</v>
      </c>
      <c r="D1079" s="643">
        <f t="shared" si="131"/>
        <v>10760</v>
      </c>
      <c r="E1079" s="643">
        <f t="shared" si="128"/>
        <v>9571</v>
      </c>
      <c r="F1079" s="1001">
        <f t="shared" si="130"/>
        <v>88.94981412639406</v>
      </c>
      <c r="G1079" s="697"/>
      <c r="H1079" s="643"/>
      <c r="I1079" s="737"/>
      <c r="J1079" s="648"/>
      <c r="K1079" s="648"/>
      <c r="L1079" s="649"/>
      <c r="M1079" s="648">
        <v>10760</v>
      </c>
      <c r="N1079" s="643">
        <v>9571</v>
      </c>
      <c r="O1079" s="492">
        <f t="shared" si="126"/>
        <v>88.94981412639406</v>
      </c>
      <c r="P1079" s="643"/>
      <c r="Q1079" s="643"/>
      <c r="R1079" s="737"/>
    </row>
    <row r="1080" spans="1:18" s="761" customFormat="1" ht="24">
      <c r="A1080" s="829">
        <v>4230</v>
      </c>
      <c r="B1080" s="865" t="s">
        <v>709</v>
      </c>
      <c r="C1080" s="697">
        <v>155</v>
      </c>
      <c r="D1080" s="643">
        <f t="shared" si="131"/>
        <v>155</v>
      </c>
      <c r="E1080" s="643">
        <f t="shared" si="128"/>
        <v>0</v>
      </c>
      <c r="F1080" s="1001">
        <f t="shared" si="130"/>
        <v>0</v>
      </c>
      <c r="G1080" s="697"/>
      <c r="H1080" s="643"/>
      <c r="I1080" s="737"/>
      <c r="J1080" s="648"/>
      <c r="K1080" s="648"/>
      <c r="L1080" s="649"/>
      <c r="M1080" s="648">
        <v>155</v>
      </c>
      <c r="N1080" s="643"/>
      <c r="O1080" s="492">
        <f t="shared" si="126"/>
        <v>0</v>
      </c>
      <c r="P1080" s="643"/>
      <c r="Q1080" s="643"/>
      <c r="R1080" s="737"/>
    </row>
    <row r="1081" spans="1:18" s="761" customFormat="1" ht="36">
      <c r="A1081" s="829">
        <v>4240</v>
      </c>
      <c r="B1081" s="865" t="s">
        <v>832</v>
      </c>
      <c r="C1081" s="697">
        <v>4000</v>
      </c>
      <c r="D1081" s="643">
        <f t="shared" si="131"/>
        <v>4000</v>
      </c>
      <c r="E1081" s="643">
        <f>SUM(H1081+K1081+N1081+Q1081)</f>
        <v>2790</v>
      </c>
      <c r="F1081" s="1001">
        <f>E1081/D1081*100</f>
        <v>69.75</v>
      </c>
      <c r="G1081" s="697"/>
      <c r="H1081" s="643"/>
      <c r="I1081" s="737"/>
      <c r="J1081" s="648"/>
      <c r="K1081" s="648"/>
      <c r="L1081" s="649"/>
      <c r="M1081" s="648">
        <v>4000</v>
      </c>
      <c r="N1081" s="643">
        <v>2790</v>
      </c>
      <c r="O1081" s="492">
        <f t="shared" si="126"/>
        <v>69.75</v>
      </c>
      <c r="P1081" s="643"/>
      <c r="Q1081" s="643"/>
      <c r="R1081" s="737"/>
    </row>
    <row r="1082" spans="1:18" s="761" customFormat="1" ht="12.75">
      <c r="A1082" s="874">
        <v>4260</v>
      </c>
      <c r="B1082" s="959" t="s">
        <v>711</v>
      </c>
      <c r="C1082" s="764">
        <v>4550</v>
      </c>
      <c r="D1082" s="765">
        <f t="shared" si="131"/>
        <v>4550</v>
      </c>
      <c r="E1082" s="765">
        <f t="shared" si="128"/>
        <v>3540</v>
      </c>
      <c r="F1082" s="1013">
        <f t="shared" si="130"/>
        <v>77.80219780219781</v>
      </c>
      <c r="G1082" s="764"/>
      <c r="H1082" s="765"/>
      <c r="I1082" s="770"/>
      <c r="J1082" s="767"/>
      <c r="K1082" s="767"/>
      <c r="L1082" s="768"/>
      <c r="M1082" s="767">
        <v>4550</v>
      </c>
      <c r="N1082" s="765">
        <v>3540</v>
      </c>
      <c r="O1082" s="766">
        <f t="shared" si="126"/>
        <v>77.80219780219781</v>
      </c>
      <c r="P1082" s="765"/>
      <c r="Q1082" s="765"/>
      <c r="R1082" s="770"/>
    </row>
    <row r="1083" spans="1:18" s="761" customFormat="1" ht="11.25" customHeight="1" hidden="1">
      <c r="A1083" s="829">
        <v>4270</v>
      </c>
      <c r="B1083" s="865" t="s">
        <v>713</v>
      </c>
      <c r="C1083" s="697"/>
      <c r="D1083" s="643">
        <f t="shared" si="131"/>
        <v>0</v>
      </c>
      <c r="E1083" s="643">
        <f t="shared" si="128"/>
        <v>0</v>
      </c>
      <c r="F1083" s="1001" t="e">
        <f t="shared" si="130"/>
        <v>#DIV/0!</v>
      </c>
      <c r="G1083" s="697"/>
      <c r="H1083" s="643"/>
      <c r="I1083" s="737"/>
      <c r="J1083" s="648"/>
      <c r="K1083" s="648"/>
      <c r="L1083" s="649"/>
      <c r="M1083" s="648"/>
      <c r="N1083" s="643"/>
      <c r="O1083" s="492" t="e">
        <f t="shared" si="126"/>
        <v>#DIV/0!</v>
      </c>
      <c r="P1083" s="643"/>
      <c r="Q1083" s="643"/>
      <c r="R1083" s="737"/>
    </row>
    <row r="1084" spans="1:18" s="761" customFormat="1" ht="12" customHeight="1" hidden="1">
      <c r="A1084" s="829">
        <v>4280</v>
      </c>
      <c r="B1084" s="865" t="s">
        <v>69</v>
      </c>
      <c r="C1084" s="697"/>
      <c r="D1084" s="643">
        <f t="shared" si="131"/>
        <v>0</v>
      </c>
      <c r="E1084" s="643">
        <f t="shared" si="128"/>
        <v>0</v>
      </c>
      <c r="F1084" s="1001"/>
      <c r="G1084" s="697"/>
      <c r="H1084" s="643"/>
      <c r="I1084" s="737"/>
      <c r="J1084" s="648"/>
      <c r="K1084" s="648"/>
      <c r="L1084" s="649"/>
      <c r="M1084" s="648"/>
      <c r="N1084" s="643"/>
      <c r="O1084" s="492" t="e">
        <f t="shared" si="126"/>
        <v>#DIV/0!</v>
      </c>
      <c r="P1084" s="643"/>
      <c r="Q1084" s="643"/>
      <c r="R1084" s="737"/>
    </row>
    <row r="1085" spans="1:18" s="761" customFormat="1" ht="12" customHeight="1">
      <c r="A1085" s="829">
        <v>4300</v>
      </c>
      <c r="B1085" s="865" t="s">
        <v>715</v>
      </c>
      <c r="C1085" s="697">
        <v>41750</v>
      </c>
      <c r="D1085" s="643">
        <f t="shared" si="131"/>
        <v>73012</v>
      </c>
      <c r="E1085" s="643">
        <f t="shared" si="128"/>
        <v>60353</v>
      </c>
      <c r="F1085" s="1001">
        <f t="shared" si="130"/>
        <v>82.66175423218101</v>
      </c>
      <c r="G1085" s="697"/>
      <c r="H1085" s="643"/>
      <c r="I1085" s="737"/>
      <c r="J1085" s="648"/>
      <c r="K1085" s="648"/>
      <c r="L1085" s="649"/>
      <c r="M1085" s="648">
        <f>41750+1262+30000</f>
        <v>73012</v>
      </c>
      <c r="N1085" s="643">
        <v>60353</v>
      </c>
      <c r="O1085" s="492">
        <f t="shared" si="126"/>
        <v>82.66175423218101</v>
      </c>
      <c r="P1085" s="643"/>
      <c r="Q1085" s="643"/>
      <c r="R1085" s="737"/>
    </row>
    <row r="1086" spans="1:18" s="761" customFormat="1" ht="12" customHeight="1">
      <c r="A1086" s="829">
        <v>4350</v>
      </c>
      <c r="B1086" s="865" t="s">
        <v>807</v>
      </c>
      <c r="C1086" s="697">
        <v>900</v>
      </c>
      <c r="D1086" s="643">
        <f t="shared" si="131"/>
        <v>900</v>
      </c>
      <c r="E1086" s="643"/>
      <c r="F1086" s="1001"/>
      <c r="G1086" s="697"/>
      <c r="H1086" s="643"/>
      <c r="I1086" s="737"/>
      <c r="J1086" s="648"/>
      <c r="K1086" s="648"/>
      <c r="L1086" s="649"/>
      <c r="M1086" s="648">
        <v>900</v>
      </c>
      <c r="N1086" s="643">
        <v>428</v>
      </c>
      <c r="O1086" s="492">
        <f t="shared" si="126"/>
        <v>47.55555555555556</v>
      </c>
      <c r="P1086" s="643"/>
      <c r="Q1086" s="643"/>
      <c r="R1086" s="737"/>
    </row>
    <row r="1087" spans="1:18" s="761" customFormat="1" ht="48">
      <c r="A1087" s="829">
        <v>4370</v>
      </c>
      <c r="B1087" s="865" t="s">
        <v>916</v>
      </c>
      <c r="C1087" s="697">
        <v>985</v>
      </c>
      <c r="D1087" s="643">
        <f t="shared" si="131"/>
        <v>985</v>
      </c>
      <c r="E1087" s="643">
        <f t="shared" si="128"/>
        <v>720</v>
      </c>
      <c r="F1087" s="1001">
        <f t="shared" si="130"/>
        <v>73.09644670050761</v>
      </c>
      <c r="G1087" s="697"/>
      <c r="H1087" s="643"/>
      <c r="I1087" s="737"/>
      <c r="J1087" s="648"/>
      <c r="K1087" s="648"/>
      <c r="L1087" s="649"/>
      <c r="M1087" s="648">
        <v>985</v>
      </c>
      <c r="N1087" s="643">
        <v>720</v>
      </c>
      <c r="O1087" s="492">
        <f t="shared" si="126"/>
        <v>73.09644670050761</v>
      </c>
      <c r="P1087" s="643"/>
      <c r="Q1087" s="643"/>
      <c r="R1087" s="737"/>
    </row>
    <row r="1088" spans="1:18" s="761" customFormat="1" ht="12" customHeight="1">
      <c r="A1088" s="829">
        <v>4410</v>
      </c>
      <c r="B1088" s="865" t="s">
        <v>689</v>
      </c>
      <c r="C1088" s="697">
        <v>155</v>
      </c>
      <c r="D1088" s="643">
        <f t="shared" si="131"/>
        <v>3009</v>
      </c>
      <c r="E1088" s="643">
        <f t="shared" si="128"/>
        <v>1704</v>
      </c>
      <c r="F1088" s="1001">
        <f t="shared" si="130"/>
        <v>56.63010967098704</v>
      </c>
      <c r="G1088" s="697"/>
      <c r="H1088" s="643"/>
      <c r="I1088" s="737"/>
      <c r="J1088" s="648"/>
      <c r="K1088" s="648"/>
      <c r="L1088" s="649"/>
      <c r="M1088" s="648">
        <f>155+2854</f>
        <v>3009</v>
      </c>
      <c r="N1088" s="643">
        <v>1704</v>
      </c>
      <c r="O1088" s="492">
        <f t="shared" si="126"/>
        <v>56.63010967098704</v>
      </c>
      <c r="P1088" s="643"/>
      <c r="Q1088" s="643"/>
      <c r="R1088" s="737"/>
    </row>
    <row r="1089" spans="1:18" s="761" customFormat="1" ht="12" customHeight="1" hidden="1">
      <c r="A1089" s="829">
        <v>4440</v>
      </c>
      <c r="B1089" s="1038" t="s">
        <v>719</v>
      </c>
      <c r="C1089" s="648"/>
      <c r="D1089" s="643">
        <f t="shared" si="131"/>
        <v>0</v>
      </c>
      <c r="E1089" s="643">
        <f t="shared" si="128"/>
        <v>0</v>
      </c>
      <c r="F1089" s="1001" t="e">
        <f t="shared" si="130"/>
        <v>#DIV/0!</v>
      </c>
      <c r="G1089" s="697"/>
      <c r="H1089" s="643"/>
      <c r="I1089" s="737"/>
      <c r="J1089" s="648"/>
      <c r="K1089" s="648"/>
      <c r="L1089" s="649"/>
      <c r="M1089" s="648"/>
      <c r="N1089" s="643"/>
      <c r="O1089" s="492"/>
      <c r="P1089" s="643"/>
      <c r="Q1089" s="643"/>
      <c r="R1089" s="737"/>
    </row>
    <row r="1090" spans="1:18" s="761" customFormat="1" ht="60">
      <c r="A1090" s="829">
        <v>4740</v>
      </c>
      <c r="B1090" s="850" t="s">
        <v>728</v>
      </c>
      <c r="C1090" s="648">
        <v>155</v>
      </c>
      <c r="D1090" s="643">
        <f t="shared" si="131"/>
        <v>155</v>
      </c>
      <c r="E1090" s="643">
        <f t="shared" si="128"/>
        <v>0</v>
      </c>
      <c r="F1090" s="1001">
        <f t="shared" si="130"/>
        <v>0</v>
      </c>
      <c r="G1090" s="697"/>
      <c r="H1090" s="643"/>
      <c r="I1090" s="737"/>
      <c r="J1090" s="648"/>
      <c r="K1090" s="648"/>
      <c r="L1090" s="649"/>
      <c r="M1090" s="648">
        <v>155</v>
      </c>
      <c r="N1090" s="643"/>
      <c r="O1090" s="492">
        <f t="shared" si="126"/>
        <v>0</v>
      </c>
      <c r="P1090" s="643"/>
      <c r="Q1090" s="643"/>
      <c r="R1090" s="737"/>
    </row>
    <row r="1091" spans="1:18" s="761" customFormat="1" ht="36">
      <c r="A1091" s="874">
        <v>4750</v>
      </c>
      <c r="B1091" s="875" t="s">
        <v>814</v>
      </c>
      <c r="C1091" s="767">
        <v>312</v>
      </c>
      <c r="D1091" s="765">
        <f t="shared" si="131"/>
        <v>312</v>
      </c>
      <c r="E1091" s="765">
        <f t="shared" si="128"/>
        <v>0</v>
      </c>
      <c r="F1091" s="766">
        <f t="shared" si="130"/>
        <v>0</v>
      </c>
      <c r="G1091" s="764"/>
      <c r="H1091" s="765"/>
      <c r="I1091" s="770"/>
      <c r="J1091" s="767"/>
      <c r="K1091" s="767"/>
      <c r="L1091" s="768"/>
      <c r="M1091" s="767">
        <v>312</v>
      </c>
      <c r="N1091" s="765"/>
      <c r="O1091" s="766">
        <f t="shared" si="126"/>
        <v>0</v>
      </c>
      <c r="P1091" s="765"/>
      <c r="Q1091" s="765"/>
      <c r="R1091" s="770"/>
    </row>
    <row r="1092" spans="1:18" s="775" customFormat="1" ht="12" customHeight="1">
      <c r="A1092" s="832">
        <v>85202</v>
      </c>
      <c r="B1092" s="1034" t="s">
        <v>544</v>
      </c>
      <c r="C1092" s="834">
        <f>SUM(C1093:C1094)</f>
        <v>700000</v>
      </c>
      <c r="D1092" s="727">
        <f aca="true" t="shared" si="132" ref="D1092:E1094">G1092+J1092+M1092+P1092</f>
        <v>908600</v>
      </c>
      <c r="E1092" s="727">
        <f t="shared" si="132"/>
        <v>633330</v>
      </c>
      <c r="F1092" s="1013">
        <f t="shared" si="130"/>
        <v>69.70394012766894</v>
      </c>
      <c r="G1092" s="834">
        <f>SUM(G1093:G1094)</f>
        <v>908600</v>
      </c>
      <c r="H1092" s="727">
        <f>SUM(H1093:H1094)</f>
        <v>633330</v>
      </c>
      <c r="I1092" s="915">
        <f>H1092/G1092*100</f>
        <v>69.70394012766894</v>
      </c>
      <c r="J1092" s="835"/>
      <c r="K1092" s="835"/>
      <c r="L1092" s="873"/>
      <c r="M1092" s="835"/>
      <c r="N1092" s="727"/>
      <c r="O1092" s="837"/>
      <c r="P1092" s="727"/>
      <c r="Q1092" s="727"/>
      <c r="R1092" s="839"/>
    </row>
    <row r="1093" spans="1:18" s="761" customFormat="1" ht="12" customHeight="1" hidden="1">
      <c r="A1093" s="829">
        <v>4300</v>
      </c>
      <c r="B1093" s="1038" t="s">
        <v>733</v>
      </c>
      <c r="C1093" s="697"/>
      <c r="D1093" s="643">
        <f t="shared" si="132"/>
        <v>0</v>
      </c>
      <c r="E1093" s="643">
        <f t="shared" si="132"/>
        <v>0</v>
      </c>
      <c r="F1093" s="1001"/>
      <c r="G1093" s="697"/>
      <c r="H1093" s="643"/>
      <c r="I1093" s="821"/>
      <c r="J1093" s="648"/>
      <c r="K1093" s="648"/>
      <c r="L1093" s="649"/>
      <c r="M1093" s="648"/>
      <c r="N1093" s="643"/>
      <c r="O1093" s="647"/>
      <c r="P1093" s="643"/>
      <c r="Q1093" s="643"/>
      <c r="R1093" s="737"/>
    </row>
    <row r="1094" spans="1:18" s="761" customFormat="1" ht="24">
      <c r="A1094" s="874">
        <v>4330</v>
      </c>
      <c r="B1094" s="1039" t="s">
        <v>71</v>
      </c>
      <c r="C1094" s="764">
        <v>700000</v>
      </c>
      <c r="D1094" s="643">
        <f t="shared" si="132"/>
        <v>908600</v>
      </c>
      <c r="E1094" s="643">
        <f t="shared" si="132"/>
        <v>633330</v>
      </c>
      <c r="F1094" s="1001">
        <f t="shared" si="130"/>
        <v>69.70394012766894</v>
      </c>
      <c r="G1094" s="764">
        <f>700000+208600</f>
        <v>908600</v>
      </c>
      <c r="H1094" s="765">
        <v>633330</v>
      </c>
      <c r="I1094" s="915">
        <f>H1094/G1094*100</f>
        <v>69.70394012766894</v>
      </c>
      <c r="J1094" s="767"/>
      <c r="K1094" s="767"/>
      <c r="L1094" s="768"/>
      <c r="M1094" s="767"/>
      <c r="N1094" s="765"/>
      <c r="O1094" s="707"/>
      <c r="P1094" s="765"/>
      <c r="Q1094" s="765"/>
      <c r="R1094" s="770"/>
    </row>
    <row r="1095" spans="1:18" s="761" customFormat="1" ht="12.75">
      <c r="A1095" s="787">
        <v>85203</v>
      </c>
      <c r="B1095" s="1040" t="s">
        <v>546</v>
      </c>
      <c r="C1095" s="673">
        <f>C1103+C1123+C1166+C1143+C1096</f>
        <v>1137000</v>
      </c>
      <c r="D1095" s="674">
        <f>G1095+J1095+P1095+M1095</f>
        <v>1187170</v>
      </c>
      <c r="E1095" s="674">
        <f aca="true" t="shared" si="133" ref="D1095:E1113">H1095+K1095+Q1095+N1095</f>
        <v>847688</v>
      </c>
      <c r="F1095" s="996">
        <f t="shared" si="130"/>
        <v>71.40409545389456</v>
      </c>
      <c r="G1095" s="673">
        <f>G1103+G1123+G1166+G1096+G1102</f>
        <v>504240</v>
      </c>
      <c r="H1095" s="674">
        <f>H1103+H1123+H1166+H1096+H1102</f>
        <v>367634</v>
      </c>
      <c r="I1095" s="857">
        <f>H1095/G1095*100</f>
        <v>72.9085356179597</v>
      </c>
      <c r="J1095" s="677">
        <f>J1103+J1123+J1166+J1143+SUM(J1096:J1101)</f>
        <v>682930</v>
      </c>
      <c r="K1095" s="677">
        <f>K1103+K1123+K1166+K1143+SUM(K1096:K1101)</f>
        <v>480054</v>
      </c>
      <c r="L1095" s="665">
        <f aca="true" t="shared" si="134" ref="L1095:L1101">K1095/J1095*100</f>
        <v>70.29329506684434</v>
      </c>
      <c r="M1095" s="674"/>
      <c r="N1095" s="674"/>
      <c r="O1095" s="665"/>
      <c r="P1095" s="674"/>
      <c r="Q1095" s="674"/>
      <c r="R1095" s="842"/>
    </row>
    <row r="1096" spans="1:18" s="761" customFormat="1" ht="72">
      <c r="A1096" s="728">
        <v>2820</v>
      </c>
      <c r="B1096" s="1038" t="s">
        <v>818</v>
      </c>
      <c r="C1096" s="697">
        <f>176400+210000</f>
        <v>386400</v>
      </c>
      <c r="D1096" s="643">
        <f t="shared" si="133"/>
        <v>418580</v>
      </c>
      <c r="E1096" s="643">
        <f t="shared" si="133"/>
        <v>272300</v>
      </c>
      <c r="F1096" s="1001">
        <f t="shared" si="130"/>
        <v>65.05327535954896</v>
      </c>
      <c r="G1096" s="697">
        <v>210000</v>
      </c>
      <c r="H1096" s="643">
        <v>140000</v>
      </c>
      <c r="I1096" s="699">
        <f aca="true" t="shared" si="135" ref="I1096:I1101">H1096/G1096*100</f>
        <v>66.66666666666666</v>
      </c>
      <c r="J1096" s="648">
        <f>176400+32180</f>
        <v>208580</v>
      </c>
      <c r="K1096" s="648">
        <v>132300</v>
      </c>
      <c r="L1096" s="647">
        <f t="shared" si="134"/>
        <v>63.428900182184286</v>
      </c>
      <c r="M1096" s="643"/>
      <c r="N1096" s="643"/>
      <c r="O1096" s="647"/>
      <c r="P1096" s="643"/>
      <c r="Q1096" s="643"/>
      <c r="R1096" s="737"/>
    </row>
    <row r="1097" spans="1:18" s="761" customFormat="1" ht="24" hidden="1">
      <c r="A1097" s="829">
        <v>4210</v>
      </c>
      <c r="B1097" s="995" t="s">
        <v>707</v>
      </c>
      <c r="C1097" s="697"/>
      <c r="D1097" s="643">
        <f>G1097+J1097+P1097+M1097</f>
        <v>0</v>
      </c>
      <c r="E1097" s="643">
        <f t="shared" si="133"/>
        <v>0</v>
      </c>
      <c r="F1097" s="1001" t="e">
        <f t="shared" si="130"/>
        <v>#DIV/0!</v>
      </c>
      <c r="G1097" s="697"/>
      <c r="H1097" s="643"/>
      <c r="I1097" s="699" t="e">
        <f t="shared" si="135"/>
        <v>#DIV/0!</v>
      </c>
      <c r="J1097" s="648"/>
      <c r="K1097" s="648"/>
      <c r="L1097" s="647" t="e">
        <f t="shared" si="134"/>
        <v>#DIV/0!</v>
      </c>
      <c r="M1097" s="643"/>
      <c r="N1097" s="643"/>
      <c r="O1097" s="647"/>
      <c r="P1097" s="643"/>
      <c r="Q1097" s="643"/>
      <c r="R1097" s="737"/>
    </row>
    <row r="1098" spans="1:18" s="761" customFormat="1" ht="24" hidden="1">
      <c r="A1098" s="829">
        <v>4270</v>
      </c>
      <c r="B1098" s="1038" t="s">
        <v>890</v>
      </c>
      <c r="C1098" s="697"/>
      <c r="D1098" s="643">
        <f t="shared" si="133"/>
        <v>0</v>
      </c>
      <c r="E1098" s="643">
        <f t="shared" si="133"/>
        <v>0</v>
      </c>
      <c r="F1098" s="1001" t="e">
        <f t="shared" si="130"/>
        <v>#DIV/0!</v>
      </c>
      <c r="G1098" s="697"/>
      <c r="H1098" s="643"/>
      <c r="I1098" s="699" t="e">
        <f t="shared" si="135"/>
        <v>#DIV/0!</v>
      </c>
      <c r="J1098" s="648"/>
      <c r="K1098" s="648"/>
      <c r="L1098" s="647" t="e">
        <f t="shared" si="134"/>
        <v>#DIV/0!</v>
      </c>
      <c r="M1098" s="643"/>
      <c r="N1098" s="643"/>
      <c r="O1098" s="647"/>
      <c r="P1098" s="643"/>
      <c r="Q1098" s="643"/>
      <c r="R1098" s="737"/>
    </row>
    <row r="1099" spans="1:18" s="761" customFormat="1" ht="24" hidden="1">
      <c r="A1099" s="829">
        <v>4300</v>
      </c>
      <c r="B1099" s="995" t="s">
        <v>715</v>
      </c>
      <c r="C1099" s="697"/>
      <c r="D1099" s="643">
        <f t="shared" si="133"/>
        <v>0</v>
      </c>
      <c r="E1099" s="643">
        <f t="shared" si="133"/>
        <v>0</v>
      </c>
      <c r="F1099" s="1001" t="e">
        <f t="shared" si="130"/>
        <v>#DIV/0!</v>
      </c>
      <c r="G1099" s="697"/>
      <c r="H1099" s="643"/>
      <c r="I1099" s="699" t="e">
        <f t="shared" si="135"/>
        <v>#DIV/0!</v>
      </c>
      <c r="J1099" s="648"/>
      <c r="K1099" s="648"/>
      <c r="L1099" s="647" t="e">
        <f t="shared" si="134"/>
        <v>#DIV/0!</v>
      </c>
      <c r="M1099" s="643"/>
      <c r="N1099" s="643"/>
      <c r="O1099" s="647"/>
      <c r="P1099" s="643"/>
      <c r="Q1099" s="643"/>
      <c r="R1099" s="737"/>
    </row>
    <row r="1100" spans="1:18" s="761" customFormat="1" ht="24" hidden="1">
      <c r="A1100" s="829">
        <v>6050</v>
      </c>
      <c r="B1100" s="1038" t="s">
        <v>739</v>
      </c>
      <c r="C1100" s="697"/>
      <c r="D1100" s="643">
        <f>G1100+J1100+P1100+M1100</f>
        <v>0</v>
      </c>
      <c r="E1100" s="643">
        <f t="shared" si="133"/>
        <v>0</v>
      </c>
      <c r="F1100" s="1001" t="e">
        <f t="shared" si="130"/>
        <v>#DIV/0!</v>
      </c>
      <c r="G1100" s="697"/>
      <c r="H1100" s="643"/>
      <c r="I1100" s="699" t="e">
        <f t="shared" si="135"/>
        <v>#DIV/0!</v>
      </c>
      <c r="J1100" s="648"/>
      <c r="K1100" s="648"/>
      <c r="L1100" s="647" t="e">
        <f t="shared" si="134"/>
        <v>#DIV/0!</v>
      </c>
      <c r="M1100" s="643"/>
      <c r="N1100" s="643"/>
      <c r="O1100" s="647"/>
      <c r="P1100" s="643"/>
      <c r="Q1100" s="643"/>
      <c r="R1100" s="737"/>
    </row>
    <row r="1101" spans="1:18" s="761" customFormat="1" ht="36" hidden="1">
      <c r="A1101" s="829">
        <v>6060</v>
      </c>
      <c r="B1101" s="1038" t="s">
        <v>72</v>
      </c>
      <c r="C1101" s="697"/>
      <c r="D1101" s="643">
        <f t="shared" si="133"/>
        <v>0</v>
      </c>
      <c r="E1101" s="643">
        <f t="shared" si="133"/>
        <v>0</v>
      </c>
      <c r="F1101" s="1001" t="e">
        <f t="shared" si="130"/>
        <v>#DIV/0!</v>
      </c>
      <c r="G1101" s="697"/>
      <c r="H1101" s="643"/>
      <c r="I1101" s="699" t="e">
        <f t="shared" si="135"/>
        <v>#DIV/0!</v>
      </c>
      <c r="J1101" s="648">
        <f>10000-10000</f>
        <v>0</v>
      </c>
      <c r="K1101" s="648"/>
      <c r="L1101" s="647" t="e">
        <f t="shared" si="134"/>
        <v>#DIV/0!</v>
      </c>
      <c r="M1101" s="643"/>
      <c r="N1101" s="643"/>
      <c r="O1101" s="647"/>
      <c r="P1101" s="643"/>
      <c r="Q1101" s="643"/>
      <c r="R1101" s="737"/>
    </row>
    <row r="1102" spans="1:18" s="761" customFormat="1" ht="12.75" hidden="1">
      <c r="A1102" s="829">
        <v>4360</v>
      </c>
      <c r="B1102" s="1038"/>
      <c r="C1102" s="697"/>
      <c r="D1102" s="643"/>
      <c r="E1102" s="643">
        <f t="shared" si="133"/>
        <v>0</v>
      </c>
      <c r="F1102" s="1001"/>
      <c r="G1102" s="697"/>
      <c r="H1102" s="643"/>
      <c r="I1102" s="699"/>
      <c r="J1102" s="648"/>
      <c r="K1102" s="648"/>
      <c r="L1102" s="647"/>
      <c r="M1102" s="643"/>
      <c r="N1102" s="643"/>
      <c r="O1102" s="647"/>
      <c r="P1102" s="643"/>
      <c r="Q1102" s="643"/>
      <c r="R1102" s="737"/>
    </row>
    <row r="1103" spans="1:18" ht="12.75">
      <c r="A1103" s="867"/>
      <c r="B1103" s="1041" t="s">
        <v>73</v>
      </c>
      <c r="C1103" s="869">
        <f>SUM(C1104:C1122)</f>
        <v>194000</v>
      </c>
      <c r="D1103" s="727">
        <f t="shared" si="133"/>
        <v>220124</v>
      </c>
      <c r="E1103" s="871">
        <f t="shared" si="133"/>
        <v>153621</v>
      </c>
      <c r="F1103" s="1013">
        <f t="shared" si="130"/>
        <v>69.78839199723792</v>
      </c>
      <c r="G1103" s="834">
        <f>SUM(G1104:G1122)</f>
        <v>220124</v>
      </c>
      <c r="H1103" s="727">
        <f>SUM(H1104:H1122)</f>
        <v>153621</v>
      </c>
      <c r="I1103" s="815">
        <f>H1103/G1103*100</f>
        <v>69.78839199723792</v>
      </c>
      <c r="J1103" s="872"/>
      <c r="K1103" s="872"/>
      <c r="L1103" s="707"/>
      <c r="M1103" s="871"/>
      <c r="N1103" s="871"/>
      <c r="O1103" s="707"/>
      <c r="P1103" s="871"/>
      <c r="Q1103" s="871"/>
      <c r="R1103" s="770"/>
    </row>
    <row r="1104" spans="1:18" ht="36">
      <c r="A1104" s="728">
        <v>3020</v>
      </c>
      <c r="B1104" s="995" t="s">
        <v>800</v>
      </c>
      <c r="C1104" s="666">
        <v>400</v>
      </c>
      <c r="D1104" s="643">
        <f t="shared" si="133"/>
        <v>400</v>
      </c>
      <c r="E1104" s="667">
        <f>SUM(H1104+K1104+N1104+Q1104)</f>
        <v>25</v>
      </c>
      <c r="F1104" s="1001">
        <f t="shared" si="130"/>
        <v>6.25</v>
      </c>
      <c r="G1104" s="666">
        <v>400</v>
      </c>
      <c r="H1104" s="643">
        <f>25+2-2</f>
        <v>25</v>
      </c>
      <c r="I1104" s="699">
        <f aca="true" t="shared" si="136" ref="I1104:I1140">H1104/G1104*100</f>
        <v>6.25</v>
      </c>
      <c r="J1104" s="730"/>
      <c r="K1104" s="667"/>
      <c r="L1104" s="647"/>
      <c r="M1104" s="667"/>
      <c r="N1104" s="667"/>
      <c r="O1104" s="647"/>
      <c r="P1104" s="667"/>
      <c r="Q1104" s="667"/>
      <c r="R1104" s="737"/>
    </row>
    <row r="1105" spans="1:18" ht="24">
      <c r="A1105" s="728">
        <v>4010</v>
      </c>
      <c r="B1105" s="995" t="s">
        <v>697</v>
      </c>
      <c r="C1105" s="666">
        <v>79472</v>
      </c>
      <c r="D1105" s="643">
        <f t="shared" si="133"/>
        <v>103323</v>
      </c>
      <c r="E1105" s="667">
        <f>SUM(H1105+K1105+N1105+Q1105)</f>
        <v>75100</v>
      </c>
      <c r="F1105" s="1001">
        <f>E1105/D1105*100</f>
        <v>72.68468782362108</v>
      </c>
      <c r="G1105" s="666">
        <f>79472+23851</f>
        <v>103323</v>
      </c>
      <c r="H1105" s="643">
        <v>75100</v>
      </c>
      <c r="I1105" s="699">
        <f t="shared" si="136"/>
        <v>72.68468782362108</v>
      </c>
      <c r="J1105" s="730"/>
      <c r="K1105" s="667"/>
      <c r="L1105" s="647"/>
      <c r="M1105" s="667"/>
      <c r="N1105" s="667"/>
      <c r="O1105" s="647"/>
      <c r="P1105" s="667"/>
      <c r="Q1105" s="667"/>
      <c r="R1105" s="737"/>
    </row>
    <row r="1106" spans="1:18" ht="24">
      <c r="A1106" s="728">
        <v>4040</v>
      </c>
      <c r="B1106" s="995" t="s">
        <v>801</v>
      </c>
      <c r="C1106" s="666">
        <v>6719</v>
      </c>
      <c r="D1106" s="643">
        <f t="shared" si="133"/>
        <v>6263</v>
      </c>
      <c r="E1106" s="667">
        <f>SUM(H1106+K1106+N1106+Q1106)</f>
        <v>6263</v>
      </c>
      <c r="F1106" s="1001">
        <f t="shared" si="130"/>
        <v>100</v>
      </c>
      <c r="G1106" s="666">
        <f>6719-456</f>
        <v>6263</v>
      </c>
      <c r="H1106" s="643">
        <v>6263</v>
      </c>
      <c r="I1106" s="644">
        <f t="shared" si="136"/>
        <v>100</v>
      </c>
      <c r="J1106" s="730"/>
      <c r="K1106" s="667"/>
      <c r="L1106" s="647"/>
      <c r="M1106" s="667"/>
      <c r="N1106" s="667"/>
      <c r="O1106" s="647"/>
      <c r="P1106" s="667"/>
      <c r="Q1106" s="667"/>
      <c r="R1106" s="737"/>
    </row>
    <row r="1107" spans="1:18" ht="24" customHeight="1">
      <c r="A1107" s="728">
        <v>4110</v>
      </c>
      <c r="B1107" s="995" t="s">
        <v>703</v>
      </c>
      <c r="C1107" s="666">
        <v>13808</v>
      </c>
      <c r="D1107" s="643">
        <f t="shared" si="133"/>
        <v>16175</v>
      </c>
      <c r="E1107" s="667">
        <f aca="true" t="shared" si="137" ref="E1107:E1122">SUM(H1107+K1107+N1107+Q1107)</f>
        <v>11974</v>
      </c>
      <c r="F1107" s="1001">
        <f t="shared" si="130"/>
        <v>74.02782071097373</v>
      </c>
      <c r="G1107" s="666">
        <f>13808+2367</f>
        <v>16175</v>
      </c>
      <c r="H1107" s="643">
        <v>11974</v>
      </c>
      <c r="I1107" s="699">
        <f t="shared" si="136"/>
        <v>74.02782071097373</v>
      </c>
      <c r="J1107" s="730"/>
      <c r="K1107" s="667"/>
      <c r="L1107" s="647"/>
      <c r="M1107" s="667"/>
      <c r="N1107" s="667"/>
      <c r="O1107" s="647"/>
      <c r="P1107" s="667"/>
      <c r="Q1107" s="667"/>
      <c r="R1107" s="737"/>
    </row>
    <row r="1108" spans="1:18" ht="11.25" customHeight="1">
      <c r="A1108" s="728">
        <v>4120</v>
      </c>
      <c r="B1108" s="995" t="s">
        <v>847</v>
      </c>
      <c r="C1108" s="666">
        <v>2112</v>
      </c>
      <c r="D1108" s="643">
        <f t="shared" si="133"/>
        <v>2474</v>
      </c>
      <c r="E1108" s="667">
        <f t="shared" si="137"/>
        <v>1831</v>
      </c>
      <c r="F1108" s="1001">
        <f t="shared" si="130"/>
        <v>74.00970088924818</v>
      </c>
      <c r="G1108" s="666">
        <f>2112+362</f>
        <v>2474</v>
      </c>
      <c r="H1108" s="643">
        <v>1831</v>
      </c>
      <c r="I1108" s="699">
        <f t="shared" si="136"/>
        <v>74.00970088924818</v>
      </c>
      <c r="J1108" s="730"/>
      <c r="K1108" s="667"/>
      <c r="L1108" s="647"/>
      <c r="M1108" s="667"/>
      <c r="N1108" s="667"/>
      <c r="O1108" s="647"/>
      <c r="P1108" s="667"/>
      <c r="Q1108" s="667"/>
      <c r="R1108" s="737"/>
    </row>
    <row r="1109" spans="1:18" ht="24">
      <c r="A1109" s="728">
        <v>4210</v>
      </c>
      <c r="B1109" s="995" t="s">
        <v>707</v>
      </c>
      <c r="C1109" s="666">
        <v>4700</v>
      </c>
      <c r="D1109" s="643">
        <f t="shared" si="133"/>
        <v>4700</v>
      </c>
      <c r="E1109" s="667">
        <f t="shared" si="137"/>
        <v>3795</v>
      </c>
      <c r="F1109" s="1001">
        <f t="shared" si="130"/>
        <v>80.74468085106383</v>
      </c>
      <c r="G1109" s="666">
        <v>4700</v>
      </c>
      <c r="H1109" s="643">
        <v>3795</v>
      </c>
      <c r="I1109" s="699">
        <f t="shared" si="136"/>
        <v>80.74468085106383</v>
      </c>
      <c r="J1109" s="730"/>
      <c r="K1109" s="667"/>
      <c r="L1109" s="647"/>
      <c r="M1109" s="667"/>
      <c r="N1109" s="667"/>
      <c r="O1109" s="647"/>
      <c r="P1109" s="667"/>
      <c r="Q1109" s="667"/>
      <c r="R1109" s="737"/>
    </row>
    <row r="1110" spans="1:18" ht="24">
      <c r="A1110" s="728">
        <v>4230</v>
      </c>
      <c r="B1110" s="995" t="s">
        <v>709</v>
      </c>
      <c r="C1110" s="666">
        <v>205</v>
      </c>
      <c r="D1110" s="643">
        <f t="shared" si="133"/>
        <v>205</v>
      </c>
      <c r="E1110" s="667">
        <f t="shared" si="137"/>
        <v>66</v>
      </c>
      <c r="F1110" s="1001">
        <f aca="true" t="shared" si="138" ref="F1110:F1147">E1110/D1110*100</f>
        <v>32.19512195121951</v>
      </c>
      <c r="G1110" s="666">
        <v>205</v>
      </c>
      <c r="H1110" s="643">
        <v>66</v>
      </c>
      <c r="I1110" s="699">
        <f t="shared" si="136"/>
        <v>32.19512195121951</v>
      </c>
      <c r="J1110" s="730"/>
      <c r="K1110" s="667"/>
      <c r="L1110" s="647"/>
      <c r="M1110" s="667"/>
      <c r="N1110" s="667"/>
      <c r="O1110" s="647"/>
      <c r="P1110" s="667"/>
      <c r="Q1110" s="667"/>
      <c r="R1110" s="737"/>
    </row>
    <row r="1111" spans="1:18" ht="12.75">
      <c r="A1111" s="762">
        <v>4260</v>
      </c>
      <c r="B1111" s="1012" t="s">
        <v>711</v>
      </c>
      <c r="C1111" s="781">
        <v>15890</v>
      </c>
      <c r="D1111" s="765">
        <f t="shared" si="133"/>
        <v>15890</v>
      </c>
      <c r="E1111" s="785">
        <f t="shared" si="137"/>
        <v>11441</v>
      </c>
      <c r="F1111" s="1013">
        <f t="shared" si="138"/>
        <v>72.00125865324102</v>
      </c>
      <c r="G1111" s="781">
        <v>15890</v>
      </c>
      <c r="H1111" s="765">
        <v>11441</v>
      </c>
      <c r="I1111" s="815">
        <f t="shared" si="136"/>
        <v>72.00125865324102</v>
      </c>
      <c r="J1111" s="782"/>
      <c r="K1111" s="785"/>
      <c r="L1111" s="707"/>
      <c r="M1111" s="785"/>
      <c r="N1111" s="785"/>
      <c r="O1111" s="707"/>
      <c r="P1111" s="785"/>
      <c r="Q1111" s="785"/>
      <c r="R1111" s="770"/>
    </row>
    <row r="1112" spans="1:18" ht="24">
      <c r="A1112" s="728">
        <v>4280</v>
      </c>
      <c r="B1112" s="995" t="s">
        <v>805</v>
      </c>
      <c r="C1112" s="666">
        <v>140</v>
      </c>
      <c r="D1112" s="643">
        <f t="shared" si="133"/>
        <v>140</v>
      </c>
      <c r="E1112" s="667">
        <f t="shared" si="137"/>
        <v>133</v>
      </c>
      <c r="F1112" s="1001">
        <f t="shared" si="138"/>
        <v>95</v>
      </c>
      <c r="G1112" s="666">
        <v>140</v>
      </c>
      <c r="H1112" s="643">
        <v>133</v>
      </c>
      <c r="I1112" s="699">
        <f t="shared" si="136"/>
        <v>95</v>
      </c>
      <c r="J1112" s="730"/>
      <c r="K1112" s="667"/>
      <c r="L1112" s="647"/>
      <c r="M1112" s="667"/>
      <c r="N1112" s="667"/>
      <c r="O1112" s="647"/>
      <c r="P1112" s="667"/>
      <c r="Q1112" s="667"/>
      <c r="R1112" s="737"/>
    </row>
    <row r="1113" spans="1:18" ht="12.75" customHeight="1">
      <c r="A1113" s="728">
        <v>4300</v>
      </c>
      <c r="B1113" s="995" t="s">
        <v>715</v>
      </c>
      <c r="C1113" s="666">
        <v>52000</v>
      </c>
      <c r="D1113" s="643">
        <f t="shared" si="133"/>
        <v>52000</v>
      </c>
      <c r="E1113" s="667">
        <f t="shared" si="137"/>
        <v>29358</v>
      </c>
      <c r="F1113" s="1001">
        <f t="shared" si="138"/>
        <v>56.45769230769231</v>
      </c>
      <c r="G1113" s="666">
        <v>52000</v>
      </c>
      <c r="H1113" s="643">
        <v>29358</v>
      </c>
      <c r="I1113" s="699">
        <f t="shared" si="136"/>
        <v>56.45769230769231</v>
      </c>
      <c r="J1113" s="730"/>
      <c r="K1113" s="667"/>
      <c r="L1113" s="647"/>
      <c r="M1113" s="667"/>
      <c r="N1113" s="667"/>
      <c r="O1113" s="647"/>
      <c r="P1113" s="667"/>
      <c r="Q1113" s="667"/>
      <c r="R1113" s="737"/>
    </row>
    <row r="1114" spans="1:18" ht="24">
      <c r="A1114" s="728">
        <v>4350</v>
      </c>
      <c r="B1114" s="735" t="s">
        <v>807</v>
      </c>
      <c r="C1114" s="666">
        <v>1069</v>
      </c>
      <c r="D1114" s="643">
        <f aca="true" t="shared" si="139" ref="D1114:E1179">G1114+J1114+P1114+M1114</f>
        <v>1069</v>
      </c>
      <c r="E1114" s="667">
        <f>SUM(H1114+K1114+N1114+Q1114)</f>
        <v>774</v>
      </c>
      <c r="F1114" s="1001">
        <f>E1114/D1114*100</f>
        <v>72.40411599625818</v>
      </c>
      <c r="G1114" s="666">
        <v>1069</v>
      </c>
      <c r="H1114" s="643">
        <v>774</v>
      </c>
      <c r="I1114" s="699">
        <f t="shared" si="136"/>
        <v>72.40411599625818</v>
      </c>
      <c r="J1114" s="730"/>
      <c r="K1114" s="667"/>
      <c r="L1114" s="647"/>
      <c r="M1114" s="667"/>
      <c r="N1114" s="667"/>
      <c r="O1114" s="647"/>
      <c r="P1114" s="667"/>
      <c r="Q1114" s="667"/>
      <c r="R1114" s="737"/>
    </row>
    <row r="1115" spans="1:18" ht="48">
      <c r="A1115" s="829">
        <v>4370</v>
      </c>
      <c r="B1115" s="850" t="s">
        <v>916</v>
      </c>
      <c r="C1115" s="666">
        <v>1250</v>
      </c>
      <c r="D1115" s="643">
        <f t="shared" si="139"/>
        <v>1250</v>
      </c>
      <c r="E1115" s="667">
        <f>SUM(H1115+K1115+N1115+Q1115)</f>
        <v>935</v>
      </c>
      <c r="F1115" s="1001">
        <f>E1115/D1115*100</f>
        <v>74.8</v>
      </c>
      <c r="G1115" s="666">
        <v>1250</v>
      </c>
      <c r="H1115" s="643">
        <v>935</v>
      </c>
      <c r="I1115" s="699">
        <f t="shared" si="136"/>
        <v>74.8</v>
      </c>
      <c r="J1115" s="730"/>
      <c r="K1115" s="667"/>
      <c r="L1115" s="647"/>
      <c r="M1115" s="667"/>
      <c r="N1115" s="667"/>
      <c r="O1115" s="647"/>
      <c r="P1115" s="667"/>
      <c r="Q1115" s="667"/>
      <c r="R1115" s="737"/>
    </row>
    <row r="1116" spans="1:18" ht="24">
      <c r="A1116" s="829">
        <v>4400</v>
      </c>
      <c r="B1116" s="850" t="s">
        <v>810</v>
      </c>
      <c r="C1116" s="666">
        <v>10920</v>
      </c>
      <c r="D1116" s="643">
        <f t="shared" si="139"/>
        <v>10920</v>
      </c>
      <c r="E1116" s="667">
        <f>SUM(H1116+K1116+N1116+Q1116)</f>
        <v>7867</v>
      </c>
      <c r="F1116" s="1001">
        <f>E1116/D1116*100</f>
        <v>72.04212454212454</v>
      </c>
      <c r="G1116" s="666">
        <v>10920</v>
      </c>
      <c r="H1116" s="643">
        <v>7867</v>
      </c>
      <c r="I1116" s="699">
        <f t="shared" si="136"/>
        <v>72.04212454212454</v>
      </c>
      <c r="J1116" s="730"/>
      <c r="K1116" s="667"/>
      <c r="L1116" s="647"/>
      <c r="M1116" s="667"/>
      <c r="N1116" s="667"/>
      <c r="O1116" s="647"/>
      <c r="P1116" s="667"/>
      <c r="Q1116" s="667"/>
      <c r="R1116" s="737"/>
    </row>
    <row r="1117" spans="1:18" ht="12.75" customHeight="1">
      <c r="A1117" s="728">
        <v>4410</v>
      </c>
      <c r="B1117" s="995" t="s">
        <v>689</v>
      </c>
      <c r="C1117" s="666">
        <v>205</v>
      </c>
      <c r="D1117" s="643">
        <f t="shared" si="139"/>
        <v>205</v>
      </c>
      <c r="E1117" s="667">
        <f t="shared" si="137"/>
        <v>50</v>
      </c>
      <c r="F1117" s="1001">
        <f t="shared" si="138"/>
        <v>24.390243902439025</v>
      </c>
      <c r="G1117" s="666">
        <v>205</v>
      </c>
      <c r="H1117" s="643">
        <v>50</v>
      </c>
      <c r="I1117" s="699">
        <f t="shared" si="136"/>
        <v>24.390243902439025</v>
      </c>
      <c r="J1117" s="730"/>
      <c r="K1117" s="667"/>
      <c r="L1117" s="647"/>
      <c r="M1117" s="667"/>
      <c r="N1117" s="667"/>
      <c r="O1117" s="647"/>
      <c r="P1117" s="667"/>
      <c r="Q1117" s="667"/>
      <c r="R1117" s="737"/>
    </row>
    <row r="1118" spans="1:18" ht="12.75" customHeight="1">
      <c r="A1118" s="728">
        <v>4430</v>
      </c>
      <c r="B1118" s="995" t="s">
        <v>717</v>
      </c>
      <c r="C1118" s="666">
        <v>100</v>
      </c>
      <c r="D1118" s="643">
        <f t="shared" si="139"/>
        <v>100</v>
      </c>
      <c r="E1118" s="667">
        <f t="shared" si="137"/>
        <v>0</v>
      </c>
      <c r="F1118" s="1001">
        <f t="shared" si="138"/>
        <v>0</v>
      </c>
      <c r="G1118" s="666">
        <v>100</v>
      </c>
      <c r="H1118" s="643"/>
      <c r="I1118" s="699">
        <f t="shared" si="136"/>
        <v>0</v>
      </c>
      <c r="J1118" s="730"/>
      <c r="K1118" s="667"/>
      <c r="L1118" s="647"/>
      <c r="M1118" s="667"/>
      <c r="N1118" s="667"/>
      <c r="O1118" s="647"/>
      <c r="P1118" s="667"/>
      <c r="Q1118" s="667"/>
      <c r="R1118" s="737"/>
    </row>
    <row r="1119" spans="1:18" ht="12.75" customHeight="1">
      <c r="A1119" s="728">
        <v>4480</v>
      </c>
      <c r="B1119" s="995" t="s">
        <v>426</v>
      </c>
      <c r="C1119" s="666">
        <v>1350</v>
      </c>
      <c r="D1119" s="643">
        <f t="shared" si="139"/>
        <v>1350</v>
      </c>
      <c r="E1119" s="667">
        <f>SUM(H1119+K1119+N1119+Q1119)</f>
        <v>997</v>
      </c>
      <c r="F1119" s="1001">
        <f t="shared" si="138"/>
        <v>73.85185185185185</v>
      </c>
      <c r="G1119" s="666">
        <v>1350</v>
      </c>
      <c r="H1119" s="643">
        <v>997</v>
      </c>
      <c r="I1119" s="699">
        <f t="shared" si="136"/>
        <v>73.85185185185185</v>
      </c>
      <c r="J1119" s="730"/>
      <c r="K1119" s="667"/>
      <c r="L1119" s="647"/>
      <c r="M1119" s="667"/>
      <c r="N1119" s="667"/>
      <c r="O1119" s="647"/>
      <c r="P1119" s="667"/>
      <c r="Q1119" s="667"/>
      <c r="R1119" s="737"/>
    </row>
    <row r="1120" spans="1:18" ht="12.75" customHeight="1">
      <c r="A1120" s="728">
        <v>4440</v>
      </c>
      <c r="B1120" s="818" t="s">
        <v>719</v>
      </c>
      <c r="C1120" s="666">
        <v>2660</v>
      </c>
      <c r="D1120" s="643">
        <f t="shared" si="139"/>
        <v>2660</v>
      </c>
      <c r="E1120" s="667">
        <f>SUM(H1120+K1120+N1120+Q1120)</f>
        <v>2660</v>
      </c>
      <c r="F1120" s="1001">
        <f t="shared" si="138"/>
        <v>100</v>
      </c>
      <c r="G1120" s="666">
        <v>2660</v>
      </c>
      <c r="H1120" s="643">
        <v>2660</v>
      </c>
      <c r="I1120" s="644">
        <f t="shared" si="136"/>
        <v>100</v>
      </c>
      <c r="J1120" s="730"/>
      <c r="K1120" s="667"/>
      <c r="L1120" s="647"/>
      <c r="M1120" s="667"/>
      <c r="N1120" s="667"/>
      <c r="O1120" s="647"/>
      <c r="P1120" s="667"/>
      <c r="Q1120" s="667"/>
      <c r="R1120" s="737"/>
    </row>
    <row r="1121" spans="1:18" ht="60">
      <c r="A1121" s="829">
        <v>4740</v>
      </c>
      <c r="B1121" s="850" t="s">
        <v>728</v>
      </c>
      <c r="C1121" s="666">
        <v>500</v>
      </c>
      <c r="D1121" s="643">
        <f t="shared" si="139"/>
        <v>500</v>
      </c>
      <c r="E1121" s="667">
        <f>SUM(H1121+K1121+N1121+Q1121)</f>
        <v>124</v>
      </c>
      <c r="F1121" s="1001">
        <f t="shared" si="138"/>
        <v>24.8</v>
      </c>
      <c r="G1121" s="666">
        <v>500</v>
      </c>
      <c r="H1121" s="643">
        <v>124</v>
      </c>
      <c r="I1121" s="699">
        <f t="shared" si="136"/>
        <v>24.8</v>
      </c>
      <c r="J1121" s="730"/>
      <c r="K1121" s="667"/>
      <c r="L1121" s="647"/>
      <c r="M1121" s="667"/>
      <c r="N1121" s="667"/>
      <c r="O1121" s="647"/>
      <c r="P1121" s="667"/>
      <c r="Q1121" s="667"/>
      <c r="R1121" s="737"/>
    </row>
    <row r="1122" spans="1:18" s="723" customFormat="1" ht="36">
      <c r="A1122" s="874">
        <v>4750</v>
      </c>
      <c r="B1122" s="875" t="s">
        <v>814</v>
      </c>
      <c r="C1122" s="781">
        <v>500</v>
      </c>
      <c r="D1122" s="765">
        <f t="shared" si="139"/>
        <v>500</v>
      </c>
      <c r="E1122" s="785">
        <f t="shared" si="137"/>
        <v>228</v>
      </c>
      <c r="F1122" s="1013">
        <f t="shared" si="138"/>
        <v>45.6</v>
      </c>
      <c r="G1122" s="781">
        <v>500</v>
      </c>
      <c r="H1122" s="765">
        <v>228</v>
      </c>
      <c r="I1122" s="705">
        <f t="shared" si="136"/>
        <v>45.6</v>
      </c>
      <c r="J1122" s="782"/>
      <c r="K1122" s="785"/>
      <c r="L1122" s="707"/>
      <c r="M1122" s="785"/>
      <c r="N1122" s="785"/>
      <c r="O1122" s="707"/>
      <c r="P1122" s="785"/>
      <c r="Q1122" s="785"/>
      <c r="R1122" s="770"/>
    </row>
    <row r="1123" spans="1:18" s="723" customFormat="1" ht="25.5" customHeight="1">
      <c r="A1123" s="762"/>
      <c r="B1123" s="1041" t="s">
        <v>74</v>
      </c>
      <c r="C1123" s="726">
        <f>SUM(C1124:C1142)</f>
        <v>96000</v>
      </c>
      <c r="D1123" s="674">
        <f t="shared" si="139"/>
        <v>74116</v>
      </c>
      <c r="E1123" s="657">
        <f>H1123+K1123+Q1123+N1123</f>
        <v>74013</v>
      </c>
      <c r="F1123" s="996">
        <f t="shared" si="138"/>
        <v>99.8610286577797</v>
      </c>
      <c r="G1123" s="673">
        <f>SUM(G1124:G1142)</f>
        <v>74116</v>
      </c>
      <c r="H1123" s="727">
        <f>SUM(H1124:H1142)</f>
        <v>74013</v>
      </c>
      <c r="I1123" s="658">
        <f t="shared" si="136"/>
        <v>99.8610286577797</v>
      </c>
      <c r="J1123" s="872"/>
      <c r="K1123" s="871"/>
      <c r="L1123" s="663"/>
      <c r="M1123" s="657"/>
      <c r="N1123" s="657"/>
      <c r="O1123" s="317"/>
      <c r="P1123" s="871"/>
      <c r="Q1123" s="871"/>
      <c r="R1123" s="770"/>
    </row>
    <row r="1124" spans="1:18" s="723" customFormat="1" ht="72" hidden="1">
      <c r="A1124" s="728">
        <v>2820</v>
      </c>
      <c r="B1124" s="1038" t="s">
        <v>818</v>
      </c>
      <c r="C1124" s="666"/>
      <c r="D1124" s="643">
        <f t="shared" si="139"/>
        <v>0</v>
      </c>
      <c r="E1124" s="667">
        <f>SUM(H1124+K1124+N1124+Q1124)</f>
        <v>0</v>
      </c>
      <c r="F1124" s="1001" t="e">
        <f t="shared" si="138"/>
        <v>#DIV/0!</v>
      </c>
      <c r="G1124" s="666"/>
      <c r="H1124" s="643"/>
      <c r="I1124" s="644" t="e">
        <f>H1124/G1124*100</f>
        <v>#DIV/0!</v>
      </c>
      <c r="J1124" s="848"/>
      <c r="K1124" s="847"/>
      <c r="L1124" s="751"/>
      <c r="M1124" s="847"/>
      <c r="N1124" s="847"/>
      <c r="O1124" s="731"/>
      <c r="P1124" s="847"/>
      <c r="Q1124" s="847"/>
      <c r="R1124" s="737"/>
    </row>
    <row r="1125" spans="1:18" s="723" customFormat="1" ht="26.25" customHeight="1">
      <c r="A1125" s="728">
        <v>4010</v>
      </c>
      <c r="B1125" s="995" t="s">
        <v>697</v>
      </c>
      <c r="C1125" s="666">
        <v>36000</v>
      </c>
      <c r="D1125" s="643">
        <f t="shared" si="139"/>
        <v>36000</v>
      </c>
      <c r="E1125" s="667">
        <f aca="true" t="shared" si="140" ref="E1125:E1165">SUM(H1125+K1125+N1125+Q1125)</f>
        <v>36000</v>
      </c>
      <c r="F1125" s="1001">
        <f t="shared" si="138"/>
        <v>100</v>
      </c>
      <c r="G1125" s="666">
        <v>36000</v>
      </c>
      <c r="H1125" s="643">
        <v>36000</v>
      </c>
      <c r="I1125" s="644">
        <f t="shared" si="136"/>
        <v>100</v>
      </c>
      <c r="J1125" s="730"/>
      <c r="K1125" s="667"/>
      <c r="L1125" s="649"/>
      <c r="M1125" s="667"/>
      <c r="N1125" s="667"/>
      <c r="O1125" s="731"/>
      <c r="P1125" s="667"/>
      <c r="Q1125" s="667"/>
      <c r="R1125" s="737"/>
    </row>
    <row r="1126" spans="1:18" s="723" customFormat="1" ht="23.25" customHeight="1">
      <c r="A1126" s="728">
        <v>4040</v>
      </c>
      <c r="B1126" s="995" t="s">
        <v>801</v>
      </c>
      <c r="C1126" s="666">
        <v>12510</v>
      </c>
      <c r="D1126" s="643">
        <f t="shared" si="139"/>
        <v>12225</v>
      </c>
      <c r="E1126" s="667">
        <f t="shared" si="140"/>
        <v>12225</v>
      </c>
      <c r="F1126" s="1001">
        <f t="shared" si="138"/>
        <v>100</v>
      </c>
      <c r="G1126" s="666">
        <f>12510-285</f>
        <v>12225</v>
      </c>
      <c r="H1126" s="643">
        <v>12225</v>
      </c>
      <c r="I1126" s="644">
        <f t="shared" si="136"/>
        <v>100</v>
      </c>
      <c r="J1126" s="730"/>
      <c r="K1126" s="667"/>
      <c r="L1126" s="649"/>
      <c r="M1126" s="667"/>
      <c r="N1126" s="667"/>
      <c r="O1126" s="731"/>
      <c r="P1126" s="667"/>
      <c r="Q1126" s="667"/>
      <c r="R1126" s="737"/>
    </row>
    <row r="1127" spans="1:18" s="723" customFormat="1" ht="25.5" customHeight="1">
      <c r="A1127" s="728">
        <v>4110</v>
      </c>
      <c r="B1127" s="995" t="s">
        <v>703</v>
      </c>
      <c r="C1127" s="666">
        <v>8000</v>
      </c>
      <c r="D1127" s="643">
        <f t="shared" si="139"/>
        <v>8000</v>
      </c>
      <c r="E1127" s="667">
        <f t="shared" si="140"/>
        <v>8000</v>
      </c>
      <c r="F1127" s="1001">
        <f t="shared" si="138"/>
        <v>100</v>
      </c>
      <c r="G1127" s="666">
        <v>8000</v>
      </c>
      <c r="H1127" s="643">
        <v>8000</v>
      </c>
      <c r="I1127" s="644">
        <f t="shared" si="136"/>
        <v>100</v>
      </c>
      <c r="J1127" s="730"/>
      <c r="K1127" s="667"/>
      <c r="L1127" s="649"/>
      <c r="M1127" s="667"/>
      <c r="N1127" s="667"/>
      <c r="O1127" s="731"/>
      <c r="P1127" s="667"/>
      <c r="Q1127" s="667"/>
      <c r="R1127" s="737"/>
    </row>
    <row r="1128" spans="1:18" s="723" customFormat="1" ht="12.75">
      <c r="A1128" s="728">
        <v>4120</v>
      </c>
      <c r="B1128" s="995" t="s">
        <v>847</v>
      </c>
      <c r="C1128" s="666">
        <v>1200</v>
      </c>
      <c r="D1128" s="643">
        <f t="shared" si="139"/>
        <v>1000</v>
      </c>
      <c r="E1128" s="667">
        <f t="shared" si="140"/>
        <v>1000</v>
      </c>
      <c r="F1128" s="1001">
        <f t="shared" si="138"/>
        <v>100</v>
      </c>
      <c r="G1128" s="666">
        <f>1200-200</f>
        <v>1000</v>
      </c>
      <c r="H1128" s="643">
        <v>1000</v>
      </c>
      <c r="I1128" s="644">
        <f t="shared" si="136"/>
        <v>100</v>
      </c>
      <c r="J1128" s="730"/>
      <c r="K1128" s="667"/>
      <c r="L1128" s="649"/>
      <c r="M1128" s="667"/>
      <c r="N1128" s="667"/>
      <c r="O1128" s="731"/>
      <c r="P1128" s="667"/>
      <c r="Q1128" s="667"/>
      <c r="R1128" s="737"/>
    </row>
    <row r="1129" spans="1:18" s="723" customFormat="1" ht="24" hidden="1">
      <c r="A1129" s="728">
        <v>4170</v>
      </c>
      <c r="B1129" s="995" t="s">
        <v>742</v>
      </c>
      <c r="C1129" s="666"/>
      <c r="D1129" s="643">
        <f t="shared" si="139"/>
        <v>0</v>
      </c>
      <c r="E1129" s="667">
        <f>SUM(H1129+K1129+N1129+Q1129)</f>
        <v>0</v>
      </c>
      <c r="F1129" s="1001" t="e">
        <f>E1129/D1129*100</f>
        <v>#DIV/0!</v>
      </c>
      <c r="G1129" s="666"/>
      <c r="H1129" s="643"/>
      <c r="I1129" s="644" t="e">
        <f t="shared" si="136"/>
        <v>#DIV/0!</v>
      </c>
      <c r="J1129" s="730"/>
      <c r="K1129" s="667"/>
      <c r="L1129" s="649"/>
      <c r="M1129" s="667"/>
      <c r="N1129" s="667"/>
      <c r="O1129" s="731"/>
      <c r="P1129" s="667"/>
      <c r="Q1129" s="667"/>
      <c r="R1129" s="737"/>
    </row>
    <row r="1130" spans="1:18" s="723" customFormat="1" ht="23.25" customHeight="1">
      <c r="A1130" s="728">
        <v>4210</v>
      </c>
      <c r="B1130" s="995" t="s">
        <v>707</v>
      </c>
      <c r="C1130" s="666">
        <v>2000</v>
      </c>
      <c r="D1130" s="643">
        <f t="shared" si="139"/>
        <v>494</v>
      </c>
      <c r="E1130" s="667">
        <f t="shared" si="140"/>
        <v>493</v>
      </c>
      <c r="F1130" s="1001">
        <f t="shared" si="138"/>
        <v>99.79757085020243</v>
      </c>
      <c r="G1130" s="666">
        <f>2000-250-956-300</f>
        <v>494</v>
      </c>
      <c r="H1130" s="643">
        <v>493</v>
      </c>
      <c r="I1130" s="644">
        <f t="shared" si="136"/>
        <v>99.79757085020243</v>
      </c>
      <c r="J1130" s="730"/>
      <c r="K1130" s="667"/>
      <c r="L1130" s="649"/>
      <c r="M1130" s="667"/>
      <c r="N1130" s="667"/>
      <c r="O1130" s="731"/>
      <c r="P1130" s="667"/>
      <c r="Q1130" s="667"/>
      <c r="R1130" s="737"/>
    </row>
    <row r="1131" spans="1:18" s="723" customFormat="1" ht="12.75">
      <c r="A1131" s="728">
        <v>4260</v>
      </c>
      <c r="B1131" s="995" t="s">
        <v>711</v>
      </c>
      <c r="C1131" s="666">
        <v>26000</v>
      </c>
      <c r="D1131" s="643">
        <f t="shared" si="139"/>
        <v>10142</v>
      </c>
      <c r="E1131" s="667">
        <f t="shared" si="140"/>
        <v>10141</v>
      </c>
      <c r="F1131" s="1001">
        <f t="shared" si="138"/>
        <v>99.99014001183198</v>
      </c>
      <c r="G1131" s="666">
        <f>26000-15328-530</f>
        <v>10142</v>
      </c>
      <c r="H1131" s="643">
        <v>10141</v>
      </c>
      <c r="I1131" s="644">
        <f t="shared" si="136"/>
        <v>99.99014001183198</v>
      </c>
      <c r="J1131" s="730"/>
      <c r="K1131" s="667"/>
      <c r="L1131" s="649"/>
      <c r="M1131" s="667"/>
      <c r="N1131" s="667"/>
      <c r="O1131" s="731"/>
      <c r="P1131" s="667"/>
      <c r="Q1131" s="667"/>
      <c r="R1131" s="737"/>
    </row>
    <row r="1132" spans="1:18" s="723" customFormat="1" ht="14.25" customHeight="1" hidden="1">
      <c r="A1132" s="728">
        <v>4270</v>
      </c>
      <c r="B1132" s="995" t="s">
        <v>713</v>
      </c>
      <c r="C1132" s="666"/>
      <c r="D1132" s="643">
        <f t="shared" si="139"/>
        <v>0</v>
      </c>
      <c r="E1132" s="667">
        <f t="shared" si="140"/>
        <v>0</v>
      </c>
      <c r="F1132" s="1001" t="e">
        <f t="shared" si="138"/>
        <v>#DIV/0!</v>
      </c>
      <c r="G1132" s="666"/>
      <c r="H1132" s="643"/>
      <c r="I1132" s="644" t="e">
        <f t="shared" si="136"/>
        <v>#DIV/0!</v>
      </c>
      <c r="J1132" s="730"/>
      <c r="K1132" s="667"/>
      <c r="L1132" s="649"/>
      <c r="M1132" s="667"/>
      <c r="N1132" s="667"/>
      <c r="O1132" s="731"/>
      <c r="P1132" s="667"/>
      <c r="Q1132" s="667"/>
      <c r="R1132" s="737"/>
    </row>
    <row r="1133" spans="1:18" s="723" customFormat="1" ht="14.25" customHeight="1" hidden="1">
      <c r="A1133" s="728">
        <v>4280</v>
      </c>
      <c r="B1133" s="995" t="s">
        <v>805</v>
      </c>
      <c r="C1133" s="666"/>
      <c r="D1133" s="643">
        <f t="shared" si="139"/>
        <v>0</v>
      </c>
      <c r="E1133" s="667">
        <f>SUM(H1133+K1133+N1133+Q1133)</f>
        <v>0</v>
      </c>
      <c r="F1133" s="1001" t="e">
        <f>E1133/D1133*100</f>
        <v>#DIV/0!</v>
      </c>
      <c r="G1133" s="666"/>
      <c r="H1133" s="643"/>
      <c r="I1133" s="644" t="e">
        <f t="shared" si="136"/>
        <v>#DIV/0!</v>
      </c>
      <c r="J1133" s="730"/>
      <c r="K1133" s="667"/>
      <c r="L1133" s="649"/>
      <c r="M1133" s="667"/>
      <c r="N1133" s="667"/>
      <c r="O1133" s="731"/>
      <c r="P1133" s="667"/>
      <c r="Q1133" s="667"/>
      <c r="R1133" s="737"/>
    </row>
    <row r="1134" spans="1:18" s="723" customFormat="1" ht="49.5" customHeight="1">
      <c r="A1134" s="728">
        <v>4290</v>
      </c>
      <c r="B1134" s="995" t="s">
        <v>75</v>
      </c>
      <c r="C1134" s="666"/>
      <c r="D1134" s="643">
        <f t="shared" si="139"/>
        <v>85</v>
      </c>
      <c r="E1134" s="667">
        <f>SUM(H1134+K1134+N1134+Q1134)</f>
        <v>85</v>
      </c>
      <c r="F1134" s="1001">
        <f>E1134/D1134*100</f>
        <v>100</v>
      </c>
      <c r="G1134" s="666">
        <f>250-165</f>
        <v>85</v>
      </c>
      <c r="H1134" s="643">
        <v>85</v>
      </c>
      <c r="I1134" s="644">
        <f t="shared" si="136"/>
        <v>100</v>
      </c>
      <c r="J1134" s="730"/>
      <c r="K1134" s="667"/>
      <c r="L1134" s="649"/>
      <c r="M1134" s="667"/>
      <c r="N1134" s="667"/>
      <c r="O1134" s="731"/>
      <c r="P1134" s="667"/>
      <c r="Q1134" s="667"/>
      <c r="R1134" s="737"/>
    </row>
    <row r="1135" spans="1:18" s="723" customFormat="1" ht="14.25" customHeight="1">
      <c r="A1135" s="762">
        <v>4300</v>
      </c>
      <c r="B1135" s="1012" t="s">
        <v>806</v>
      </c>
      <c r="C1135" s="781">
        <v>6500</v>
      </c>
      <c r="D1135" s="765">
        <f t="shared" si="139"/>
        <v>2970</v>
      </c>
      <c r="E1135" s="785">
        <f t="shared" si="140"/>
        <v>2970</v>
      </c>
      <c r="F1135" s="1013">
        <f t="shared" si="138"/>
        <v>100</v>
      </c>
      <c r="G1135" s="781">
        <f>6500-3530</f>
        <v>2970</v>
      </c>
      <c r="H1135" s="765">
        <v>2970</v>
      </c>
      <c r="I1135" s="705">
        <f t="shared" si="136"/>
        <v>100</v>
      </c>
      <c r="J1135" s="782"/>
      <c r="K1135" s="785"/>
      <c r="L1135" s="768"/>
      <c r="M1135" s="785"/>
      <c r="N1135" s="785"/>
      <c r="O1135" s="786"/>
      <c r="P1135" s="785"/>
      <c r="Q1135" s="785"/>
      <c r="R1135" s="770"/>
    </row>
    <row r="1136" spans="1:18" s="723" customFormat="1" ht="48" hidden="1">
      <c r="A1136" s="829">
        <v>4360</v>
      </c>
      <c r="B1136" s="850" t="s">
        <v>808</v>
      </c>
      <c r="C1136" s="666"/>
      <c r="D1136" s="643">
        <f t="shared" si="139"/>
        <v>0</v>
      </c>
      <c r="E1136" s="667">
        <f t="shared" si="140"/>
        <v>0</v>
      </c>
      <c r="F1136" s="1001" t="e">
        <f t="shared" si="138"/>
        <v>#DIV/0!</v>
      </c>
      <c r="G1136" s="666"/>
      <c r="H1136" s="643"/>
      <c r="I1136" s="644" t="e">
        <f t="shared" si="136"/>
        <v>#DIV/0!</v>
      </c>
      <c r="J1136" s="730"/>
      <c r="K1136" s="667"/>
      <c r="L1136" s="649"/>
      <c r="M1136" s="667"/>
      <c r="N1136" s="667"/>
      <c r="O1136" s="731"/>
      <c r="P1136" s="667"/>
      <c r="Q1136" s="667"/>
      <c r="R1136" s="737"/>
    </row>
    <row r="1137" spans="1:18" s="723" customFormat="1" ht="48">
      <c r="A1137" s="829">
        <v>4370</v>
      </c>
      <c r="B1137" s="850" t="s">
        <v>916</v>
      </c>
      <c r="C1137" s="666">
        <v>1000</v>
      </c>
      <c r="D1137" s="643">
        <f t="shared" si="139"/>
        <v>1000</v>
      </c>
      <c r="E1137" s="667">
        <f t="shared" si="140"/>
        <v>957</v>
      </c>
      <c r="F1137" s="1001">
        <f t="shared" si="138"/>
        <v>95.7</v>
      </c>
      <c r="G1137" s="666">
        <v>1000</v>
      </c>
      <c r="H1137" s="643">
        <v>957</v>
      </c>
      <c r="I1137" s="644">
        <f t="shared" si="136"/>
        <v>95.7</v>
      </c>
      <c r="J1137" s="730"/>
      <c r="K1137" s="667"/>
      <c r="L1137" s="649"/>
      <c r="M1137" s="667"/>
      <c r="N1137" s="667"/>
      <c r="O1137" s="731"/>
      <c r="P1137" s="667"/>
      <c r="Q1137" s="667"/>
      <c r="R1137" s="737"/>
    </row>
    <row r="1138" spans="1:18" s="723" customFormat="1" ht="15.75" customHeight="1" hidden="1">
      <c r="A1138" s="728">
        <v>4410</v>
      </c>
      <c r="B1138" s="995" t="s">
        <v>689</v>
      </c>
      <c r="C1138" s="666"/>
      <c r="D1138" s="643">
        <f t="shared" si="139"/>
        <v>0</v>
      </c>
      <c r="E1138" s="667">
        <f t="shared" si="140"/>
        <v>0</v>
      </c>
      <c r="F1138" s="1001" t="e">
        <f t="shared" si="138"/>
        <v>#DIV/0!</v>
      </c>
      <c r="G1138" s="666"/>
      <c r="H1138" s="643"/>
      <c r="I1138" s="644" t="e">
        <f t="shared" si="136"/>
        <v>#DIV/0!</v>
      </c>
      <c r="J1138" s="730"/>
      <c r="K1138" s="667"/>
      <c r="L1138" s="649"/>
      <c r="M1138" s="667"/>
      <c r="N1138" s="667"/>
      <c r="O1138" s="731"/>
      <c r="P1138" s="667"/>
      <c r="Q1138" s="667"/>
      <c r="R1138" s="737"/>
    </row>
    <row r="1139" spans="1:18" s="723" customFormat="1" ht="15.75" customHeight="1">
      <c r="A1139" s="728">
        <v>4440</v>
      </c>
      <c r="B1139" s="818" t="s">
        <v>719</v>
      </c>
      <c r="C1139" s="666">
        <v>1300</v>
      </c>
      <c r="D1139" s="643">
        <f t="shared" si="139"/>
        <v>1300</v>
      </c>
      <c r="E1139" s="667">
        <f t="shared" si="140"/>
        <v>1300</v>
      </c>
      <c r="F1139" s="1001">
        <f t="shared" si="138"/>
        <v>100</v>
      </c>
      <c r="G1139" s="666">
        <v>1300</v>
      </c>
      <c r="H1139" s="643">
        <v>1300</v>
      </c>
      <c r="I1139" s="644">
        <f t="shared" si="136"/>
        <v>100</v>
      </c>
      <c r="J1139" s="730"/>
      <c r="K1139" s="667"/>
      <c r="L1139" s="649"/>
      <c r="M1139" s="667"/>
      <c r="N1139" s="667"/>
      <c r="O1139" s="731"/>
      <c r="P1139" s="667"/>
      <c r="Q1139" s="667"/>
      <c r="R1139" s="737"/>
    </row>
    <row r="1140" spans="1:18" s="723" customFormat="1" ht="15.75" customHeight="1">
      <c r="A1140" s="728">
        <v>4480</v>
      </c>
      <c r="B1140" s="995" t="s">
        <v>426</v>
      </c>
      <c r="C1140" s="666">
        <v>900</v>
      </c>
      <c r="D1140" s="643">
        <f t="shared" si="139"/>
        <v>900</v>
      </c>
      <c r="E1140" s="667">
        <f t="shared" si="140"/>
        <v>842</v>
      </c>
      <c r="F1140" s="1001">
        <f t="shared" si="138"/>
        <v>93.55555555555556</v>
      </c>
      <c r="G1140" s="666">
        <v>900</v>
      </c>
      <c r="H1140" s="643">
        <v>842</v>
      </c>
      <c r="I1140" s="699">
        <f t="shared" si="136"/>
        <v>93.55555555555556</v>
      </c>
      <c r="J1140" s="730"/>
      <c r="K1140" s="667"/>
      <c r="L1140" s="649"/>
      <c r="M1140" s="667"/>
      <c r="N1140" s="667"/>
      <c r="O1140" s="731"/>
      <c r="P1140" s="667"/>
      <c r="Q1140" s="667"/>
      <c r="R1140" s="737"/>
    </row>
    <row r="1141" spans="1:18" s="723" customFormat="1" ht="60">
      <c r="A1141" s="829">
        <v>4740</v>
      </c>
      <c r="B1141" s="850" t="s">
        <v>728</v>
      </c>
      <c r="C1141" s="666">
        <v>290</v>
      </c>
      <c r="D1141" s="643">
        <f t="shared" si="139"/>
        <v>0</v>
      </c>
      <c r="E1141" s="667">
        <f t="shared" si="140"/>
        <v>0</v>
      </c>
      <c r="F1141" s="1001"/>
      <c r="G1141" s="666">
        <f>290-290</f>
        <v>0</v>
      </c>
      <c r="H1141" s="643"/>
      <c r="I1141" s="699"/>
      <c r="J1141" s="730"/>
      <c r="K1141" s="667"/>
      <c r="L1141" s="649"/>
      <c r="M1141" s="667"/>
      <c r="N1141" s="667"/>
      <c r="O1141" s="731"/>
      <c r="P1141" s="667"/>
      <c r="Q1141" s="667"/>
      <c r="R1141" s="737"/>
    </row>
    <row r="1142" spans="1:18" s="723" customFormat="1" ht="36">
      <c r="A1142" s="874">
        <v>4750</v>
      </c>
      <c r="B1142" s="875" t="s">
        <v>814</v>
      </c>
      <c r="C1142" s="781">
        <v>300</v>
      </c>
      <c r="D1142" s="765">
        <f t="shared" si="139"/>
        <v>0</v>
      </c>
      <c r="E1142" s="785">
        <f t="shared" si="140"/>
        <v>0</v>
      </c>
      <c r="F1142" s="1013"/>
      <c r="G1142" s="781">
        <f>300-300</f>
        <v>0</v>
      </c>
      <c r="H1142" s="765"/>
      <c r="I1142" s="815"/>
      <c r="J1142" s="782"/>
      <c r="K1142" s="785"/>
      <c r="L1142" s="768"/>
      <c r="M1142" s="785"/>
      <c r="N1142" s="785"/>
      <c r="O1142" s="786"/>
      <c r="P1142" s="785"/>
      <c r="Q1142" s="785"/>
      <c r="R1142" s="770"/>
    </row>
    <row r="1143" spans="1:18" s="775" customFormat="1" ht="14.25" customHeight="1">
      <c r="A1143" s="832"/>
      <c r="B1143" s="1034" t="s">
        <v>76</v>
      </c>
      <c r="C1143" s="834">
        <f>SUM(C1144:C1165)</f>
        <v>229300</v>
      </c>
      <c r="D1143" s="727">
        <f t="shared" si="139"/>
        <v>237550</v>
      </c>
      <c r="E1143" s="674">
        <f t="shared" si="140"/>
        <v>175629</v>
      </c>
      <c r="F1143" s="1013">
        <f t="shared" si="138"/>
        <v>73.93348768680278</v>
      </c>
      <c r="G1143" s="834"/>
      <c r="H1143" s="727"/>
      <c r="I1143" s="815"/>
      <c r="J1143" s="835">
        <f>SUM(J1144:J1165)</f>
        <v>237550</v>
      </c>
      <c r="K1143" s="835">
        <f>SUM(K1144:K1165)</f>
        <v>175629</v>
      </c>
      <c r="L1143" s="665">
        <f>K1143/J1143*100</f>
        <v>73.93348768680278</v>
      </c>
      <c r="M1143" s="727"/>
      <c r="N1143" s="727"/>
      <c r="O1143" s="838"/>
      <c r="P1143" s="727"/>
      <c r="Q1143" s="727"/>
      <c r="R1143" s="839"/>
    </row>
    <row r="1144" spans="1:18" s="761" customFormat="1" ht="36" customHeight="1">
      <c r="A1144" s="829">
        <v>3020</v>
      </c>
      <c r="B1144" s="865" t="s">
        <v>800</v>
      </c>
      <c r="C1144" s="684">
        <v>200</v>
      </c>
      <c r="D1144" s="643">
        <f t="shared" si="139"/>
        <v>200</v>
      </c>
      <c r="E1144" s="667">
        <f>SUM(H1144+K1144+N1144+Q1144)</f>
        <v>15</v>
      </c>
      <c r="F1144" s="644">
        <f>E1144/D1144*100</f>
        <v>7.5</v>
      </c>
      <c r="G1144" s="697"/>
      <c r="H1144" s="643"/>
      <c r="I1144" s="699"/>
      <c r="J1144" s="648">
        <v>200</v>
      </c>
      <c r="K1144" s="648">
        <v>15</v>
      </c>
      <c r="L1144" s="647">
        <f>K1144/J1144*100</f>
        <v>7.5</v>
      </c>
      <c r="M1144" s="643"/>
      <c r="N1144" s="643"/>
      <c r="O1144" s="731"/>
      <c r="P1144" s="643"/>
      <c r="Q1144" s="643"/>
      <c r="R1144" s="737"/>
    </row>
    <row r="1145" spans="1:18" s="761" customFormat="1" ht="24">
      <c r="A1145" s="728">
        <v>4010</v>
      </c>
      <c r="B1145" s="995" t="s">
        <v>697</v>
      </c>
      <c r="C1145" s="697">
        <v>121500</v>
      </c>
      <c r="D1145" s="643">
        <f t="shared" si="139"/>
        <v>128750</v>
      </c>
      <c r="E1145" s="667">
        <f t="shared" si="140"/>
        <v>98779</v>
      </c>
      <c r="F1145" s="644">
        <f t="shared" si="138"/>
        <v>76.72155339805825</v>
      </c>
      <c r="G1145" s="697"/>
      <c r="H1145" s="643"/>
      <c r="I1145" s="699"/>
      <c r="J1145" s="697">
        <f>121500+9750-2500</f>
        <v>128750</v>
      </c>
      <c r="K1145" s="648">
        <v>98779</v>
      </c>
      <c r="L1145" s="647">
        <f>K1145/J1145*100</f>
        <v>76.72155339805825</v>
      </c>
      <c r="M1145" s="643"/>
      <c r="N1145" s="643"/>
      <c r="O1145" s="731"/>
      <c r="P1145" s="643"/>
      <c r="Q1145" s="643"/>
      <c r="R1145" s="737"/>
    </row>
    <row r="1146" spans="1:18" s="761" customFormat="1" ht="24">
      <c r="A1146" s="728">
        <v>4040</v>
      </c>
      <c r="B1146" s="995" t="s">
        <v>801</v>
      </c>
      <c r="C1146" s="697">
        <v>11300</v>
      </c>
      <c r="D1146" s="643">
        <f t="shared" si="139"/>
        <v>11300</v>
      </c>
      <c r="E1146" s="667">
        <f t="shared" si="140"/>
        <v>9869</v>
      </c>
      <c r="F1146" s="644">
        <f t="shared" si="138"/>
        <v>87.33628318584071</v>
      </c>
      <c r="G1146" s="697"/>
      <c r="H1146" s="643"/>
      <c r="I1146" s="699"/>
      <c r="J1146" s="697">
        <v>11300</v>
      </c>
      <c r="K1146" s="648">
        <v>9869</v>
      </c>
      <c r="L1146" s="647">
        <f aca="true" t="shared" si="141" ref="L1146:L1162">K1146/J1146*100</f>
        <v>87.33628318584071</v>
      </c>
      <c r="M1146" s="643"/>
      <c r="N1146" s="643"/>
      <c r="O1146" s="731"/>
      <c r="P1146" s="643"/>
      <c r="Q1146" s="643"/>
      <c r="R1146" s="737"/>
    </row>
    <row r="1147" spans="1:18" s="761" customFormat="1" ht="24">
      <c r="A1147" s="728">
        <v>4110</v>
      </c>
      <c r="B1147" s="995" t="s">
        <v>703</v>
      </c>
      <c r="C1147" s="697">
        <v>21300</v>
      </c>
      <c r="D1147" s="643">
        <f t="shared" si="139"/>
        <v>21300</v>
      </c>
      <c r="E1147" s="667">
        <f t="shared" si="140"/>
        <v>16949</v>
      </c>
      <c r="F1147" s="644">
        <f t="shared" si="138"/>
        <v>79.57276995305165</v>
      </c>
      <c r="G1147" s="697"/>
      <c r="H1147" s="643"/>
      <c r="I1147" s="699"/>
      <c r="J1147" s="697">
        <v>21300</v>
      </c>
      <c r="K1147" s="648">
        <v>16949</v>
      </c>
      <c r="L1147" s="647">
        <f t="shared" si="141"/>
        <v>79.57276995305165</v>
      </c>
      <c r="M1147" s="643"/>
      <c r="N1147" s="643"/>
      <c r="O1147" s="731"/>
      <c r="P1147" s="643"/>
      <c r="Q1147" s="643"/>
      <c r="R1147" s="737"/>
    </row>
    <row r="1148" spans="1:18" s="761" customFormat="1" ht="14.25" customHeight="1">
      <c r="A1148" s="728">
        <v>4120</v>
      </c>
      <c r="B1148" s="995" t="s">
        <v>847</v>
      </c>
      <c r="C1148" s="697">
        <v>3300</v>
      </c>
      <c r="D1148" s="643">
        <f t="shared" si="139"/>
        <v>3300</v>
      </c>
      <c r="E1148" s="667">
        <f t="shared" si="140"/>
        <v>2592</v>
      </c>
      <c r="F1148" s="644">
        <f>E1148/D1148*100</f>
        <v>78.54545454545455</v>
      </c>
      <c r="G1148" s="697"/>
      <c r="H1148" s="643"/>
      <c r="I1148" s="699"/>
      <c r="J1148" s="697">
        <v>3300</v>
      </c>
      <c r="K1148" s="648">
        <v>2592</v>
      </c>
      <c r="L1148" s="647">
        <f t="shared" si="141"/>
        <v>78.54545454545455</v>
      </c>
      <c r="M1148" s="643"/>
      <c r="N1148" s="643"/>
      <c r="O1148" s="731"/>
      <c r="P1148" s="643"/>
      <c r="Q1148" s="643"/>
      <c r="R1148" s="737"/>
    </row>
    <row r="1149" spans="1:18" s="761" customFormat="1" ht="24" hidden="1">
      <c r="A1149" s="728">
        <v>4170</v>
      </c>
      <c r="B1149" s="995" t="s">
        <v>742</v>
      </c>
      <c r="C1149" s="697"/>
      <c r="D1149" s="643">
        <f t="shared" si="139"/>
        <v>0</v>
      </c>
      <c r="E1149" s="667">
        <f>SUM(H1149+K1149+N1149+Q1149)</f>
        <v>0</v>
      </c>
      <c r="F1149" s="644" t="e">
        <f>E1149/D1149*100</f>
        <v>#DIV/0!</v>
      </c>
      <c r="G1149" s="697"/>
      <c r="H1149" s="643"/>
      <c r="I1149" s="699"/>
      <c r="J1149" s="697"/>
      <c r="K1149" s="648"/>
      <c r="L1149" s="647" t="e">
        <f t="shared" si="141"/>
        <v>#DIV/0!</v>
      </c>
      <c r="M1149" s="643"/>
      <c r="N1149" s="643"/>
      <c r="O1149" s="731"/>
      <c r="P1149" s="643"/>
      <c r="Q1149" s="643"/>
      <c r="R1149" s="737"/>
    </row>
    <row r="1150" spans="1:18" s="761" customFormat="1" ht="24">
      <c r="A1150" s="728">
        <v>4210</v>
      </c>
      <c r="B1150" s="995" t="s">
        <v>707</v>
      </c>
      <c r="C1150" s="697">
        <v>10400</v>
      </c>
      <c r="D1150" s="643">
        <f t="shared" si="139"/>
        <v>10400</v>
      </c>
      <c r="E1150" s="667">
        <f t="shared" si="140"/>
        <v>2046</v>
      </c>
      <c r="F1150" s="644">
        <f aca="true" t="shared" si="142" ref="F1150:F1193">E1150/D1150*100</f>
        <v>19.673076923076923</v>
      </c>
      <c r="G1150" s="697"/>
      <c r="H1150" s="643"/>
      <c r="I1150" s="699"/>
      <c r="J1150" s="697">
        <v>10400</v>
      </c>
      <c r="K1150" s="648">
        <v>2046</v>
      </c>
      <c r="L1150" s="647">
        <f t="shared" si="141"/>
        <v>19.673076923076923</v>
      </c>
      <c r="M1150" s="643"/>
      <c r="N1150" s="643"/>
      <c r="O1150" s="731"/>
      <c r="P1150" s="643"/>
      <c r="Q1150" s="643"/>
      <c r="R1150" s="737"/>
    </row>
    <row r="1151" spans="1:18" s="761" customFormat="1" ht="24">
      <c r="A1151" s="728">
        <v>4220</v>
      </c>
      <c r="B1151" s="995" t="s">
        <v>980</v>
      </c>
      <c r="C1151" s="697">
        <v>8700</v>
      </c>
      <c r="D1151" s="643">
        <f t="shared" si="139"/>
        <v>8700</v>
      </c>
      <c r="E1151" s="667">
        <f t="shared" si="140"/>
        <v>6193</v>
      </c>
      <c r="F1151" s="644">
        <f t="shared" si="142"/>
        <v>71.183908045977</v>
      </c>
      <c r="G1151" s="697"/>
      <c r="H1151" s="643"/>
      <c r="I1151" s="699"/>
      <c r="J1151" s="697">
        <v>8700</v>
      </c>
      <c r="K1151" s="648">
        <v>6193</v>
      </c>
      <c r="L1151" s="647">
        <f t="shared" si="141"/>
        <v>71.183908045977</v>
      </c>
      <c r="M1151" s="643"/>
      <c r="N1151" s="643"/>
      <c r="O1151" s="731"/>
      <c r="P1151" s="643"/>
      <c r="Q1151" s="643"/>
      <c r="R1151" s="737"/>
    </row>
    <row r="1152" spans="1:18" s="761" customFormat="1" ht="24">
      <c r="A1152" s="728">
        <v>4230</v>
      </c>
      <c r="B1152" s="995" t="s">
        <v>709</v>
      </c>
      <c r="C1152" s="697">
        <v>100</v>
      </c>
      <c r="D1152" s="643">
        <f t="shared" si="139"/>
        <v>100</v>
      </c>
      <c r="E1152" s="667">
        <f t="shared" si="140"/>
        <v>0</v>
      </c>
      <c r="F1152" s="644">
        <f t="shared" si="142"/>
        <v>0</v>
      </c>
      <c r="G1152" s="697"/>
      <c r="H1152" s="643"/>
      <c r="I1152" s="699"/>
      <c r="J1152" s="697">
        <v>100</v>
      </c>
      <c r="K1152" s="648"/>
      <c r="L1152" s="647">
        <f t="shared" si="141"/>
        <v>0</v>
      </c>
      <c r="M1152" s="643"/>
      <c r="N1152" s="643"/>
      <c r="O1152" s="731"/>
      <c r="P1152" s="643"/>
      <c r="Q1152" s="643"/>
      <c r="R1152" s="737"/>
    </row>
    <row r="1153" spans="1:18" s="761" customFormat="1" ht="14.25" customHeight="1">
      <c r="A1153" s="728">
        <v>4260</v>
      </c>
      <c r="B1153" s="995" t="s">
        <v>711</v>
      </c>
      <c r="C1153" s="697">
        <v>13100</v>
      </c>
      <c r="D1153" s="643">
        <f t="shared" si="139"/>
        <v>13100</v>
      </c>
      <c r="E1153" s="667">
        <f t="shared" si="140"/>
        <v>10256</v>
      </c>
      <c r="F1153" s="644">
        <f t="shared" si="142"/>
        <v>78.29007633587787</v>
      </c>
      <c r="G1153" s="697"/>
      <c r="H1153" s="643"/>
      <c r="I1153" s="699"/>
      <c r="J1153" s="697">
        <v>13100</v>
      </c>
      <c r="K1153" s="648">
        <v>10256</v>
      </c>
      <c r="L1153" s="647">
        <f t="shared" si="141"/>
        <v>78.29007633587787</v>
      </c>
      <c r="M1153" s="643"/>
      <c r="N1153" s="643"/>
      <c r="O1153" s="731"/>
      <c r="P1153" s="643"/>
      <c r="Q1153" s="643"/>
      <c r="R1153" s="737"/>
    </row>
    <row r="1154" spans="1:18" s="761" customFormat="1" ht="14.25" customHeight="1" hidden="1">
      <c r="A1154" s="728">
        <v>4270</v>
      </c>
      <c r="B1154" s="995" t="s">
        <v>713</v>
      </c>
      <c r="C1154" s="697"/>
      <c r="D1154" s="643">
        <f t="shared" si="139"/>
        <v>0</v>
      </c>
      <c r="E1154" s="667">
        <f>SUM(H1154+K1154+N1154+Q1154)</f>
        <v>0</v>
      </c>
      <c r="F1154" s="644" t="e">
        <f>E1154/D1154*100</f>
        <v>#DIV/0!</v>
      </c>
      <c r="G1154" s="697"/>
      <c r="H1154" s="643"/>
      <c r="I1154" s="699"/>
      <c r="J1154" s="697"/>
      <c r="K1154" s="648"/>
      <c r="L1154" s="647" t="e">
        <f t="shared" si="141"/>
        <v>#DIV/0!</v>
      </c>
      <c r="M1154" s="643"/>
      <c r="N1154" s="643"/>
      <c r="O1154" s="731"/>
      <c r="P1154" s="643"/>
      <c r="Q1154" s="643"/>
      <c r="R1154" s="737"/>
    </row>
    <row r="1155" spans="1:18" s="761" customFormat="1" ht="14.25" customHeight="1">
      <c r="A1155" s="728">
        <v>4280</v>
      </c>
      <c r="B1155" s="995" t="s">
        <v>805</v>
      </c>
      <c r="C1155" s="697">
        <v>200</v>
      </c>
      <c r="D1155" s="643">
        <f t="shared" si="139"/>
        <v>200</v>
      </c>
      <c r="E1155" s="667">
        <f>SUM(H1155+K1155+N1155+Q1155)</f>
        <v>0</v>
      </c>
      <c r="F1155" s="644">
        <f>E1155/D1155*100</f>
        <v>0</v>
      </c>
      <c r="G1155" s="697"/>
      <c r="H1155" s="643"/>
      <c r="I1155" s="699"/>
      <c r="J1155" s="697">
        <v>200</v>
      </c>
      <c r="K1155" s="648"/>
      <c r="L1155" s="647">
        <f t="shared" si="141"/>
        <v>0</v>
      </c>
      <c r="M1155" s="643"/>
      <c r="N1155" s="643"/>
      <c r="O1155" s="731"/>
      <c r="P1155" s="643"/>
      <c r="Q1155" s="643"/>
      <c r="R1155" s="737"/>
    </row>
    <row r="1156" spans="1:18" s="761" customFormat="1" ht="14.25" customHeight="1">
      <c r="A1156" s="728">
        <v>4300</v>
      </c>
      <c r="B1156" s="995" t="s">
        <v>806</v>
      </c>
      <c r="C1156" s="697">
        <v>11400</v>
      </c>
      <c r="D1156" s="643">
        <f t="shared" si="139"/>
        <v>11400</v>
      </c>
      <c r="E1156" s="667">
        <f t="shared" si="140"/>
        <v>6750</v>
      </c>
      <c r="F1156" s="644">
        <f t="shared" si="142"/>
        <v>59.210526315789465</v>
      </c>
      <c r="G1156" s="697"/>
      <c r="H1156" s="643"/>
      <c r="I1156" s="699"/>
      <c r="J1156" s="697">
        <v>11400</v>
      </c>
      <c r="K1156" s="648">
        <v>6750</v>
      </c>
      <c r="L1156" s="647">
        <f t="shared" si="141"/>
        <v>59.210526315789465</v>
      </c>
      <c r="M1156" s="643"/>
      <c r="N1156" s="643"/>
      <c r="O1156" s="731"/>
      <c r="P1156" s="643"/>
      <c r="Q1156" s="643"/>
      <c r="R1156" s="737"/>
    </row>
    <row r="1157" spans="1:18" s="761" customFormat="1" ht="24">
      <c r="A1157" s="728">
        <v>4350</v>
      </c>
      <c r="B1157" s="735" t="s">
        <v>807</v>
      </c>
      <c r="C1157" s="697">
        <v>1000</v>
      </c>
      <c r="D1157" s="643">
        <f t="shared" si="139"/>
        <v>1000</v>
      </c>
      <c r="E1157" s="667">
        <f>SUM(H1157+K1157+N1157+Q1157)</f>
        <v>774</v>
      </c>
      <c r="F1157" s="644">
        <f>E1157/D1157*100</f>
        <v>77.4</v>
      </c>
      <c r="G1157" s="697"/>
      <c r="H1157" s="643"/>
      <c r="I1157" s="699"/>
      <c r="J1157" s="697">
        <v>1000</v>
      </c>
      <c r="K1157" s="648">
        <v>774</v>
      </c>
      <c r="L1157" s="647">
        <f t="shared" si="141"/>
        <v>77.4</v>
      </c>
      <c r="M1157" s="643"/>
      <c r="N1157" s="643"/>
      <c r="O1157" s="731"/>
      <c r="P1157" s="643"/>
      <c r="Q1157" s="643"/>
      <c r="R1157" s="737"/>
    </row>
    <row r="1158" spans="1:18" s="761" customFormat="1" ht="48.75" thickBot="1">
      <c r="A1158" s="1042">
        <v>4370</v>
      </c>
      <c r="B1158" s="1043" t="s">
        <v>916</v>
      </c>
      <c r="C1158" s="1044">
        <v>2400</v>
      </c>
      <c r="D1158" s="701">
        <f t="shared" si="139"/>
        <v>2400</v>
      </c>
      <c r="E1158" s="902">
        <f>SUM(H1158+K1158+N1158+Q1158)</f>
        <v>1792</v>
      </c>
      <c r="F1158" s="987">
        <f>E1158/D1158*100</f>
        <v>74.66666666666667</v>
      </c>
      <c r="G1158" s="1044"/>
      <c r="H1158" s="701"/>
      <c r="I1158" s="1045"/>
      <c r="J1158" s="1044">
        <v>2400</v>
      </c>
      <c r="K1158" s="1046">
        <f>1793-1</f>
        <v>1792</v>
      </c>
      <c r="L1158" s="1047">
        <f t="shared" si="141"/>
        <v>74.66666666666667</v>
      </c>
      <c r="M1158" s="701"/>
      <c r="N1158" s="701"/>
      <c r="O1158" s="1048"/>
      <c r="P1158" s="701"/>
      <c r="Q1158" s="701"/>
      <c r="R1158" s="1049"/>
    </row>
    <row r="1159" spans="1:18" s="761" customFormat="1" ht="24.75" thickTop="1">
      <c r="A1159" s="829">
        <v>4400</v>
      </c>
      <c r="B1159" s="850" t="s">
        <v>810</v>
      </c>
      <c r="C1159" s="697">
        <v>17100</v>
      </c>
      <c r="D1159" s="643">
        <f t="shared" si="139"/>
        <v>17100</v>
      </c>
      <c r="E1159" s="667">
        <f>SUM(H1159+K1159+N1159+Q1159)</f>
        <v>12769</v>
      </c>
      <c r="F1159" s="644">
        <f>E1159/D1159*100</f>
        <v>74.67251461988305</v>
      </c>
      <c r="G1159" s="697"/>
      <c r="H1159" s="643"/>
      <c r="I1159" s="699"/>
      <c r="J1159" s="697">
        <v>17100</v>
      </c>
      <c r="K1159" s="648">
        <v>12769</v>
      </c>
      <c r="L1159" s="647">
        <f t="shared" si="141"/>
        <v>74.67251461988305</v>
      </c>
      <c r="M1159" s="643"/>
      <c r="N1159" s="643"/>
      <c r="O1159" s="731"/>
      <c r="P1159" s="643"/>
      <c r="Q1159" s="643"/>
      <c r="R1159" s="737"/>
    </row>
    <row r="1160" spans="1:18" s="761" customFormat="1" ht="24">
      <c r="A1160" s="829">
        <v>4410</v>
      </c>
      <c r="B1160" s="865" t="s">
        <v>689</v>
      </c>
      <c r="C1160" s="697">
        <v>200</v>
      </c>
      <c r="D1160" s="643">
        <f t="shared" si="139"/>
        <v>200</v>
      </c>
      <c r="E1160" s="667">
        <f>SUM(H1160+K1160+N1160+Q1160)</f>
        <v>136</v>
      </c>
      <c r="F1160" s="644">
        <f>E1160/D1160*100</f>
        <v>68</v>
      </c>
      <c r="G1160" s="697"/>
      <c r="H1160" s="643"/>
      <c r="I1160" s="699"/>
      <c r="J1160" s="697">
        <v>200</v>
      </c>
      <c r="K1160" s="648">
        <v>136</v>
      </c>
      <c r="L1160" s="647">
        <f t="shared" si="141"/>
        <v>68</v>
      </c>
      <c r="M1160" s="643"/>
      <c r="N1160" s="643"/>
      <c r="O1160" s="731"/>
      <c r="P1160" s="643"/>
      <c r="Q1160" s="643"/>
      <c r="R1160" s="737"/>
    </row>
    <row r="1161" spans="1:18" s="761" customFormat="1" ht="14.25" customHeight="1">
      <c r="A1161" s="728">
        <v>4430</v>
      </c>
      <c r="B1161" s="995" t="s">
        <v>717</v>
      </c>
      <c r="C1161" s="697">
        <v>100</v>
      </c>
      <c r="D1161" s="643">
        <f t="shared" si="139"/>
        <v>100</v>
      </c>
      <c r="E1161" s="667">
        <f t="shared" si="140"/>
        <v>0</v>
      </c>
      <c r="F1161" s="644">
        <f t="shared" si="142"/>
        <v>0</v>
      </c>
      <c r="G1161" s="697"/>
      <c r="H1161" s="643"/>
      <c r="I1161" s="699"/>
      <c r="J1161" s="697">
        <v>100</v>
      </c>
      <c r="K1161" s="648"/>
      <c r="L1161" s="647">
        <f t="shared" si="141"/>
        <v>0</v>
      </c>
      <c r="M1161" s="643"/>
      <c r="N1161" s="643"/>
      <c r="O1161" s="731"/>
      <c r="P1161" s="643"/>
      <c r="Q1161" s="643"/>
      <c r="R1161" s="737"/>
    </row>
    <row r="1162" spans="1:18" s="761" customFormat="1" ht="14.25" customHeight="1">
      <c r="A1162" s="728">
        <v>4440</v>
      </c>
      <c r="B1162" s="995" t="s">
        <v>719</v>
      </c>
      <c r="C1162" s="697">
        <v>4700</v>
      </c>
      <c r="D1162" s="643">
        <f t="shared" si="139"/>
        <v>4700</v>
      </c>
      <c r="E1162" s="667">
        <f t="shared" si="140"/>
        <v>4700</v>
      </c>
      <c r="F1162" s="644">
        <f t="shared" si="142"/>
        <v>100</v>
      </c>
      <c r="G1162" s="697"/>
      <c r="H1162" s="643"/>
      <c r="I1162" s="699"/>
      <c r="J1162" s="697">
        <v>4700</v>
      </c>
      <c r="K1162" s="648">
        <v>4700</v>
      </c>
      <c r="L1162" s="492">
        <f t="shared" si="141"/>
        <v>100</v>
      </c>
      <c r="M1162" s="643"/>
      <c r="N1162" s="643"/>
      <c r="O1162" s="731"/>
      <c r="P1162" s="643"/>
      <c r="Q1162" s="643"/>
      <c r="R1162" s="737"/>
    </row>
    <row r="1163" spans="1:18" s="761" customFormat="1" ht="13.5" customHeight="1">
      <c r="A1163" s="728">
        <v>4480</v>
      </c>
      <c r="B1163" s="818" t="s">
        <v>426</v>
      </c>
      <c r="C1163" s="697">
        <v>1100</v>
      </c>
      <c r="D1163" s="643">
        <f t="shared" si="139"/>
        <v>2100</v>
      </c>
      <c r="E1163" s="667">
        <f t="shared" si="140"/>
        <v>1542</v>
      </c>
      <c r="F1163" s="644">
        <f t="shared" si="142"/>
        <v>73.42857142857143</v>
      </c>
      <c r="G1163" s="697"/>
      <c r="H1163" s="643"/>
      <c r="I1163" s="699"/>
      <c r="J1163" s="697">
        <f>1100+1000</f>
        <v>2100</v>
      </c>
      <c r="K1163" s="648">
        <v>1542</v>
      </c>
      <c r="L1163" s="647">
        <f>K1163/J1163*100</f>
        <v>73.42857142857143</v>
      </c>
      <c r="M1163" s="643"/>
      <c r="N1163" s="643"/>
      <c r="O1163" s="731"/>
      <c r="P1163" s="643"/>
      <c r="Q1163" s="643"/>
      <c r="R1163" s="737"/>
    </row>
    <row r="1164" spans="1:18" s="761" customFormat="1" ht="60">
      <c r="A1164" s="829">
        <v>4740</v>
      </c>
      <c r="B1164" s="850" t="s">
        <v>728</v>
      </c>
      <c r="C1164" s="697">
        <v>600</v>
      </c>
      <c r="D1164" s="643">
        <f t="shared" si="139"/>
        <v>600</v>
      </c>
      <c r="E1164" s="667">
        <f>SUM(H1164+K1164+N1164+Q1164)</f>
        <v>13</v>
      </c>
      <c r="F1164" s="644">
        <f>E1164/D1164*100</f>
        <v>2.166666666666667</v>
      </c>
      <c r="G1164" s="697"/>
      <c r="H1164" s="643"/>
      <c r="I1164" s="699"/>
      <c r="J1164" s="697">
        <v>600</v>
      </c>
      <c r="K1164" s="648">
        <v>13</v>
      </c>
      <c r="L1164" s="647">
        <f>K1164/J1164*100</f>
        <v>2.166666666666667</v>
      </c>
      <c r="M1164" s="643"/>
      <c r="N1164" s="643"/>
      <c r="O1164" s="731"/>
      <c r="P1164" s="643"/>
      <c r="Q1164" s="643"/>
      <c r="R1164" s="737"/>
    </row>
    <row r="1165" spans="1:18" s="761" customFormat="1" ht="36">
      <c r="A1165" s="874">
        <v>4750</v>
      </c>
      <c r="B1165" s="875" t="s">
        <v>814</v>
      </c>
      <c r="C1165" s="764">
        <v>600</v>
      </c>
      <c r="D1165" s="765">
        <f t="shared" si="139"/>
        <v>600</v>
      </c>
      <c r="E1165" s="785">
        <f t="shared" si="140"/>
        <v>454</v>
      </c>
      <c r="F1165" s="705">
        <f t="shared" si="142"/>
        <v>75.66666666666667</v>
      </c>
      <c r="G1165" s="764"/>
      <c r="H1165" s="765"/>
      <c r="I1165" s="815"/>
      <c r="J1165" s="764">
        <v>600</v>
      </c>
      <c r="K1165" s="767">
        <v>454</v>
      </c>
      <c r="L1165" s="707">
        <f>K1165/J1165*100</f>
        <v>75.66666666666667</v>
      </c>
      <c r="M1165" s="765"/>
      <c r="N1165" s="765"/>
      <c r="O1165" s="786"/>
      <c r="P1165" s="765"/>
      <c r="Q1165" s="765"/>
      <c r="R1165" s="770"/>
    </row>
    <row r="1166" spans="1:18" s="775" customFormat="1" ht="24">
      <c r="A1166" s="787"/>
      <c r="B1166" s="1040" t="s">
        <v>77</v>
      </c>
      <c r="C1166" s="673">
        <f>SUM(C1167:C1186)</f>
        <v>231300</v>
      </c>
      <c r="D1166" s="674">
        <f t="shared" si="139"/>
        <v>236800</v>
      </c>
      <c r="E1166" s="674">
        <f>H1166+K1166+Q1166+N1166</f>
        <v>172125</v>
      </c>
      <c r="F1166" s="996">
        <f t="shared" si="142"/>
        <v>72.6879222972973</v>
      </c>
      <c r="G1166" s="673"/>
      <c r="H1166" s="674"/>
      <c r="I1166" s="857"/>
      <c r="J1166" s="677">
        <f>SUM(J1167:J1186)</f>
        <v>236800</v>
      </c>
      <c r="K1166" s="677">
        <f>SUM(K1167:K1186)</f>
        <v>172125</v>
      </c>
      <c r="L1166" s="665">
        <f>K1166/J1166*100</f>
        <v>72.6879222972973</v>
      </c>
      <c r="M1166" s="674"/>
      <c r="N1166" s="674"/>
      <c r="O1166" s="827"/>
      <c r="P1166" s="674"/>
      <c r="Q1166" s="674"/>
      <c r="R1166" s="828"/>
    </row>
    <row r="1167" spans="1:18" s="761" customFormat="1" ht="36" customHeight="1">
      <c r="A1167" s="829">
        <v>3020</v>
      </c>
      <c r="B1167" s="865" t="s">
        <v>800</v>
      </c>
      <c r="C1167" s="684">
        <v>200</v>
      </c>
      <c r="D1167" s="643">
        <f t="shared" si="139"/>
        <v>200</v>
      </c>
      <c r="E1167" s="667">
        <f>SUM(H1167+K1167+N1167+Q1167)</f>
        <v>20</v>
      </c>
      <c r="F1167" s="644">
        <f t="shared" si="142"/>
        <v>10</v>
      </c>
      <c r="G1167" s="697"/>
      <c r="H1167" s="643"/>
      <c r="I1167" s="699"/>
      <c r="J1167" s="648">
        <v>200</v>
      </c>
      <c r="K1167" s="648">
        <v>20</v>
      </c>
      <c r="L1167" s="647">
        <f>K1167/J1167*100</f>
        <v>10</v>
      </c>
      <c r="M1167" s="643"/>
      <c r="N1167" s="643"/>
      <c r="O1167" s="731"/>
      <c r="P1167" s="643"/>
      <c r="Q1167" s="643"/>
      <c r="R1167" s="737"/>
    </row>
    <row r="1168" spans="1:18" s="723" customFormat="1" ht="24.75" customHeight="1">
      <c r="A1168" s="728">
        <v>4010</v>
      </c>
      <c r="B1168" s="995" t="s">
        <v>697</v>
      </c>
      <c r="C1168" s="666">
        <v>121000</v>
      </c>
      <c r="D1168" s="643">
        <f t="shared" si="139"/>
        <v>127500</v>
      </c>
      <c r="E1168" s="643">
        <f>H1168+K1168+Q1168+N1168</f>
        <v>98778</v>
      </c>
      <c r="F1168" s="1001">
        <f t="shared" si="142"/>
        <v>77.47294117647058</v>
      </c>
      <c r="G1168" s="697"/>
      <c r="H1168" s="643"/>
      <c r="I1168" s="699"/>
      <c r="J1168" s="666">
        <f>121000+9000-2500</f>
        <v>127500</v>
      </c>
      <c r="K1168" s="667">
        <v>98778</v>
      </c>
      <c r="L1168" s="647">
        <f aca="true" t="shared" si="143" ref="L1168:L1186">K1168/J1168*100</f>
        <v>77.47294117647058</v>
      </c>
      <c r="M1168" s="667"/>
      <c r="N1168" s="667"/>
      <c r="O1168" s="731"/>
      <c r="P1168" s="667"/>
      <c r="Q1168" s="667"/>
      <c r="R1168" s="737"/>
    </row>
    <row r="1169" spans="1:18" s="723" customFormat="1" ht="27" customHeight="1">
      <c r="A1169" s="728">
        <v>4040</v>
      </c>
      <c r="B1169" s="995" t="s">
        <v>801</v>
      </c>
      <c r="C1169" s="666">
        <v>10500</v>
      </c>
      <c r="D1169" s="643">
        <f t="shared" si="139"/>
        <v>10500</v>
      </c>
      <c r="E1169" s="643">
        <f>H1169+K1169+Q1169+N1169</f>
        <v>9531</v>
      </c>
      <c r="F1169" s="1001">
        <f t="shared" si="142"/>
        <v>90.77142857142857</v>
      </c>
      <c r="G1169" s="697"/>
      <c r="H1169" s="643"/>
      <c r="I1169" s="699"/>
      <c r="J1169" s="666">
        <v>10500</v>
      </c>
      <c r="K1169" s="667">
        <v>9531</v>
      </c>
      <c r="L1169" s="647">
        <f t="shared" si="143"/>
        <v>90.77142857142857</v>
      </c>
      <c r="M1169" s="667"/>
      <c r="N1169" s="667"/>
      <c r="O1169" s="731"/>
      <c r="P1169" s="667"/>
      <c r="Q1169" s="667"/>
      <c r="R1169" s="737"/>
    </row>
    <row r="1170" spans="1:18" s="723" customFormat="1" ht="24" customHeight="1">
      <c r="A1170" s="728">
        <v>4110</v>
      </c>
      <c r="B1170" s="995" t="s">
        <v>703</v>
      </c>
      <c r="C1170" s="666">
        <v>20900</v>
      </c>
      <c r="D1170" s="643">
        <f t="shared" si="139"/>
        <v>20900</v>
      </c>
      <c r="E1170" s="643">
        <f t="shared" si="139"/>
        <v>17247</v>
      </c>
      <c r="F1170" s="1001">
        <f t="shared" si="142"/>
        <v>82.52153110047847</v>
      </c>
      <c r="G1170" s="697"/>
      <c r="H1170" s="643"/>
      <c r="I1170" s="699"/>
      <c r="J1170" s="666">
        <v>20900</v>
      </c>
      <c r="K1170" s="667">
        <v>17247</v>
      </c>
      <c r="L1170" s="647">
        <f t="shared" si="143"/>
        <v>82.52153110047847</v>
      </c>
      <c r="M1170" s="667"/>
      <c r="N1170" s="667"/>
      <c r="O1170" s="731"/>
      <c r="P1170" s="667"/>
      <c r="Q1170" s="667"/>
      <c r="R1170" s="737"/>
    </row>
    <row r="1171" spans="1:18" s="723" customFormat="1" ht="14.25" customHeight="1">
      <c r="A1171" s="728">
        <v>4120</v>
      </c>
      <c r="B1171" s="995" t="s">
        <v>847</v>
      </c>
      <c r="C1171" s="666">
        <v>3200</v>
      </c>
      <c r="D1171" s="643">
        <f t="shared" si="139"/>
        <v>3200</v>
      </c>
      <c r="E1171" s="643">
        <f t="shared" si="139"/>
        <v>2638</v>
      </c>
      <c r="F1171" s="1001">
        <f t="shared" si="142"/>
        <v>82.4375</v>
      </c>
      <c r="G1171" s="697"/>
      <c r="H1171" s="643"/>
      <c r="I1171" s="699"/>
      <c r="J1171" s="666">
        <v>3200</v>
      </c>
      <c r="K1171" s="667">
        <v>2638</v>
      </c>
      <c r="L1171" s="647">
        <f t="shared" si="143"/>
        <v>82.4375</v>
      </c>
      <c r="M1171" s="667"/>
      <c r="N1171" s="667"/>
      <c r="O1171" s="731"/>
      <c r="P1171" s="667"/>
      <c r="Q1171" s="667"/>
      <c r="R1171" s="737"/>
    </row>
    <row r="1172" spans="1:18" s="723" customFormat="1" ht="24" hidden="1">
      <c r="A1172" s="728">
        <v>4170</v>
      </c>
      <c r="B1172" s="995" t="s">
        <v>742</v>
      </c>
      <c r="C1172" s="666"/>
      <c r="D1172" s="643">
        <f>G1172+J1172+P1172+M1172</f>
        <v>0</v>
      </c>
      <c r="E1172" s="643">
        <f>H1172+K1172+Q1172+N1172</f>
        <v>0</v>
      </c>
      <c r="F1172" s="1001" t="e">
        <f>E1172/D1172*100</f>
        <v>#DIV/0!</v>
      </c>
      <c r="G1172" s="697"/>
      <c r="H1172" s="643"/>
      <c r="I1172" s="699"/>
      <c r="J1172" s="666"/>
      <c r="K1172" s="667"/>
      <c r="L1172" s="647"/>
      <c r="M1172" s="667"/>
      <c r="N1172" s="667"/>
      <c r="O1172" s="731"/>
      <c r="P1172" s="667"/>
      <c r="Q1172" s="667"/>
      <c r="R1172" s="737"/>
    </row>
    <row r="1173" spans="1:18" s="723" customFormat="1" ht="24" customHeight="1">
      <c r="A1173" s="728">
        <v>4210</v>
      </c>
      <c r="B1173" s="995" t="s">
        <v>707</v>
      </c>
      <c r="C1173" s="666">
        <v>5300</v>
      </c>
      <c r="D1173" s="643">
        <f t="shared" si="139"/>
        <v>5300</v>
      </c>
      <c r="E1173" s="643">
        <f t="shared" si="139"/>
        <v>589</v>
      </c>
      <c r="F1173" s="1001">
        <f t="shared" si="142"/>
        <v>11.11320754716981</v>
      </c>
      <c r="G1173" s="697"/>
      <c r="H1173" s="643"/>
      <c r="I1173" s="699"/>
      <c r="J1173" s="666">
        <v>5300</v>
      </c>
      <c r="K1173" s="667">
        <v>589</v>
      </c>
      <c r="L1173" s="647">
        <f t="shared" si="143"/>
        <v>11.11320754716981</v>
      </c>
      <c r="M1173" s="667"/>
      <c r="N1173" s="667"/>
      <c r="O1173" s="731"/>
      <c r="P1173" s="667"/>
      <c r="Q1173" s="667"/>
      <c r="R1173" s="737"/>
    </row>
    <row r="1174" spans="1:18" s="723" customFormat="1" ht="24">
      <c r="A1174" s="728">
        <v>4220</v>
      </c>
      <c r="B1174" s="995" t="s">
        <v>980</v>
      </c>
      <c r="C1174" s="666">
        <v>6100</v>
      </c>
      <c r="D1174" s="643">
        <f t="shared" si="139"/>
        <v>6100</v>
      </c>
      <c r="E1174" s="643">
        <f t="shared" si="139"/>
        <v>3349</v>
      </c>
      <c r="F1174" s="1001">
        <f t="shared" si="142"/>
        <v>54.9016393442623</v>
      </c>
      <c r="G1174" s="697"/>
      <c r="H1174" s="643"/>
      <c r="I1174" s="699"/>
      <c r="J1174" s="666">
        <v>6100</v>
      </c>
      <c r="K1174" s="667">
        <v>3349</v>
      </c>
      <c r="L1174" s="647">
        <f t="shared" si="143"/>
        <v>54.9016393442623</v>
      </c>
      <c r="M1174" s="667"/>
      <c r="N1174" s="667"/>
      <c r="O1174" s="731"/>
      <c r="P1174" s="667"/>
      <c r="Q1174" s="667"/>
      <c r="R1174" s="737"/>
    </row>
    <row r="1175" spans="1:18" s="723" customFormat="1" ht="23.25" customHeight="1">
      <c r="A1175" s="728">
        <v>4230</v>
      </c>
      <c r="B1175" s="995" t="s">
        <v>709</v>
      </c>
      <c r="C1175" s="666">
        <v>300</v>
      </c>
      <c r="D1175" s="643">
        <f t="shared" si="139"/>
        <v>300</v>
      </c>
      <c r="E1175" s="643">
        <f t="shared" si="139"/>
        <v>0</v>
      </c>
      <c r="F1175" s="1001">
        <f t="shared" si="142"/>
        <v>0</v>
      </c>
      <c r="G1175" s="697"/>
      <c r="H1175" s="643"/>
      <c r="I1175" s="699"/>
      <c r="J1175" s="666">
        <v>300</v>
      </c>
      <c r="K1175" s="667"/>
      <c r="L1175" s="647">
        <f t="shared" si="143"/>
        <v>0</v>
      </c>
      <c r="M1175" s="667"/>
      <c r="N1175" s="667"/>
      <c r="O1175" s="731"/>
      <c r="P1175" s="667"/>
      <c r="Q1175" s="667"/>
      <c r="R1175" s="737"/>
    </row>
    <row r="1176" spans="1:18" s="723" customFormat="1" ht="13.5" customHeight="1">
      <c r="A1176" s="728">
        <v>4260</v>
      </c>
      <c r="B1176" s="995" t="s">
        <v>711</v>
      </c>
      <c r="C1176" s="666">
        <v>33600</v>
      </c>
      <c r="D1176" s="643">
        <f t="shared" si="139"/>
        <v>21000</v>
      </c>
      <c r="E1176" s="643">
        <f t="shared" si="139"/>
        <v>11357</v>
      </c>
      <c r="F1176" s="1001">
        <f t="shared" si="142"/>
        <v>54.08095238095238</v>
      </c>
      <c r="G1176" s="697"/>
      <c r="H1176" s="643"/>
      <c r="I1176" s="699"/>
      <c r="J1176" s="666">
        <f>33600-12600</f>
        <v>21000</v>
      </c>
      <c r="K1176" s="667">
        <v>11357</v>
      </c>
      <c r="L1176" s="647">
        <f t="shared" si="143"/>
        <v>54.08095238095238</v>
      </c>
      <c r="M1176" s="667"/>
      <c r="N1176" s="667"/>
      <c r="O1176" s="731"/>
      <c r="P1176" s="667"/>
      <c r="Q1176" s="667"/>
      <c r="R1176" s="737"/>
    </row>
    <row r="1177" spans="1:18" s="761" customFormat="1" ht="14.25" customHeight="1">
      <c r="A1177" s="728">
        <v>4280</v>
      </c>
      <c r="B1177" s="995" t="s">
        <v>805</v>
      </c>
      <c r="C1177" s="697">
        <v>200</v>
      </c>
      <c r="D1177" s="643">
        <f t="shared" si="139"/>
        <v>200</v>
      </c>
      <c r="E1177" s="667">
        <f>SUM(H1177+K1177+N1177+Q1177)</f>
        <v>0</v>
      </c>
      <c r="F1177" s="644">
        <f t="shared" si="142"/>
        <v>0</v>
      </c>
      <c r="G1177" s="697"/>
      <c r="H1177" s="643"/>
      <c r="I1177" s="699"/>
      <c r="J1177" s="697">
        <v>200</v>
      </c>
      <c r="K1177" s="648"/>
      <c r="L1177" s="647">
        <f t="shared" si="143"/>
        <v>0</v>
      </c>
      <c r="M1177" s="643"/>
      <c r="N1177" s="643"/>
      <c r="O1177" s="731"/>
      <c r="P1177" s="643"/>
      <c r="Q1177" s="643"/>
      <c r="R1177" s="737"/>
    </row>
    <row r="1178" spans="1:18" s="723" customFormat="1" ht="13.5" customHeight="1">
      <c r="A1178" s="728">
        <v>4300</v>
      </c>
      <c r="B1178" s="995" t="s">
        <v>806</v>
      </c>
      <c r="C1178" s="666">
        <v>3200</v>
      </c>
      <c r="D1178" s="643">
        <f t="shared" si="139"/>
        <v>18100</v>
      </c>
      <c r="E1178" s="643">
        <f t="shared" si="139"/>
        <v>11643</v>
      </c>
      <c r="F1178" s="1001">
        <f t="shared" si="142"/>
        <v>64.32596685082873</v>
      </c>
      <c r="G1178" s="697"/>
      <c r="H1178" s="643"/>
      <c r="I1178" s="699"/>
      <c r="J1178" s="666">
        <f>3200+14900</f>
        <v>18100</v>
      </c>
      <c r="K1178" s="667">
        <v>11643</v>
      </c>
      <c r="L1178" s="647">
        <f t="shared" si="143"/>
        <v>64.32596685082873</v>
      </c>
      <c r="M1178" s="667"/>
      <c r="N1178" s="667"/>
      <c r="O1178" s="731"/>
      <c r="P1178" s="667"/>
      <c r="Q1178" s="667"/>
      <c r="R1178" s="737"/>
    </row>
    <row r="1179" spans="1:18" s="723" customFormat="1" ht="24">
      <c r="A1179" s="762">
        <v>4350</v>
      </c>
      <c r="B1179" s="1012" t="s">
        <v>807</v>
      </c>
      <c r="C1179" s="781">
        <v>700</v>
      </c>
      <c r="D1179" s="765">
        <f t="shared" si="139"/>
        <v>700</v>
      </c>
      <c r="E1179" s="765">
        <f t="shared" si="139"/>
        <v>478</v>
      </c>
      <c r="F1179" s="1013">
        <f t="shared" si="142"/>
        <v>68.28571428571428</v>
      </c>
      <c r="G1179" s="764"/>
      <c r="H1179" s="765"/>
      <c r="I1179" s="815"/>
      <c r="J1179" s="781">
        <v>700</v>
      </c>
      <c r="K1179" s="785">
        <v>478</v>
      </c>
      <c r="L1179" s="707">
        <f t="shared" si="143"/>
        <v>68.28571428571428</v>
      </c>
      <c r="M1179" s="785"/>
      <c r="N1179" s="785"/>
      <c r="O1179" s="786"/>
      <c r="P1179" s="785"/>
      <c r="Q1179" s="785"/>
      <c r="R1179" s="770"/>
    </row>
    <row r="1180" spans="1:18" s="723" customFormat="1" ht="48">
      <c r="A1180" s="829">
        <v>4370</v>
      </c>
      <c r="B1180" s="850" t="s">
        <v>916</v>
      </c>
      <c r="C1180" s="666">
        <v>1800</v>
      </c>
      <c r="D1180" s="643">
        <f aca="true" t="shared" si="144" ref="D1180:E1195">G1180+J1180+P1180+M1180</f>
        <v>1800</v>
      </c>
      <c r="E1180" s="643">
        <f t="shared" si="144"/>
        <v>1047</v>
      </c>
      <c r="F1180" s="1001">
        <f>E1180/D1180*100</f>
        <v>58.166666666666664</v>
      </c>
      <c r="G1180" s="697"/>
      <c r="H1180" s="643"/>
      <c r="I1180" s="699"/>
      <c r="J1180" s="666">
        <v>1800</v>
      </c>
      <c r="K1180" s="667">
        <v>1047</v>
      </c>
      <c r="L1180" s="647">
        <f t="shared" si="143"/>
        <v>58.166666666666664</v>
      </c>
      <c r="M1180" s="667"/>
      <c r="N1180" s="667"/>
      <c r="O1180" s="731"/>
      <c r="P1180" s="667"/>
      <c r="Q1180" s="667"/>
      <c r="R1180" s="737"/>
    </row>
    <row r="1181" spans="1:18" s="723" customFormat="1" ht="24">
      <c r="A1181" s="829">
        <v>4400</v>
      </c>
      <c r="B1181" s="850" t="s">
        <v>810</v>
      </c>
      <c r="C1181" s="666">
        <v>18000</v>
      </c>
      <c r="D1181" s="643">
        <f t="shared" si="144"/>
        <v>14700</v>
      </c>
      <c r="E1181" s="643">
        <f t="shared" si="144"/>
        <v>10980</v>
      </c>
      <c r="F1181" s="1001">
        <f>E1181/D1181*100</f>
        <v>74.6938775510204</v>
      </c>
      <c r="G1181" s="697"/>
      <c r="H1181" s="643"/>
      <c r="I1181" s="699"/>
      <c r="J1181" s="666">
        <f>18000-3300</f>
        <v>14700</v>
      </c>
      <c r="K1181" s="667">
        <v>10980</v>
      </c>
      <c r="L1181" s="647">
        <f t="shared" si="143"/>
        <v>74.6938775510204</v>
      </c>
      <c r="M1181" s="667"/>
      <c r="N1181" s="667"/>
      <c r="O1181" s="731"/>
      <c r="P1181" s="667"/>
      <c r="Q1181" s="667"/>
      <c r="R1181" s="737"/>
    </row>
    <row r="1182" spans="1:18" s="723" customFormat="1" ht="13.5" customHeight="1">
      <c r="A1182" s="728">
        <v>4410</v>
      </c>
      <c r="B1182" s="995" t="s">
        <v>689</v>
      </c>
      <c r="C1182" s="666">
        <v>1000</v>
      </c>
      <c r="D1182" s="643">
        <f t="shared" si="144"/>
        <v>1000</v>
      </c>
      <c r="E1182" s="643">
        <f t="shared" si="144"/>
        <v>258</v>
      </c>
      <c r="F1182" s="1001">
        <f>E1182/D1182*100</f>
        <v>25.8</v>
      </c>
      <c r="G1182" s="697"/>
      <c r="H1182" s="643"/>
      <c r="I1182" s="699"/>
      <c r="J1182" s="666">
        <v>1000</v>
      </c>
      <c r="K1182" s="667">
        <v>258</v>
      </c>
      <c r="L1182" s="647">
        <f t="shared" si="143"/>
        <v>25.8</v>
      </c>
      <c r="M1182" s="667"/>
      <c r="N1182" s="667"/>
      <c r="O1182" s="731"/>
      <c r="P1182" s="667"/>
      <c r="Q1182" s="667"/>
      <c r="R1182" s="737"/>
    </row>
    <row r="1183" spans="1:18" s="723" customFormat="1" ht="13.5" customHeight="1">
      <c r="A1183" s="728">
        <v>4430</v>
      </c>
      <c r="B1183" s="995" t="s">
        <v>717</v>
      </c>
      <c r="C1183" s="666">
        <v>100</v>
      </c>
      <c r="D1183" s="643">
        <f t="shared" si="144"/>
        <v>100</v>
      </c>
      <c r="E1183" s="643">
        <f t="shared" si="144"/>
        <v>0</v>
      </c>
      <c r="F1183" s="1001">
        <f t="shared" si="142"/>
        <v>0</v>
      </c>
      <c r="G1183" s="697"/>
      <c r="H1183" s="643"/>
      <c r="I1183" s="699"/>
      <c r="J1183" s="666">
        <v>100</v>
      </c>
      <c r="K1183" s="667"/>
      <c r="L1183" s="647">
        <f t="shared" si="143"/>
        <v>0</v>
      </c>
      <c r="M1183" s="667"/>
      <c r="N1183" s="667"/>
      <c r="O1183" s="731"/>
      <c r="P1183" s="667"/>
      <c r="Q1183" s="667"/>
      <c r="R1183" s="737"/>
    </row>
    <row r="1184" spans="1:18" s="723" customFormat="1" ht="13.5" customHeight="1">
      <c r="A1184" s="728">
        <v>4440</v>
      </c>
      <c r="B1184" s="995" t="s">
        <v>719</v>
      </c>
      <c r="C1184" s="666">
        <v>4200</v>
      </c>
      <c r="D1184" s="643">
        <f t="shared" si="144"/>
        <v>4200</v>
      </c>
      <c r="E1184" s="643">
        <f t="shared" si="144"/>
        <v>4200</v>
      </c>
      <c r="F1184" s="1001">
        <f t="shared" si="142"/>
        <v>100</v>
      </c>
      <c r="G1184" s="697"/>
      <c r="H1184" s="643"/>
      <c r="I1184" s="699"/>
      <c r="J1184" s="666">
        <v>4200</v>
      </c>
      <c r="K1184" s="667">
        <v>4200</v>
      </c>
      <c r="L1184" s="492">
        <f t="shared" si="143"/>
        <v>100</v>
      </c>
      <c r="M1184" s="667"/>
      <c r="N1184" s="667"/>
      <c r="O1184" s="731"/>
      <c r="P1184" s="667"/>
      <c r="Q1184" s="667"/>
      <c r="R1184" s="737"/>
    </row>
    <row r="1185" spans="1:18" s="723" customFormat="1" ht="60">
      <c r="A1185" s="829">
        <v>4740</v>
      </c>
      <c r="B1185" s="850" t="s">
        <v>728</v>
      </c>
      <c r="C1185" s="730">
        <v>500</v>
      </c>
      <c r="D1185" s="643">
        <f t="shared" si="144"/>
        <v>500</v>
      </c>
      <c r="E1185" s="643">
        <f t="shared" si="144"/>
        <v>10</v>
      </c>
      <c r="F1185" s="1001">
        <f>E1185/D1185*100</f>
        <v>2</v>
      </c>
      <c r="G1185" s="697"/>
      <c r="H1185" s="643"/>
      <c r="I1185" s="699"/>
      <c r="J1185" s="730">
        <v>500</v>
      </c>
      <c r="K1185" s="667">
        <v>10</v>
      </c>
      <c r="L1185" s="647">
        <f t="shared" si="143"/>
        <v>2</v>
      </c>
      <c r="M1185" s="667"/>
      <c r="N1185" s="667"/>
      <c r="O1185" s="731"/>
      <c r="P1185" s="667"/>
      <c r="Q1185" s="667"/>
      <c r="R1185" s="737"/>
    </row>
    <row r="1186" spans="1:18" s="723" customFormat="1" ht="36">
      <c r="A1186" s="874">
        <v>4750</v>
      </c>
      <c r="B1186" s="875" t="s">
        <v>814</v>
      </c>
      <c r="C1186" s="782">
        <v>500</v>
      </c>
      <c r="D1186" s="643">
        <f t="shared" si="144"/>
        <v>500</v>
      </c>
      <c r="E1186" s="643">
        <f t="shared" si="144"/>
        <v>0</v>
      </c>
      <c r="F1186" s="1001">
        <f>E1186/D1186*100</f>
        <v>0</v>
      </c>
      <c r="G1186" s="764"/>
      <c r="H1186" s="765"/>
      <c r="I1186" s="699"/>
      <c r="J1186" s="782">
        <v>500</v>
      </c>
      <c r="K1186" s="785"/>
      <c r="L1186" s="647">
        <f t="shared" si="143"/>
        <v>0</v>
      </c>
      <c r="M1186" s="785"/>
      <c r="N1186" s="785"/>
      <c r="O1186" s="786"/>
      <c r="P1186" s="785"/>
      <c r="Q1186" s="785"/>
      <c r="R1186" s="770"/>
    </row>
    <row r="1187" spans="1:18" s="723" customFormat="1" ht="15.75" customHeight="1">
      <c r="A1187" s="724">
        <v>85204</v>
      </c>
      <c r="B1187" s="994" t="s">
        <v>550</v>
      </c>
      <c r="C1187" s="726">
        <f>SUM(C1188:C1194)</f>
        <v>2625000</v>
      </c>
      <c r="D1187" s="674">
        <f t="shared" si="144"/>
        <v>2920705</v>
      </c>
      <c r="E1187" s="657">
        <f t="shared" si="144"/>
        <v>2139116</v>
      </c>
      <c r="F1187" s="996">
        <f t="shared" si="142"/>
        <v>73.23971438402714</v>
      </c>
      <c r="G1187" s="673"/>
      <c r="H1187" s="674"/>
      <c r="I1187" s="842"/>
      <c r="J1187" s="662"/>
      <c r="K1187" s="657"/>
      <c r="L1187" s="663"/>
      <c r="M1187" s="657">
        <f>SUM(M1188:M1194)</f>
        <v>2920705</v>
      </c>
      <c r="N1187" s="657">
        <f>SUM(N1188:N1194)</f>
        <v>2139116</v>
      </c>
      <c r="O1187" s="665">
        <f>N1187/M1187*100</f>
        <v>73.23971438402714</v>
      </c>
      <c r="P1187" s="657"/>
      <c r="Q1187" s="657"/>
      <c r="R1187" s="842"/>
    </row>
    <row r="1188" spans="1:18" s="761" customFormat="1" ht="72">
      <c r="A1188" s="829">
        <v>2320</v>
      </c>
      <c r="B1188" s="1038" t="s">
        <v>861</v>
      </c>
      <c r="C1188" s="697">
        <v>120000</v>
      </c>
      <c r="D1188" s="643">
        <f t="shared" si="144"/>
        <v>120000</v>
      </c>
      <c r="E1188" s="667">
        <f aca="true" t="shared" si="145" ref="E1188:E1217">SUM(H1188+K1188+N1188+Q1188)</f>
        <v>104811</v>
      </c>
      <c r="F1188" s="1001">
        <f t="shared" si="142"/>
        <v>87.3425</v>
      </c>
      <c r="G1188" s="697"/>
      <c r="H1188" s="643"/>
      <c r="I1188" s="737"/>
      <c r="J1188" s="648"/>
      <c r="K1188" s="643"/>
      <c r="L1188" s="649"/>
      <c r="M1188" s="697">
        <v>120000</v>
      </c>
      <c r="N1188" s="686">
        <v>104811</v>
      </c>
      <c r="O1188" s="647">
        <f aca="true" t="shared" si="146" ref="O1188:O1194">N1188/M1188*100</f>
        <v>87.3425</v>
      </c>
      <c r="P1188" s="643"/>
      <c r="Q1188" s="643"/>
      <c r="R1188" s="737"/>
    </row>
    <row r="1189" spans="1:18" s="723" customFormat="1" ht="13.5" customHeight="1">
      <c r="A1189" s="728">
        <v>3110</v>
      </c>
      <c r="B1189" s="995" t="s">
        <v>1024</v>
      </c>
      <c r="C1189" s="666">
        <v>2294000</v>
      </c>
      <c r="D1189" s="643">
        <f t="shared" si="144"/>
        <v>2427799</v>
      </c>
      <c r="E1189" s="667">
        <f t="shared" si="145"/>
        <v>1776918</v>
      </c>
      <c r="F1189" s="1001">
        <f t="shared" si="142"/>
        <v>73.1904906460543</v>
      </c>
      <c r="G1189" s="697"/>
      <c r="H1189" s="643"/>
      <c r="I1189" s="737"/>
      <c r="J1189" s="730"/>
      <c r="K1189" s="667"/>
      <c r="L1189" s="649"/>
      <c r="M1189" s="666">
        <f>2294000+93672+40127</f>
        <v>2427799</v>
      </c>
      <c r="N1189" s="667">
        <v>1776918</v>
      </c>
      <c r="O1189" s="647">
        <f t="shared" si="146"/>
        <v>73.1904906460543</v>
      </c>
      <c r="P1189" s="667"/>
      <c r="Q1189" s="667"/>
      <c r="R1189" s="737"/>
    </row>
    <row r="1190" spans="1:18" s="723" customFormat="1" ht="27" customHeight="1">
      <c r="A1190" s="728">
        <v>4110</v>
      </c>
      <c r="B1190" s="995" t="s">
        <v>703</v>
      </c>
      <c r="C1190" s="666">
        <v>36500</v>
      </c>
      <c r="D1190" s="643">
        <f t="shared" si="144"/>
        <v>52607</v>
      </c>
      <c r="E1190" s="667">
        <f t="shared" si="145"/>
        <v>31446</v>
      </c>
      <c r="F1190" s="1001">
        <f t="shared" si="142"/>
        <v>59.77531507213869</v>
      </c>
      <c r="G1190" s="697"/>
      <c r="H1190" s="643"/>
      <c r="I1190" s="737"/>
      <c r="J1190" s="730"/>
      <c r="K1190" s="667"/>
      <c r="L1190" s="649"/>
      <c r="M1190" s="666">
        <f>36500+13000+3107</f>
        <v>52607</v>
      </c>
      <c r="N1190" s="667">
        <v>31446</v>
      </c>
      <c r="O1190" s="647">
        <f t="shared" si="146"/>
        <v>59.77531507213869</v>
      </c>
      <c r="P1190" s="667"/>
      <c r="Q1190" s="667"/>
      <c r="R1190" s="737"/>
    </row>
    <row r="1191" spans="1:18" s="723" customFormat="1" ht="15" customHeight="1">
      <c r="A1191" s="728">
        <v>4120</v>
      </c>
      <c r="B1191" s="995" t="s">
        <v>851</v>
      </c>
      <c r="C1191" s="666">
        <v>5500</v>
      </c>
      <c r="D1191" s="643">
        <f t="shared" si="144"/>
        <v>8034</v>
      </c>
      <c r="E1191" s="667">
        <f t="shared" si="145"/>
        <v>5403</v>
      </c>
      <c r="F1191" s="1001">
        <f t="shared" si="142"/>
        <v>67.25168035847648</v>
      </c>
      <c r="G1191" s="697"/>
      <c r="H1191" s="643"/>
      <c r="I1191" s="737"/>
      <c r="J1191" s="730"/>
      <c r="K1191" s="667"/>
      <c r="L1191" s="649"/>
      <c r="M1191" s="666">
        <f>5500+2000+534</f>
        <v>8034</v>
      </c>
      <c r="N1191" s="667">
        <v>5403</v>
      </c>
      <c r="O1191" s="647">
        <f t="shared" si="146"/>
        <v>67.25168035847648</v>
      </c>
      <c r="P1191" s="667"/>
      <c r="Q1191" s="667"/>
      <c r="R1191" s="737"/>
    </row>
    <row r="1192" spans="1:18" s="723" customFormat="1" ht="24">
      <c r="A1192" s="728">
        <v>4170</v>
      </c>
      <c r="B1192" s="995" t="s">
        <v>742</v>
      </c>
      <c r="C1192" s="666">
        <v>169000</v>
      </c>
      <c r="D1192" s="643">
        <f t="shared" si="144"/>
        <v>312240</v>
      </c>
      <c r="E1192" s="667">
        <f t="shared" si="145"/>
        <v>220515</v>
      </c>
      <c r="F1192" s="644">
        <f t="shared" si="142"/>
        <v>70.62355880092237</v>
      </c>
      <c r="G1192" s="697"/>
      <c r="H1192" s="643"/>
      <c r="I1192" s="737"/>
      <c r="J1192" s="730"/>
      <c r="K1192" s="667"/>
      <c r="L1192" s="649"/>
      <c r="M1192" s="666">
        <f>169000+85000+36456+21784</f>
        <v>312240</v>
      </c>
      <c r="N1192" s="667">
        <v>220515</v>
      </c>
      <c r="O1192" s="647">
        <f t="shared" si="146"/>
        <v>70.62355880092237</v>
      </c>
      <c r="P1192" s="667"/>
      <c r="Q1192" s="667"/>
      <c r="R1192" s="737"/>
    </row>
    <row r="1193" spans="1:18" s="723" customFormat="1" ht="12.75">
      <c r="A1193" s="728">
        <v>4580</v>
      </c>
      <c r="B1193" s="818" t="s">
        <v>412</v>
      </c>
      <c r="C1193" s="666"/>
      <c r="D1193" s="765">
        <f t="shared" si="144"/>
        <v>25</v>
      </c>
      <c r="E1193" s="785">
        <f t="shared" si="145"/>
        <v>23</v>
      </c>
      <c r="F1193" s="766">
        <f t="shared" si="142"/>
        <v>92</v>
      </c>
      <c r="G1193" s="697"/>
      <c r="H1193" s="643"/>
      <c r="I1193" s="737"/>
      <c r="J1193" s="730"/>
      <c r="K1193" s="667"/>
      <c r="L1193" s="649"/>
      <c r="M1193" s="666">
        <f>30-5</f>
        <v>25</v>
      </c>
      <c r="N1193" s="667">
        <v>23</v>
      </c>
      <c r="O1193" s="647">
        <f t="shared" si="146"/>
        <v>92</v>
      </c>
      <c r="P1193" s="667"/>
      <c r="Q1193" s="667"/>
      <c r="R1193" s="737"/>
    </row>
    <row r="1194" spans="1:18" s="723" customFormat="1" ht="24" hidden="1">
      <c r="A1194" s="762">
        <v>4330</v>
      </c>
      <c r="B1194" s="1012" t="s">
        <v>71</v>
      </c>
      <c r="C1194" s="781"/>
      <c r="D1194" s="765">
        <f t="shared" si="144"/>
        <v>0</v>
      </c>
      <c r="E1194" s="785">
        <f t="shared" si="145"/>
        <v>0</v>
      </c>
      <c r="F1194" s="1050" t="e">
        <f>E1194/D1194*100</f>
        <v>#DIV/0!</v>
      </c>
      <c r="G1194" s="764"/>
      <c r="H1194" s="765"/>
      <c r="I1194" s="770"/>
      <c r="J1194" s="782"/>
      <c r="K1194" s="785"/>
      <c r="L1194" s="768"/>
      <c r="M1194" s="781"/>
      <c r="N1194" s="785"/>
      <c r="O1194" s="647" t="e">
        <f t="shared" si="146"/>
        <v>#DIV/0!</v>
      </c>
      <c r="P1194" s="785"/>
      <c r="Q1194" s="785"/>
      <c r="R1194" s="770"/>
    </row>
    <row r="1195" spans="1:18" ht="84">
      <c r="A1195" s="724">
        <v>85212</v>
      </c>
      <c r="B1195" s="994" t="s">
        <v>552</v>
      </c>
      <c r="C1195" s="726">
        <f>SUM(C1196:C1217)</f>
        <v>17550000</v>
      </c>
      <c r="D1195" s="674">
        <f t="shared" si="144"/>
        <v>18350750</v>
      </c>
      <c r="E1195" s="674">
        <f t="shared" si="145"/>
        <v>12440770</v>
      </c>
      <c r="F1195" s="1051">
        <f aca="true" t="shared" si="147" ref="F1195:F1223">E1195/D1195*100</f>
        <v>67.79434083075624</v>
      </c>
      <c r="G1195" s="726">
        <f>SUM(G1196:G1217)</f>
        <v>194000</v>
      </c>
      <c r="H1195" s="657">
        <f>SUM(H1196:H1217)</f>
        <v>19561</v>
      </c>
      <c r="I1195" s="857">
        <f>H1195/G1195*100</f>
        <v>10.08298969072165</v>
      </c>
      <c r="J1195" s="662">
        <f>SUM(J1196:J1217)</f>
        <v>18156750</v>
      </c>
      <c r="K1195" s="657">
        <f>SUM(K1196:K1217)</f>
        <v>12421209</v>
      </c>
      <c r="L1195" s="696">
        <f>K1195/J1195*100</f>
        <v>68.41097112644057</v>
      </c>
      <c r="M1195" s="657"/>
      <c r="N1195" s="657"/>
      <c r="O1195" s="827"/>
      <c r="P1195" s="657"/>
      <c r="Q1195" s="657"/>
      <c r="R1195" s="828"/>
    </row>
    <row r="1196" spans="1:18" s="723" customFormat="1" ht="36">
      <c r="A1196" s="728">
        <v>3020</v>
      </c>
      <c r="B1196" s="995" t="s">
        <v>800</v>
      </c>
      <c r="C1196" s="670">
        <v>2000</v>
      </c>
      <c r="D1196" s="685">
        <f aca="true" t="shared" si="148" ref="D1196:E1226">G1196+J1196+P1196+M1196</f>
        <v>2000</v>
      </c>
      <c r="E1196" s="686">
        <f t="shared" si="145"/>
        <v>837</v>
      </c>
      <c r="F1196" s="758">
        <f t="shared" si="147"/>
        <v>41.85</v>
      </c>
      <c r="G1196" s="670"/>
      <c r="H1196" s="686"/>
      <c r="I1196" s="694"/>
      <c r="J1196" s="670">
        <v>2000</v>
      </c>
      <c r="K1196" s="686">
        <v>837</v>
      </c>
      <c r="L1196" s="396">
        <f>K1196/J1196*100</f>
        <v>41.85</v>
      </c>
      <c r="M1196" s="686"/>
      <c r="N1196" s="686"/>
      <c r="O1196" s="779"/>
      <c r="P1196" s="686"/>
      <c r="Q1196" s="686"/>
      <c r="R1196" s="760"/>
    </row>
    <row r="1197" spans="1:18" s="723" customFormat="1" ht="12.75">
      <c r="A1197" s="709">
        <v>3110</v>
      </c>
      <c r="B1197" s="1005" t="s">
        <v>1024</v>
      </c>
      <c r="C1197" s="670">
        <v>16655300</v>
      </c>
      <c r="D1197" s="685">
        <f t="shared" si="148"/>
        <v>16655300</v>
      </c>
      <c r="E1197" s="686">
        <f>SUM(H1197+K1197+N1197+Q1197)</f>
        <v>11789914</v>
      </c>
      <c r="F1197" s="758">
        <f>E1197/D1197*100</f>
        <v>70.78776125317466</v>
      </c>
      <c r="G1197" s="670"/>
      <c r="H1197" s="686"/>
      <c r="I1197" s="694"/>
      <c r="J1197" s="670">
        <v>16655300</v>
      </c>
      <c r="K1197" s="777">
        <v>11789914</v>
      </c>
      <c r="L1197" s="1052">
        <f>K1197/J1197*100</f>
        <v>70.78776125317466</v>
      </c>
      <c r="M1197" s="686"/>
      <c r="N1197" s="686"/>
      <c r="O1197" s="779"/>
      <c r="P1197" s="686"/>
      <c r="Q1197" s="686"/>
      <c r="R1197" s="760"/>
    </row>
    <row r="1198" spans="1:18" s="723" customFormat="1" ht="24">
      <c r="A1198" s="728">
        <v>4010</v>
      </c>
      <c r="B1198" s="995" t="s">
        <v>697</v>
      </c>
      <c r="C1198" s="666">
        <v>492500</v>
      </c>
      <c r="D1198" s="643">
        <f t="shared" si="148"/>
        <v>492500</v>
      </c>
      <c r="E1198" s="667">
        <f t="shared" si="145"/>
        <v>331579</v>
      </c>
      <c r="F1198" s="492">
        <f t="shared" si="147"/>
        <v>67.32568527918782</v>
      </c>
      <c r="G1198" s="666">
        <v>158000</v>
      </c>
      <c r="H1198" s="667"/>
      <c r="I1198" s="644">
        <f>H1198/G1198*100</f>
        <v>0</v>
      </c>
      <c r="J1198" s="666">
        <v>334500</v>
      </c>
      <c r="K1198" s="730">
        <v>331579</v>
      </c>
      <c r="L1198" s="396">
        <f>K1198/J1198*100</f>
        <v>99.12675635276533</v>
      </c>
      <c r="M1198" s="667"/>
      <c r="N1198" s="667"/>
      <c r="O1198" s="731"/>
      <c r="P1198" s="667"/>
      <c r="Q1198" s="667"/>
      <c r="R1198" s="737"/>
    </row>
    <row r="1199" spans="1:18" s="723" customFormat="1" ht="24">
      <c r="A1199" s="728">
        <v>4040</v>
      </c>
      <c r="B1199" s="995" t="s">
        <v>78</v>
      </c>
      <c r="C1199" s="666">
        <v>41900</v>
      </c>
      <c r="D1199" s="643">
        <f t="shared" si="148"/>
        <v>28700</v>
      </c>
      <c r="E1199" s="667">
        <f t="shared" si="145"/>
        <v>28697</v>
      </c>
      <c r="F1199" s="492">
        <f t="shared" si="147"/>
        <v>99.98954703832753</v>
      </c>
      <c r="G1199" s="666"/>
      <c r="H1199" s="667"/>
      <c r="I1199" s="699"/>
      <c r="J1199" s="666">
        <f>41900-13200</f>
        <v>28700</v>
      </c>
      <c r="K1199" s="730">
        <v>28697</v>
      </c>
      <c r="L1199" s="396">
        <f aca="true" t="shared" si="149" ref="L1199:L1223">K1199/J1199*100</f>
        <v>99.98954703832753</v>
      </c>
      <c r="M1199" s="667"/>
      <c r="N1199" s="667"/>
      <c r="O1199" s="731"/>
      <c r="P1199" s="667"/>
      <c r="Q1199" s="667"/>
      <c r="R1199" s="737"/>
    </row>
    <row r="1200" spans="1:18" s="723" customFormat="1" ht="24">
      <c r="A1200" s="728">
        <v>4110</v>
      </c>
      <c r="B1200" s="995" t="s">
        <v>703</v>
      </c>
      <c r="C1200" s="666">
        <v>204800</v>
      </c>
      <c r="D1200" s="643">
        <f t="shared" si="148"/>
        <v>220820</v>
      </c>
      <c r="E1200" s="667">
        <f t="shared" si="145"/>
        <v>171085</v>
      </c>
      <c r="F1200" s="492">
        <f t="shared" si="147"/>
        <v>77.47713069468345</v>
      </c>
      <c r="G1200" s="666">
        <v>28100</v>
      </c>
      <c r="H1200" s="667">
        <v>18595</v>
      </c>
      <c r="I1200" s="699">
        <f>H1200/G1200*100</f>
        <v>66.17437722419929</v>
      </c>
      <c r="J1200" s="666">
        <f>176700+16020</f>
        <v>192720</v>
      </c>
      <c r="K1200" s="730">
        <f>152491-1</f>
        <v>152490</v>
      </c>
      <c r="L1200" s="396">
        <f t="shared" si="149"/>
        <v>79.12515566625156</v>
      </c>
      <c r="M1200" s="667"/>
      <c r="N1200" s="667"/>
      <c r="O1200" s="731"/>
      <c r="P1200" s="667"/>
      <c r="Q1200" s="667"/>
      <c r="R1200" s="737"/>
    </row>
    <row r="1201" spans="1:18" s="723" customFormat="1" ht="12.75">
      <c r="A1201" s="728">
        <v>4120</v>
      </c>
      <c r="B1201" s="995" t="s">
        <v>847</v>
      </c>
      <c r="C1201" s="666">
        <v>10900</v>
      </c>
      <c r="D1201" s="643">
        <f t="shared" si="148"/>
        <v>13350</v>
      </c>
      <c r="E1201" s="667">
        <f t="shared" si="145"/>
        <v>8158</v>
      </c>
      <c r="F1201" s="492">
        <f t="shared" si="147"/>
        <v>61.10861423220973</v>
      </c>
      <c r="G1201" s="666">
        <v>3900</v>
      </c>
      <c r="H1201" s="667">
        <v>966</v>
      </c>
      <c r="I1201" s="699">
        <f>H1201/G1201*100</f>
        <v>24.76923076923077</v>
      </c>
      <c r="J1201" s="666">
        <f>7000+2450</f>
        <v>9450</v>
      </c>
      <c r="K1201" s="730">
        <v>7192</v>
      </c>
      <c r="L1201" s="396">
        <f t="shared" si="149"/>
        <v>76.10582010582011</v>
      </c>
      <c r="M1201" s="667"/>
      <c r="N1201" s="667"/>
      <c r="O1201" s="731"/>
      <c r="P1201" s="667"/>
      <c r="Q1201" s="667"/>
      <c r="R1201" s="737"/>
    </row>
    <row r="1202" spans="1:18" s="723" customFormat="1" ht="24">
      <c r="A1202" s="728">
        <v>4170</v>
      </c>
      <c r="B1202" s="995" t="s">
        <v>742</v>
      </c>
      <c r="C1202" s="666"/>
      <c r="D1202" s="643">
        <f t="shared" si="148"/>
        <v>100000</v>
      </c>
      <c r="E1202" s="667">
        <f t="shared" si="145"/>
        <v>0</v>
      </c>
      <c r="F1202" s="492">
        <f t="shared" si="147"/>
        <v>0</v>
      </c>
      <c r="G1202" s="666"/>
      <c r="H1202" s="667"/>
      <c r="I1202" s="699"/>
      <c r="J1202" s="666">
        <v>100000</v>
      </c>
      <c r="K1202" s="730"/>
      <c r="L1202" s="396">
        <f t="shared" si="149"/>
        <v>0</v>
      </c>
      <c r="M1202" s="667"/>
      <c r="N1202" s="667"/>
      <c r="O1202" s="731"/>
      <c r="P1202" s="667"/>
      <c r="Q1202" s="667"/>
      <c r="R1202" s="737"/>
    </row>
    <row r="1203" spans="1:18" s="723" customFormat="1" ht="24">
      <c r="A1203" s="728">
        <v>4210</v>
      </c>
      <c r="B1203" s="995" t="s">
        <v>707</v>
      </c>
      <c r="C1203" s="666">
        <v>15700</v>
      </c>
      <c r="D1203" s="643">
        <f t="shared" si="148"/>
        <v>137700</v>
      </c>
      <c r="E1203" s="667">
        <f t="shared" si="145"/>
        <v>25189</v>
      </c>
      <c r="F1203" s="492">
        <f t="shared" si="147"/>
        <v>18.292665214233843</v>
      </c>
      <c r="G1203" s="666"/>
      <c r="H1203" s="667"/>
      <c r="I1203" s="699"/>
      <c r="J1203" s="666">
        <f>15700+122000</f>
        <v>137700</v>
      </c>
      <c r="K1203" s="730">
        <v>25189</v>
      </c>
      <c r="L1203" s="396">
        <f t="shared" si="149"/>
        <v>18.292665214233843</v>
      </c>
      <c r="M1203" s="667"/>
      <c r="N1203" s="667"/>
      <c r="O1203" s="731"/>
      <c r="P1203" s="667"/>
      <c r="Q1203" s="667"/>
      <c r="R1203" s="737"/>
    </row>
    <row r="1204" spans="1:18" s="723" customFormat="1" ht="12.75">
      <c r="A1204" s="728">
        <v>4260</v>
      </c>
      <c r="B1204" s="995" t="s">
        <v>711</v>
      </c>
      <c r="C1204" s="666">
        <v>21100</v>
      </c>
      <c r="D1204" s="643">
        <f t="shared" si="148"/>
        <v>25100</v>
      </c>
      <c r="E1204" s="667">
        <f t="shared" si="145"/>
        <v>16831</v>
      </c>
      <c r="F1204" s="492">
        <f t="shared" si="147"/>
        <v>67.05577689243027</v>
      </c>
      <c r="G1204" s="666">
        <v>2000</v>
      </c>
      <c r="H1204" s="667"/>
      <c r="I1204" s="699">
        <f>H1204/G1204*100</f>
        <v>0</v>
      </c>
      <c r="J1204" s="666">
        <f>19100+4000</f>
        <v>23100</v>
      </c>
      <c r="K1204" s="730">
        <v>16831</v>
      </c>
      <c r="L1204" s="396">
        <f t="shared" si="149"/>
        <v>72.86147186147186</v>
      </c>
      <c r="M1204" s="667"/>
      <c r="N1204" s="667"/>
      <c r="O1204" s="731"/>
      <c r="P1204" s="667"/>
      <c r="Q1204" s="667"/>
      <c r="R1204" s="737"/>
    </row>
    <row r="1205" spans="1:18" s="723" customFormat="1" ht="24" hidden="1">
      <c r="A1205" s="728">
        <v>4270</v>
      </c>
      <c r="B1205" s="995" t="s">
        <v>713</v>
      </c>
      <c r="C1205" s="666"/>
      <c r="D1205" s="643">
        <f t="shared" si="148"/>
        <v>0</v>
      </c>
      <c r="E1205" s="667">
        <f>SUM(H1205+K1205+N1205+Q1205)</f>
        <v>0</v>
      </c>
      <c r="F1205" s="492" t="e">
        <f>E1205/D1205*100</f>
        <v>#DIV/0!</v>
      </c>
      <c r="G1205" s="666"/>
      <c r="H1205" s="667"/>
      <c r="I1205" s="699"/>
      <c r="J1205" s="666"/>
      <c r="K1205" s="730"/>
      <c r="L1205" s="396" t="e">
        <f t="shared" si="149"/>
        <v>#DIV/0!</v>
      </c>
      <c r="M1205" s="667"/>
      <c r="N1205" s="667"/>
      <c r="O1205" s="731"/>
      <c r="P1205" s="667"/>
      <c r="Q1205" s="667"/>
      <c r="R1205" s="737"/>
    </row>
    <row r="1206" spans="1:18" s="723" customFormat="1" ht="24">
      <c r="A1206" s="728">
        <v>4280</v>
      </c>
      <c r="B1206" s="995" t="s">
        <v>805</v>
      </c>
      <c r="C1206" s="666">
        <v>600</v>
      </c>
      <c r="D1206" s="643">
        <f t="shared" si="148"/>
        <v>1600</v>
      </c>
      <c r="E1206" s="667">
        <f t="shared" si="145"/>
        <v>625</v>
      </c>
      <c r="F1206" s="492">
        <f t="shared" si="147"/>
        <v>39.0625</v>
      </c>
      <c r="G1206" s="666"/>
      <c r="H1206" s="667"/>
      <c r="I1206" s="699"/>
      <c r="J1206" s="666">
        <f>600+1000</f>
        <v>1600</v>
      </c>
      <c r="K1206" s="730">
        <v>625</v>
      </c>
      <c r="L1206" s="396">
        <f t="shared" si="149"/>
        <v>39.0625</v>
      </c>
      <c r="M1206" s="667"/>
      <c r="N1206" s="667"/>
      <c r="O1206" s="731"/>
      <c r="P1206" s="667"/>
      <c r="Q1206" s="667"/>
      <c r="R1206" s="737"/>
    </row>
    <row r="1207" spans="1:18" s="723" customFormat="1" ht="24">
      <c r="A1207" s="728">
        <v>4300</v>
      </c>
      <c r="B1207" s="995" t="s">
        <v>806</v>
      </c>
      <c r="C1207" s="666">
        <v>62800</v>
      </c>
      <c r="D1207" s="643">
        <f t="shared" si="148"/>
        <v>97800</v>
      </c>
      <c r="E1207" s="667">
        <f t="shared" si="145"/>
        <v>34214</v>
      </c>
      <c r="F1207" s="492">
        <f t="shared" si="147"/>
        <v>34.983640081799585</v>
      </c>
      <c r="G1207" s="666">
        <v>1600</v>
      </c>
      <c r="H1207" s="667"/>
      <c r="I1207" s="699">
        <f>H1207/G1207*100</f>
        <v>0</v>
      </c>
      <c r="J1207" s="666">
        <f>61200+35000</f>
        <v>96200</v>
      </c>
      <c r="K1207" s="730">
        <v>34214</v>
      </c>
      <c r="L1207" s="396">
        <f t="shared" si="149"/>
        <v>35.565488565488565</v>
      </c>
      <c r="M1207" s="667"/>
      <c r="N1207" s="667"/>
      <c r="O1207" s="731"/>
      <c r="P1207" s="667"/>
      <c r="Q1207" s="667"/>
      <c r="R1207" s="737"/>
    </row>
    <row r="1208" spans="1:18" s="723" customFormat="1" ht="24">
      <c r="A1208" s="728">
        <v>4350</v>
      </c>
      <c r="B1208" s="995" t="s">
        <v>807</v>
      </c>
      <c r="C1208" s="666">
        <v>1600</v>
      </c>
      <c r="D1208" s="643">
        <f t="shared" si="148"/>
        <v>2600</v>
      </c>
      <c r="E1208" s="667">
        <f t="shared" si="145"/>
        <v>0</v>
      </c>
      <c r="F1208" s="492">
        <f t="shared" si="147"/>
        <v>0</v>
      </c>
      <c r="G1208" s="666"/>
      <c r="H1208" s="667"/>
      <c r="I1208" s="699"/>
      <c r="J1208" s="666">
        <f>1600+1000</f>
        <v>2600</v>
      </c>
      <c r="K1208" s="730"/>
      <c r="L1208" s="396">
        <f t="shared" si="149"/>
        <v>0</v>
      </c>
      <c r="M1208" s="667"/>
      <c r="N1208" s="667"/>
      <c r="O1208" s="731"/>
      <c r="P1208" s="667"/>
      <c r="Q1208" s="667"/>
      <c r="R1208" s="737"/>
    </row>
    <row r="1209" spans="1:18" s="723" customFormat="1" ht="48">
      <c r="A1209" s="728">
        <v>4370</v>
      </c>
      <c r="B1209" s="995" t="s">
        <v>809</v>
      </c>
      <c r="C1209" s="666">
        <v>2600</v>
      </c>
      <c r="D1209" s="643">
        <f t="shared" si="148"/>
        <v>4600</v>
      </c>
      <c r="E1209" s="667">
        <f t="shared" si="145"/>
        <v>0</v>
      </c>
      <c r="F1209" s="492">
        <f t="shared" si="147"/>
        <v>0</v>
      </c>
      <c r="G1209" s="666">
        <v>200</v>
      </c>
      <c r="H1209" s="667"/>
      <c r="I1209" s="699">
        <f>H1209/G1209*100</f>
        <v>0</v>
      </c>
      <c r="J1209" s="666">
        <f>2400+2000</f>
        <v>4400</v>
      </c>
      <c r="K1209" s="730"/>
      <c r="L1209" s="396">
        <f t="shared" si="149"/>
        <v>0</v>
      </c>
      <c r="M1209" s="667"/>
      <c r="N1209" s="667"/>
      <c r="O1209" s="731"/>
      <c r="P1209" s="667"/>
      <c r="Q1209" s="667"/>
      <c r="R1209" s="737"/>
    </row>
    <row r="1210" spans="1:18" s="723" customFormat="1" ht="24">
      <c r="A1210" s="728">
        <v>4410</v>
      </c>
      <c r="B1210" s="995" t="s">
        <v>689</v>
      </c>
      <c r="C1210" s="666">
        <v>1000</v>
      </c>
      <c r="D1210" s="643">
        <f t="shared" si="148"/>
        <v>2780</v>
      </c>
      <c r="E1210" s="667">
        <f t="shared" si="145"/>
        <v>917</v>
      </c>
      <c r="F1210" s="492">
        <f t="shared" si="147"/>
        <v>32.985611510791365</v>
      </c>
      <c r="G1210" s="666"/>
      <c r="H1210" s="667"/>
      <c r="I1210" s="699"/>
      <c r="J1210" s="666">
        <f>1000+1780</f>
        <v>2780</v>
      </c>
      <c r="K1210" s="730">
        <v>917</v>
      </c>
      <c r="L1210" s="396">
        <f t="shared" si="149"/>
        <v>32.985611510791365</v>
      </c>
      <c r="M1210" s="667"/>
      <c r="N1210" s="667"/>
      <c r="O1210" s="731"/>
      <c r="P1210" s="667"/>
      <c r="Q1210" s="667"/>
      <c r="R1210" s="737"/>
    </row>
    <row r="1211" spans="1:18" s="723" customFormat="1" ht="15" customHeight="1">
      <c r="A1211" s="728">
        <v>4440</v>
      </c>
      <c r="B1211" s="995" t="s">
        <v>983</v>
      </c>
      <c r="C1211" s="666"/>
      <c r="D1211" s="643">
        <f t="shared" si="148"/>
        <v>13200</v>
      </c>
      <c r="E1211" s="667">
        <f t="shared" si="145"/>
        <v>13200</v>
      </c>
      <c r="F1211" s="492">
        <f t="shared" si="147"/>
        <v>100</v>
      </c>
      <c r="G1211" s="666"/>
      <c r="H1211" s="667"/>
      <c r="I1211" s="699"/>
      <c r="J1211" s="666">
        <v>13200</v>
      </c>
      <c r="K1211" s="730">
        <v>13200</v>
      </c>
      <c r="L1211" s="396"/>
      <c r="M1211" s="667"/>
      <c r="N1211" s="667"/>
      <c r="O1211" s="731"/>
      <c r="P1211" s="667"/>
      <c r="Q1211" s="667"/>
      <c r="R1211" s="737"/>
    </row>
    <row r="1212" spans="1:18" s="723" customFormat="1" ht="13.5" customHeight="1">
      <c r="A1212" s="728">
        <v>4480</v>
      </c>
      <c r="B1212" s="995" t="s">
        <v>426</v>
      </c>
      <c r="C1212" s="666">
        <v>2000</v>
      </c>
      <c r="D1212" s="643">
        <f t="shared" si="148"/>
        <v>2500</v>
      </c>
      <c r="E1212" s="667">
        <f t="shared" si="145"/>
        <v>1555</v>
      </c>
      <c r="F1212" s="492">
        <f t="shared" si="147"/>
        <v>62.2</v>
      </c>
      <c r="G1212" s="666"/>
      <c r="H1212" s="667"/>
      <c r="I1212" s="699"/>
      <c r="J1212" s="666">
        <f>2000+500</f>
        <v>2500</v>
      </c>
      <c r="K1212" s="730">
        <v>1555</v>
      </c>
      <c r="L1212" s="396">
        <f t="shared" si="149"/>
        <v>62.2</v>
      </c>
      <c r="M1212" s="667"/>
      <c r="N1212" s="667"/>
      <c r="O1212" s="731"/>
      <c r="P1212" s="667"/>
      <c r="Q1212" s="667"/>
      <c r="R1212" s="737"/>
    </row>
    <row r="1213" spans="1:18" s="723" customFormat="1" ht="36">
      <c r="A1213" s="728">
        <v>4700</v>
      </c>
      <c r="B1213" s="995" t="s">
        <v>813</v>
      </c>
      <c r="C1213" s="666">
        <v>5000</v>
      </c>
      <c r="D1213" s="643">
        <f t="shared" si="148"/>
        <v>20000</v>
      </c>
      <c r="E1213" s="667">
        <f t="shared" si="145"/>
        <v>2974</v>
      </c>
      <c r="F1213" s="492">
        <f t="shared" si="147"/>
        <v>14.87</v>
      </c>
      <c r="G1213" s="666"/>
      <c r="H1213" s="667"/>
      <c r="I1213" s="699"/>
      <c r="J1213" s="666">
        <f>5000+15000</f>
        <v>20000</v>
      </c>
      <c r="K1213" s="730">
        <v>2974</v>
      </c>
      <c r="L1213" s="396">
        <f t="shared" si="149"/>
        <v>14.87</v>
      </c>
      <c r="M1213" s="667"/>
      <c r="N1213" s="667"/>
      <c r="O1213" s="731"/>
      <c r="P1213" s="667"/>
      <c r="Q1213" s="667"/>
      <c r="R1213" s="737"/>
    </row>
    <row r="1214" spans="1:18" s="723" customFormat="1" ht="60">
      <c r="A1214" s="829">
        <v>4740</v>
      </c>
      <c r="B1214" s="850" t="s">
        <v>728</v>
      </c>
      <c r="C1214" s="666">
        <v>10000</v>
      </c>
      <c r="D1214" s="643">
        <f t="shared" si="148"/>
        <v>18000</v>
      </c>
      <c r="E1214" s="667">
        <f>SUM(H1214+K1214+N1214+Q1214)</f>
        <v>2903</v>
      </c>
      <c r="F1214" s="492">
        <f>E1214/D1214*100</f>
        <v>16.127777777777776</v>
      </c>
      <c r="G1214" s="666"/>
      <c r="H1214" s="667"/>
      <c r="I1214" s="699"/>
      <c r="J1214" s="666">
        <f>10000+8000</f>
        <v>18000</v>
      </c>
      <c r="K1214" s="730">
        <v>2903</v>
      </c>
      <c r="L1214" s="396">
        <f t="shared" si="149"/>
        <v>16.127777777777776</v>
      </c>
      <c r="M1214" s="667"/>
      <c r="N1214" s="667"/>
      <c r="O1214" s="731"/>
      <c r="P1214" s="667"/>
      <c r="Q1214" s="667"/>
      <c r="R1214" s="737"/>
    </row>
    <row r="1215" spans="1:18" s="723" customFormat="1" ht="24">
      <c r="A1215" s="728">
        <v>6050</v>
      </c>
      <c r="B1215" s="995" t="s">
        <v>739</v>
      </c>
      <c r="C1215" s="666"/>
      <c r="D1215" s="643">
        <f>G1215+J1215+P1215+M1215</f>
        <v>400000</v>
      </c>
      <c r="E1215" s="667">
        <f>SUM(H1215+K1215+N1215+Q1215)</f>
        <v>1025</v>
      </c>
      <c r="F1215" s="492">
        <f>E1215/D1215*100</f>
        <v>0.25625000000000003</v>
      </c>
      <c r="G1215" s="666"/>
      <c r="H1215" s="667"/>
      <c r="I1215" s="699"/>
      <c r="J1215" s="666">
        <v>400000</v>
      </c>
      <c r="K1215" s="730">
        <v>1025</v>
      </c>
      <c r="L1215" s="396">
        <f t="shared" si="149"/>
        <v>0.25625000000000003</v>
      </c>
      <c r="M1215" s="667"/>
      <c r="N1215" s="667"/>
      <c r="O1215" s="731"/>
      <c r="P1215" s="667"/>
      <c r="Q1215" s="667"/>
      <c r="R1215" s="737"/>
    </row>
    <row r="1216" spans="1:18" s="723" customFormat="1" ht="36">
      <c r="A1216" s="762">
        <v>6060</v>
      </c>
      <c r="B1216" s="1012" t="s">
        <v>856</v>
      </c>
      <c r="C1216" s="781"/>
      <c r="D1216" s="765">
        <f>G1216+J1216+P1216+M1216</f>
        <v>62000</v>
      </c>
      <c r="E1216" s="785">
        <f>SUM(H1216+K1216+N1216+Q1216)</f>
        <v>8100</v>
      </c>
      <c r="F1216" s="766">
        <f>E1216/D1216*100</f>
        <v>13.064516129032258</v>
      </c>
      <c r="G1216" s="781"/>
      <c r="H1216" s="785"/>
      <c r="I1216" s="815"/>
      <c r="J1216" s="781">
        <v>62000</v>
      </c>
      <c r="K1216" s="782">
        <v>8100</v>
      </c>
      <c r="L1216" s="410">
        <f t="shared" si="149"/>
        <v>13.064516129032258</v>
      </c>
      <c r="M1216" s="785"/>
      <c r="N1216" s="785"/>
      <c r="O1216" s="786"/>
      <c r="P1216" s="785"/>
      <c r="Q1216" s="785"/>
      <c r="R1216" s="770"/>
    </row>
    <row r="1217" spans="1:18" s="723" customFormat="1" ht="36">
      <c r="A1217" s="874">
        <v>4750</v>
      </c>
      <c r="B1217" s="875" t="s">
        <v>814</v>
      </c>
      <c r="C1217" s="781">
        <v>20200</v>
      </c>
      <c r="D1217" s="765">
        <f t="shared" si="148"/>
        <v>50200</v>
      </c>
      <c r="E1217" s="785">
        <f t="shared" si="145"/>
        <v>2967</v>
      </c>
      <c r="F1217" s="766">
        <f t="shared" si="147"/>
        <v>5.910358565737052</v>
      </c>
      <c r="G1217" s="781">
        <v>200</v>
      </c>
      <c r="H1217" s="785"/>
      <c r="I1217" s="815">
        <f>H1217/G1217*100</f>
        <v>0</v>
      </c>
      <c r="J1217" s="781">
        <f>20000+30000</f>
        <v>50000</v>
      </c>
      <c r="K1217" s="782">
        <v>2967</v>
      </c>
      <c r="L1217" s="410">
        <f t="shared" si="149"/>
        <v>5.933999999999999</v>
      </c>
      <c r="M1217" s="785"/>
      <c r="N1217" s="785"/>
      <c r="O1217" s="786"/>
      <c r="P1217" s="785"/>
      <c r="Q1217" s="785"/>
      <c r="R1217" s="770"/>
    </row>
    <row r="1218" spans="1:18" s="775" customFormat="1" ht="96">
      <c r="A1218" s="787">
        <v>85213</v>
      </c>
      <c r="B1218" s="1040" t="s">
        <v>79</v>
      </c>
      <c r="C1218" s="673">
        <f>SUM(C1219)</f>
        <v>186000</v>
      </c>
      <c r="D1218" s="674">
        <f t="shared" si="148"/>
        <v>191804</v>
      </c>
      <c r="E1218" s="674">
        <f>H1218+K1218+Q1218+N1218</f>
        <v>130181</v>
      </c>
      <c r="F1218" s="1053">
        <f t="shared" si="147"/>
        <v>67.87189005443057</v>
      </c>
      <c r="G1218" s="673"/>
      <c r="H1218" s="674"/>
      <c r="I1218" s="857"/>
      <c r="J1218" s="677">
        <f>SUM(J1219+J1220)</f>
        <v>191804</v>
      </c>
      <c r="K1218" s="677">
        <f>SUM(K1219+K1220)</f>
        <v>130181</v>
      </c>
      <c r="L1218" s="665">
        <f t="shared" si="149"/>
        <v>67.87189005443057</v>
      </c>
      <c r="M1218" s="674"/>
      <c r="N1218" s="674"/>
      <c r="O1218" s="827"/>
      <c r="P1218" s="674"/>
      <c r="Q1218" s="674"/>
      <c r="R1218" s="828"/>
    </row>
    <row r="1219" spans="1:18" s="723" customFormat="1" ht="24">
      <c r="A1219" s="709">
        <v>4130</v>
      </c>
      <c r="B1219" s="1005" t="s">
        <v>1025</v>
      </c>
      <c r="C1219" s="670">
        <v>186000</v>
      </c>
      <c r="D1219" s="685">
        <f t="shared" si="148"/>
        <v>191804</v>
      </c>
      <c r="E1219" s="685">
        <f t="shared" si="148"/>
        <v>130181</v>
      </c>
      <c r="F1219" s="1054">
        <f t="shared" si="147"/>
        <v>67.87189005443057</v>
      </c>
      <c r="G1219" s="670"/>
      <c r="H1219" s="686"/>
      <c r="I1219" s="694"/>
      <c r="J1219" s="686">
        <f>186000+5804</f>
        <v>191804</v>
      </c>
      <c r="K1219" s="686">
        <v>130181</v>
      </c>
      <c r="L1219" s="652">
        <f t="shared" si="149"/>
        <v>67.87189005443057</v>
      </c>
      <c r="M1219" s="686"/>
      <c r="N1219" s="686"/>
      <c r="O1219" s="779"/>
      <c r="P1219" s="686"/>
      <c r="Q1219" s="686"/>
      <c r="R1219" s="760"/>
    </row>
    <row r="1220" spans="1:18" s="723" customFormat="1" ht="12.75" hidden="1">
      <c r="A1220" s="762">
        <v>4580</v>
      </c>
      <c r="B1220" s="1012" t="s">
        <v>412</v>
      </c>
      <c r="C1220" s="781"/>
      <c r="D1220" s="765">
        <f t="shared" si="148"/>
        <v>0</v>
      </c>
      <c r="E1220" s="765">
        <f t="shared" si="148"/>
        <v>0</v>
      </c>
      <c r="F1220" s="1050"/>
      <c r="G1220" s="781"/>
      <c r="H1220" s="785"/>
      <c r="I1220" s="815"/>
      <c r="J1220" s="920"/>
      <c r="K1220" s="785"/>
      <c r="L1220" s="707" t="e">
        <f t="shared" si="149"/>
        <v>#DIV/0!</v>
      </c>
      <c r="M1220" s="785"/>
      <c r="N1220" s="785"/>
      <c r="O1220" s="786"/>
      <c r="P1220" s="785"/>
      <c r="Q1220" s="785"/>
      <c r="R1220" s="770"/>
    </row>
    <row r="1221" spans="1:18" ht="48">
      <c r="A1221" s="724">
        <v>85214</v>
      </c>
      <c r="B1221" s="994" t="s">
        <v>80</v>
      </c>
      <c r="C1221" s="726">
        <f>SUM(C1222:C1223)</f>
        <v>6271000</v>
      </c>
      <c r="D1221" s="674">
        <f t="shared" si="148"/>
        <v>6339198</v>
      </c>
      <c r="E1221" s="674">
        <f t="shared" si="148"/>
        <v>3955610</v>
      </c>
      <c r="F1221" s="1053">
        <f t="shared" si="147"/>
        <v>62.39921832383213</v>
      </c>
      <c r="G1221" s="726">
        <f>SUM(G1222:G1223)</f>
        <v>4602000</v>
      </c>
      <c r="H1221" s="657">
        <f>SUM(H1222:H1223)</f>
        <v>2739690</v>
      </c>
      <c r="I1221" s="857">
        <f>H1221/G1221*100</f>
        <v>59.53259452411995</v>
      </c>
      <c r="J1221" s="662">
        <f>SUM(J1222:J1223)</f>
        <v>1737198</v>
      </c>
      <c r="K1221" s="657">
        <f>SUM(K1222:K1223)</f>
        <v>1215920</v>
      </c>
      <c r="L1221" s="890">
        <f t="shared" si="149"/>
        <v>69.99317291408347</v>
      </c>
      <c r="M1221" s="657"/>
      <c r="N1221" s="657"/>
      <c r="O1221" s="317"/>
      <c r="P1221" s="657"/>
      <c r="Q1221" s="657"/>
      <c r="R1221" s="842"/>
    </row>
    <row r="1222" spans="1:18" ht="12.75">
      <c r="A1222" s="728">
        <v>3110</v>
      </c>
      <c r="B1222" s="995" t="s">
        <v>1024</v>
      </c>
      <c r="C1222" s="666">
        <v>6271000</v>
      </c>
      <c r="D1222" s="643">
        <f t="shared" si="148"/>
        <v>6339198</v>
      </c>
      <c r="E1222" s="643">
        <f t="shared" si="148"/>
        <v>3955610</v>
      </c>
      <c r="F1222" s="1011">
        <f t="shared" si="147"/>
        <v>62.39921832383213</v>
      </c>
      <c r="G1222" s="666">
        <f>4600000+2000</f>
        <v>4602000</v>
      </c>
      <c r="H1222" s="667">
        <v>2739690</v>
      </c>
      <c r="I1222" s="699">
        <f>H1222/G1222*100</f>
        <v>59.53259452411995</v>
      </c>
      <c r="J1222" s="730">
        <f>1669000+68198</f>
        <v>1737198</v>
      </c>
      <c r="K1222" s="667">
        <v>1215920</v>
      </c>
      <c r="L1222" s="492">
        <f t="shared" si="149"/>
        <v>69.99317291408347</v>
      </c>
      <c r="M1222" s="667"/>
      <c r="N1222" s="667"/>
      <c r="O1222" s="731"/>
      <c r="P1222" s="667"/>
      <c r="Q1222" s="667"/>
      <c r="R1222" s="737"/>
    </row>
    <row r="1223" spans="1:18" ht="24" hidden="1">
      <c r="A1223" s="728">
        <v>4110</v>
      </c>
      <c r="B1223" s="995" t="s">
        <v>703</v>
      </c>
      <c r="C1223" s="666"/>
      <c r="D1223" s="643">
        <f t="shared" si="148"/>
        <v>0</v>
      </c>
      <c r="E1223" s="667">
        <f>SUM(H1223+K1223+N1223+Q1223)</f>
        <v>0</v>
      </c>
      <c r="F1223" s="1011" t="e">
        <f t="shared" si="147"/>
        <v>#DIV/0!</v>
      </c>
      <c r="G1223" s="666"/>
      <c r="H1223" s="667"/>
      <c r="I1223" s="699"/>
      <c r="J1223" s="730"/>
      <c r="K1223" s="667"/>
      <c r="L1223" s="647" t="e">
        <f t="shared" si="149"/>
        <v>#DIV/0!</v>
      </c>
      <c r="M1223" s="667"/>
      <c r="N1223" s="667"/>
      <c r="O1223" s="647"/>
      <c r="P1223" s="667"/>
      <c r="Q1223" s="667"/>
      <c r="R1223" s="737"/>
    </row>
    <row r="1224" spans="1:18" ht="16.5" customHeight="1">
      <c r="A1224" s="724">
        <v>85215</v>
      </c>
      <c r="B1224" s="994" t="s">
        <v>562</v>
      </c>
      <c r="C1224" s="726">
        <f>SUM(C1226)</f>
        <v>4037900</v>
      </c>
      <c r="D1224" s="674">
        <f t="shared" si="148"/>
        <v>3503532</v>
      </c>
      <c r="E1224" s="657">
        <f>H1224+K1224+Q1224+N1224</f>
        <v>2402814</v>
      </c>
      <c r="F1224" s="1053">
        <f>E1224/D1224*100</f>
        <v>68.58261891142995</v>
      </c>
      <c r="G1224" s="841">
        <f>SUM(G1225:G1226)</f>
        <v>3503532</v>
      </c>
      <c r="H1224" s="657">
        <f>SUM(H1225:H1226)</f>
        <v>2402814</v>
      </c>
      <c r="I1224" s="857">
        <f>H1224/G1224*100</f>
        <v>68.58261891142995</v>
      </c>
      <c r="J1224" s="662"/>
      <c r="K1224" s="657"/>
      <c r="L1224" s="663"/>
      <c r="M1224" s="657"/>
      <c r="N1224" s="657"/>
      <c r="O1224" s="317"/>
      <c r="P1224" s="657"/>
      <c r="Q1224" s="657"/>
      <c r="R1224" s="842"/>
    </row>
    <row r="1225" spans="1:18" s="761" customFormat="1" ht="78" customHeight="1" hidden="1">
      <c r="A1225" s="756">
        <v>2910</v>
      </c>
      <c r="B1225" s="1023" t="s">
        <v>81</v>
      </c>
      <c r="C1225" s="684"/>
      <c r="D1225" s="685">
        <f t="shared" si="148"/>
        <v>0</v>
      </c>
      <c r="E1225" s="686">
        <f>SUM(H1225+K1225+N1225+Q1225)</f>
        <v>0</v>
      </c>
      <c r="F1225" s="1054" t="e">
        <f>E1225/D1225*100</f>
        <v>#DIV/0!</v>
      </c>
      <c r="G1225" s="670"/>
      <c r="H1225" s="685"/>
      <c r="I1225" s="694" t="e">
        <f>H1225/G1225*100</f>
        <v>#DIV/0!</v>
      </c>
      <c r="J1225" s="689"/>
      <c r="K1225" s="685"/>
      <c r="L1225" s="690"/>
      <c r="M1225" s="685"/>
      <c r="N1225" s="685"/>
      <c r="O1225" s="779"/>
      <c r="P1225" s="685"/>
      <c r="Q1225" s="685"/>
      <c r="R1225" s="760"/>
    </row>
    <row r="1226" spans="1:18" s="723" customFormat="1" ht="15.75" customHeight="1">
      <c r="A1226" s="728">
        <v>3110</v>
      </c>
      <c r="B1226" s="995" t="s">
        <v>1024</v>
      </c>
      <c r="C1226" s="781">
        <v>4037900</v>
      </c>
      <c r="D1226" s="765">
        <f t="shared" si="148"/>
        <v>3503532</v>
      </c>
      <c r="E1226" s="785">
        <f>SUM(H1226+K1226+N1226+Q1226)</f>
        <v>2402814</v>
      </c>
      <c r="F1226" s="1050">
        <f aca="true" t="shared" si="150" ref="F1226:F1289">E1226/D1226*100</f>
        <v>68.58261891142995</v>
      </c>
      <c r="G1226" s="781">
        <f>4037900-91640-377176-65552</f>
        <v>3503532</v>
      </c>
      <c r="H1226" s="785">
        <v>2402814</v>
      </c>
      <c r="I1226" s="815">
        <f>H1226/G1226*100</f>
        <v>68.58261891142995</v>
      </c>
      <c r="J1226" s="782"/>
      <c r="K1226" s="785"/>
      <c r="L1226" s="768"/>
      <c r="M1226" s="785"/>
      <c r="N1226" s="785"/>
      <c r="O1226" s="786"/>
      <c r="P1226" s="785"/>
      <c r="Q1226" s="785"/>
      <c r="R1226" s="770"/>
    </row>
    <row r="1227" spans="1:18" s="723" customFormat="1" ht="35.25" customHeight="1" hidden="1">
      <c r="A1227" s="724">
        <v>85216</v>
      </c>
      <c r="B1227" s="994" t="s">
        <v>82</v>
      </c>
      <c r="C1227" s="726">
        <f>SUM(C1228)</f>
        <v>0</v>
      </c>
      <c r="D1227" s="674">
        <f aca="true" t="shared" si="151" ref="D1227:D1297">G1227+J1227+P1227+M1227</f>
        <v>0</v>
      </c>
      <c r="E1227" s="657">
        <f>H1227+K1227+Q1227+N1227</f>
        <v>0</v>
      </c>
      <c r="F1227" s="1053" t="e">
        <f t="shared" si="150"/>
        <v>#DIV/0!</v>
      </c>
      <c r="G1227" s="726"/>
      <c r="H1227" s="657"/>
      <c r="I1227" s="857"/>
      <c r="J1227" s="662">
        <f>J1228</f>
        <v>0</v>
      </c>
      <c r="K1227" s="662">
        <f>K1228</f>
        <v>0</v>
      </c>
      <c r="L1227" s="791" t="e">
        <f>K1227/J1227*100</f>
        <v>#DIV/0!</v>
      </c>
      <c r="M1227" s="657"/>
      <c r="N1227" s="657"/>
      <c r="O1227" s="317"/>
      <c r="P1227" s="657">
        <f>P1228</f>
        <v>0</v>
      </c>
      <c r="Q1227" s="657">
        <f>Q1228</f>
        <v>0</v>
      </c>
      <c r="R1227" s="665" t="e">
        <f>Q1227/P1227*100</f>
        <v>#DIV/0!</v>
      </c>
    </row>
    <row r="1228" spans="1:18" s="723" customFormat="1" ht="15.75" customHeight="1" hidden="1">
      <c r="A1228" s="891">
        <v>3110</v>
      </c>
      <c r="B1228" s="1055" t="s">
        <v>1024</v>
      </c>
      <c r="C1228" s="666"/>
      <c r="D1228" s="894">
        <f t="shared" si="151"/>
        <v>0</v>
      </c>
      <c r="E1228" s="667">
        <f>SUM(H1228+K1228+N1228+Q1228)</f>
        <v>0</v>
      </c>
      <c r="F1228" s="1053" t="e">
        <f t="shared" si="150"/>
        <v>#DIV/0!</v>
      </c>
      <c r="G1228" s="893"/>
      <c r="H1228" s="895"/>
      <c r="I1228" s="857"/>
      <c r="J1228" s="896"/>
      <c r="K1228" s="895"/>
      <c r="L1228" s="665" t="e">
        <f>K1228/J1228*100</f>
        <v>#DIV/0!</v>
      </c>
      <c r="M1228" s="895"/>
      <c r="N1228" s="895"/>
      <c r="O1228" s="317"/>
      <c r="P1228" s="895"/>
      <c r="Q1228" s="895"/>
      <c r="R1228" s="665" t="e">
        <f>Q1228/P1228*100</f>
        <v>#DIV/0!</v>
      </c>
    </row>
    <row r="1229" spans="1:18" s="723" customFormat="1" ht="24">
      <c r="A1229" s="724">
        <v>85218</v>
      </c>
      <c r="B1229" s="994" t="s">
        <v>83</v>
      </c>
      <c r="C1229" s="726">
        <f>SUM(C1230:C1245)</f>
        <v>611000</v>
      </c>
      <c r="D1229" s="674">
        <f t="shared" si="151"/>
        <v>611000</v>
      </c>
      <c r="E1229" s="657">
        <f>H1229+K1229+Q1229+N1229</f>
        <v>458249</v>
      </c>
      <c r="F1229" s="1053">
        <f t="shared" si="150"/>
        <v>74.99983633387889</v>
      </c>
      <c r="G1229" s="726"/>
      <c r="H1229" s="657"/>
      <c r="I1229" s="842"/>
      <c r="J1229" s="662"/>
      <c r="K1229" s="657"/>
      <c r="L1229" s="663"/>
      <c r="M1229" s="657">
        <f>SUM(M1230:M1245)</f>
        <v>611000</v>
      </c>
      <c r="N1229" s="657">
        <f>SUM(N1230:N1245)</f>
        <v>458249</v>
      </c>
      <c r="O1229" s="890">
        <f aca="true" t="shared" si="152" ref="O1229:O1245">N1229/M1229*100</f>
        <v>74.99983633387889</v>
      </c>
      <c r="P1229" s="657"/>
      <c r="Q1229" s="657"/>
      <c r="R1229" s="665"/>
    </row>
    <row r="1230" spans="1:18" ht="24">
      <c r="A1230" s="728">
        <v>4010</v>
      </c>
      <c r="B1230" s="995" t="s">
        <v>973</v>
      </c>
      <c r="C1230" s="666">
        <v>419500</v>
      </c>
      <c r="D1230" s="643">
        <f t="shared" si="151"/>
        <v>419500</v>
      </c>
      <c r="E1230" s="667">
        <f aca="true" t="shared" si="153" ref="E1230:E1245">SUM(H1230+K1230+N1230+Q1230)</f>
        <v>303674</v>
      </c>
      <c r="F1230" s="1011">
        <f t="shared" si="150"/>
        <v>72.38951132300357</v>
      </c>
      <c r="G1230" s="666"/>
      <c r="H1230" s="667"/>
      <c r="I1230" s="737"/>
      <c r="J1230" s="730"/>
      <c r="K1230" s="667"/>
      <c r="L1230" s="649"/>
      <c r="M1230" s="666">
        <v>419500</v>
      </c>
      <c r="N1230" s="667">
        <v>303674</v>
      </c>
      <c r="O1230" s="492">
        <f t="shared" si="152"/>
        <v>72.38951132300357</v>
      </c>
      <c r="P1230" s="730"/>
      <c r="Q1230" s="667"/>
      <c r="R1230" s="647"/>
    </row>
    <row r="1231" spans="1:18" ht="24">
      <c r="A1231" s="728">
        <v>4040</v>
      </c>
      <c r="B1231" s="995" t="s">
        <v>801</v>
      </c>
      <c r="C1231" s="666">
        <v>35100</v>
      </c>
      <c r="D1231" s="643">
        <f t="shared" si="151"/>
        <v>35100</v>
      </c>
      <c r="E1231" s="643">
        <f>H1231+K1231+Q1231+N1231</f>
        <v>35100</v>
      </c>
      <c r="F1231" s="1011">
        <f t="shared" si="150"/>
        <v>100</v>
      </c>
      <c r="G1231" s="666"/>
      <c r="H1231" s="667"/>
      <c r="I1231" s="737"/>
      <c r="J1231" s="730"/>
      <c r="K1231" s="667"/>
      <c r="L1231" s="649"/>
      <c r="M1231" s="666">
        <v>35100</v>
      </c>
      <c r="N1231" s="667">
        <v>35100</v>
      </c>
      <c r="O1231" s="492">
        <f t="shared" si="152"/>
        <v>100</v>
      </c>
      <c r="P1231" s="730"/>
      <c r="Q1231" s="667"/>
      <c r="R1231" s="647"/>
    </row>
    <row r="1232" spans="1:18" s="723" customFormat="1" ht="24">
      <c r="A1232" s="728">
        <v>4110</v>
      </c>
      <c r="B1232" s="995" t="s">
        <v>703</v>
      </c>
      <c r="C1232" s="666">
        <v>72830</v>
      </c>
      <c r="D1232" s="643">
        <f t="shared" si="151"/>
        <v>72830</v>
      </c>
      <c r="E1232" s="667">
        <f t="shared" si="153"/>
        <v>52721</v>
      </c>
      <c r="F1232" s="1011">
        <f t="shared" si="150"/>
        <v>72.3891253604284</v>
      </c>
      <c r="G1232" s="666"/>
      <c r="H1232" s="667"/>
      <c r="I1232" s="737"/>
      <c r="J1232" s="730"/>
      <c r="K1232" s="667"/>
      <c r="L1232" s="649"/>
      <c r="M1232" s="666">
        <v>72830</v>
      </c>
      <c r="N1232" s="667">
        <v>52721</v>
      </c>
      <c r="O1232" s="492">
        <f t="shared" si="152"/>
        <v>72.3891253604284</v>
      </c>
      <c r="P1232" s="730"/>
      <c r="Q1232" s="667"/>
      <c r="R1232" s="647"/>
    </row>
    <row r="1233" spans="1:18" s="723" customFormat="1" ht="15" customHeight="1">
      <c r="A1233" s="728">
        <v>4120</v>
      </c>
      <c r="B1233" s="995" t="s">
        <v>847</v>
      </c>
      <c r="C1233" s="666">
        <v>11200</v>
      </c>
      <c r="D1233" s="643">
        <f t="shared" si="151"/>
        <v>11200</v>
      </c>
      <c r="E1233" s="667">
        <f t="shared" si="153"/>
        <v>8108</v>
      </c>
      <c r="F1233" s="1011">
        <f t="shared" si="150"/>
        <v>72.39285714285715</v>
      </c>
      <c r="G1233" s="666"/>
      <c r="H1233" s="667"/>
      <c r="I1233" s="737"/>
      <c r="J1233" s="730"/>
      <c r="K1233" s="667"/>
      <c r="L1233" s="649"/>
      <c r="M1233" s="666">
        <v>11200</v>
      </c>
      <c r="N1233" s="667">
        <v>8108</v>
      </c>
      <c r="O1233" s="492">
        <f t="shared" si="152"/>
        <v>72.39285714285715</v>
      </c>
      <c r="P1233" s="730"/>
      <c r="Q1233" s="667"/>
      <c r="R1233" s="647"/>
    </row>
    <row r="1234" spans="1:18" ht="24">
      <c r="A1234" s="728">
        <v>4210</v>
      </c>
      <c r="B1234" s="995" t="s">
        <v>707</v>
      </c>
      <c r="C1234" s="666">
        <v>8000</v>
      </c>
      <c r="D1234" s="643">
        <f t="shared" si="151"/>
        <v>8000</v>
      </c>
      <c r="E1234" s="667">
        <f t="shared" si="153"/>
        <v>5791</v>
      </c>
      <c r="F1234" s="1011">
        <f t="shared" si="150"/>
        <v>72.3875</v>
      </c>
      <c r="G1234" s="666"/>
      <c r="H1234" s="667"/>
      <c r="I1234" s="737"/>
      <c r="J1234" s="730"/>
      <c r="K1234" s="667"/>
      <c r="L1234" s="649"/>
      <c r="M1234" s="666">
        <v>8000</v>
      </c>
      <c r="N1234" s="667">
        <v>5791</v>
      </c>
      <c r="O1234" s="492">
        <f t="shared" si="152"/>
        <v>72.3875</v>
      </c>
      <c r="P1234" s="730"/>
      <c r="Q1234" s="667"/>
      <c r="R1234" s="647"/>
    </row>
    <row r="1235" spans="1:18" ht="15" customHeight="1">
      <c r="A1235" s="728">
        <v>4260</v>
      </c>
      <c r="B1235" s="995" t="s">
        <v>711</v>
      </c>
      <c r="C1235" s="666">
        <v>21400</v>
      </c>
      <c r="D1235" s="643">
        <f t="shared" si="151"/>
        <v>21400</v>
      </c>
      <c r="E1235" s="667">
        <f t="shared" si="153"/>
        <v>15491</v>
      </c>
      <c r="F1235" s="1011">
        <f t="shared" si="150"/>
        <v>72.38785046728971</v>
      </c>
      <c r="G1235" s="666"/>
      <c r="H1235" s="667"/>
      <c r="I1235" s="737"/>
      <c r="J1235" s="730"/>
      <c r="K1235" s="667"/>
      <c r="L1235" s="649"/>
      <c r="M1235" s="666">
        <v>21400</v>
      </c>
      <c r="N1235" s="667">
        <v>15491</v>
      </c>
      <c r="O1235" s="492">
        <f t="shared" si="152"/>
        <v>72.38785046728971</v>
      </c>
      <c r="P1235" s="730"/>
      <c r="Q1235" s="667"/>
      <c r="R1235" s="647"/>
    </row>
    <row r="1236" spans="1:18" ht="15" customHeight="1">
      <c r="A1236" s="728">
        <v>4280</v>
      </c>
      <c r="B1236" s="995" t="s">
        <v>805</v>
      </c>
      <c r="C1236" s="666">
        <v>1100</v>
      </c>
      <c r="D1236" s="643">
        <f>G1236+J1236+P1236+M1236</f>
        <v>1100</v>
      </c>
      <c r="E1236" s="667">
        <f>SUM(H1236+K1236+N1236+Q1236)</f>
        <v>796</v>
      </c>
      <c r="F1236" s="1011">
        <f t="shared" si="150"/>
        <v>72.36363636363636</v>
      </c>
      <c r="G1236" s="666"/>
      <c r="H1236" s="667"/>
      <c r="I1236" s="737"/>
      <c r="J1236" s="730"/>
      <c r="K1236" s="667"/>
      <c r="L1236" s="649"/>
      <c r="M1236" s="666">
        <v>1100</v>
      </c>
      <c r="N1236" s="667">
        <v>796</v>
      </c>
      <c r="O1236" s="492">
        <f t="shared" si="152"/>
        <v>72.36363636363636</v>
      </c>
      <c r="P1236" s="730"/>
      <c r="Q1236" s="667"/>
      <c r="R1236" s="647"/>
    </row>
    <row r="1237" spans="1:18" ht="15" customHeight="1">
      <c r="A1237" s="728">
        <v>4300</v>
      </c>
      <c r="B1237" s="995" t="s">
        <v>806</v>
      </c>
      <c r="C1237" s="666">
        <v>3800</v>
      </c>
      <c r="D1237" s="643">
        <f t="shared" si="151"/>
        <v>3800</v>
      </c>
      <c r="E1237" s="667">
        <f t="shared" si="153"/>
        <v>2751</v>
      </c>
      <c r="F1237" s="1011">
        <f t="shared" si="150"/>
        <v>72.39473684210526</v>
      </c>
      <c r="G1237" s="666"/>
      <c r="H1237" s="667"/>
      <c r="I1237" s="737"/>
      <c r="J1237" s="730"/>
      <c r="K1237" s="667"/>
      <c r="L1237" s="649"/>
      <c r="M1237" s="666">
        <v>3800</v>
      </c>
      <c r="N1237" s="667">
        <v>2751</v>
      </c>
      <c r="O1237" s="492">
        <f t="shared" si="152"/>
        <v>72.39473684210526</v>
      </c>
      <c r="P1237" s="730"/>
      <c r="Q1237" s="667"/>
      <c r="R1237" s="647"/>
    </row>
    <row r="1238" spans="1:18" ht="24">
      <c r="A1238" s="728">
        <v>4350</v>
      </c>
      <c r="B1238" s="995" t="s">
        <v>807</v>
      </c>
      <c r="C1238" s="666">
        <v>1050</v>
      </c>
      <c r="D1238" s="643">
        <f>G1238+J1238+P1238+M1238</f>
        <v>1050</v>
      </c>
      <c r="E1238" s="667">
        <f t="shared" si="153"/>
        <v>760</v>
      </c>
      <c r="F1238" s="1011">
        <f t="shared" si="150"/>
        <v>72.38095238095238</v>
      </c>
      <c r="G1238" s="666"/>
      <c r="H1238" s="667"/>
      <c r="I1238" s="737"/>
      <c r="J1238" s="730"/>
      <c r="K1238" s="667"/>
      <c r="L1238" s="649"/>
      <c r="M1238" s="666">
        <v>1050</v>
      </c>
      <c r="N1238" s="667">
        <v>760</v>
      </c>
      <c r="O1238" s="492">
        <f t="shared" si="152"/>
        <v>72.38095238095238</v>
      </c>
      <c r="P1238" s="730"/>
      <c r="Q1238" s="667"/>
      <c r="R1238" s="647"/>
    </row>
    <row r="1239" spans="1:18" ht="48">
      <c r="A1239" s="829">
        <v>4360</v>
      </c>
      <c r="B1239" s="850" t="s">
        <v>982</v>
      </c>
      <c r="C1239" s="666">
        <v>850</v>
      </c>
      <c r="D1239" s="643">
        <f>G1239+J1239+P1239+M1239</f>
        <v>850</v>
      </c>
      <c r="E1239" s="667">
        <f t="shared" si="153"/>
        <v>615</v>
      </c>
      <c r="F1239" s="1011">
        <f>E1239/D1239*100</f>
        <v>72.35294117647058</v>
      </c>
      <c r="G1239" s="666"/>
      <c r="H1239" s="667"/>
      <c r="I1239" s="737"/>
      <c r="J1239" s="730"/>
      <c r="K1239" s="667"/>
      <c r="L1239" s="649"/>
      <c r="M1239" s="666">
        <v>850</v>
      </c>
      <c r="N1239" s="667">
        <v>615</v>
      </c>
      <c r="O1239" s="492">
        <f t="shared" si="152"/>
        <v>72.35294117647058</v>
      </c>
      <c r="P1239" s="730"/>
      <c r="Q1239" s="667"/>
      <c r="R1239" s="647"/>
    </row>
    <row r="1240" spans="1:18" ht="48">
      <c r="A1240" s="756">
        <v>4370</v>
      </c>
      <c r="B1240" s="851" t="s">
        <v>916</v>
      </c>
      <c r="C1240" s="670">
        <v>9100</v>
      </c>
      <c r="D1240" s="685">
        <f>G1240+J1240+P1240+M1240</f>
        <v>9100</v>
      </c>
      <c r="E1240" s="686">
        <f t="shared" si="153"/>
        <v>6587</v>
      </c>
      <c r="F1240" s="1054">
        <f>E1240/D1240*100</f>
        <v>72.38461538461539</v>
      </c>
      <c r="G1240" s="670"/>
      <c r="H1240" s="686"/>
      <c r="I1240" s="760"/>
      <c r="J1240" s="777"/>
      <c r="K1240" s="686"/>
      <c r="L1240" s="690"/>
      <c r="M1240" s="670">
        <v>9100</v>
      </c>
      <c r="N1240" s="686">
        <v>6587</v>
      </c>
      <c r="O1240" s="758">
        <f t="shared" si="152"/>
        <v>72.38461538461539</v>
      </c>
      <c r="P1240" s="777"/>
      <c r="Q1240" s="686"/>
      <c r="R1240" s="652"/>
    </row>
    <row r="1241" spans="1:18" ht="15" customHeight="1">
      <c r="A1241" s="728">
        <v>4410</v>
      </c>
      <c r="B1241" s="995" t="s">
        <v>689</v>
      </c>
      <c r="C1241" s="666">
        <v>1200</v>
      </c>
      <c r="D1241" s="643">
        <f t="shared" si="151"/>
        <v>1200</v>
      </c>
      <c r="E1241" s="667">
        <f t="shared" si="153"/>
        <v>869</v>
      </c>
      <c r="F1241" s="1011">
        <f>E1241/D1241*100</f>
        <v>72.41666666666666</v>
      </c>
      <c r="G1241" s="666"/>
      <c r="H1241" s="667"/>
      <c r="I1241" s="737"/>
      <c r="J1241" s="730"/>
      <c r="K1241" s="667"/>
      <c r="L1241" s="649"/>
      <c r="M1241" s="666">
        <v>1200</v>
      </c>
      <c r="N1241" s="667">
        <v>869</v>
      </c>
      <c r="O1241" s="492">
        <f t="shared" si="152"/>
        <v>72.41666666666666</v>
      </c>
      <c r="P1241" s="730"/>
      <c r="Q1241" s="667"/>
      <c r="R1241" s="647"/>
    </row>
    <row r="1242" spans="1:18" ht="15" customHeight="1">
      <c r="A1242" s="728">
        <v>4440</v>
      </c>
      <c r="B1242" s="995" t="s">
        <v>719</v>
      </c>
      <c r="C1242" s="666">
        <v>12100</v>
      </c>
      <c r="D1242" s="643">
        <f t="shared" si="151"/>
        <v>12100</v>
      </c>
      <c r="E1242" s="667">
        <f t="shared" si="153"/>
        <v>12100</v>
      </c>
      <c r="F1242" s="1011">
        <f t="shared" si="150"/>
        <v>100</v>
      </c>
      <c r="G1242" s="666"/>
      <c r="H1242" s="667"/>
      <c r="I1242" s="737"/>
      <c r="J1242" s="730"/>
      <c r="K1242" s="730"/>
      <c r="L1242" s="649"/>
      <c r="M1242" s="666">
        <v>12100</v>
      </c>
      <c r="N1242" s="667">
        <v>12100</v>
      </c>
      <c r="O1242" s="492">
        <f t="shared" si="152"/>
        <v>100</v>
      </c>
      <c r="P1242" s="730"/>
      <c r="Q1242" s="667"/>
      <c r="R1242" s="647"/>
    </row>
    <row r="1243" spans="1:18" ht="60">
      <c r="A1243" s="829">
        <v>4740</v>
      </c>
      <c r="B1243" s="850" t="s">
        <v>728</v>
      </c>
      <c r="C1243" s="666">
        <v>2600</v>
      </c>
      <c r="D1243" s="643">
        <f t="shared" si="151"/>
        <v>2600</v>
      </c>
      <c r="E1243" s="667">
        <f t="shared" si="153"/>
        <v>1882</v>
      </c>
      <c r="F1243" s="1011">
        <f>E1243/D1243*100</f>
        <v>72.38461538461539</v>
      </c>
      <c r="G1243" s="666"/>
      <c r="H1243" s="667"/>
      <c r="I1243" s="737"/>
      <c r="J1243" s="730"/>
      <c r="K1243" s="730"/>
      <c r="L1243" s="649"/>
      <c r="M1243" s="666">
        <v>2600</v>
      </c>
      <c r="N1243" s="667">
        <v>1882</v>
      </c>
      <c r="O1243" s="492">
        <f t="shared" si="152"/>
        <v>72.38461538461539</v>
      </c>
      <c r="P1243" s="730"/>
      <c r="Q1243" s="667"/>
      <c r="R1243" s="647"/>
    </row>
    <row r="1244" spans="1:18" ht="36">
      <c r="A1244" s="829">
        <v>4750</v>
      </c>
      <c r="B1244" s="850" t="s">
        <v>814</v>
      </c>
      <c r="C1244" s="666">
        <v>600</v>
      </c>
      <c r="D1244" s="643">
        <f t="shared" si="151"/>
        <v>600</v>
      </c>
      <c r="E1244" s="667">
        <f t="shared" si="153"/>
        <v>434</v>
      </c>
      <c r="F1244" s="1011">
        <f>E1244/D1244*100</f>
        <v>72.33333333333334</v>
      </c>
      <c r="G1244" s="666"/>
      <c r="H1244" s="667"/>
      <c r="I1244" s="737"/>
      <c r="J1244" s="730"/>
      <c r="K1244" s="730"/>
      <c r="L1244" s="649"/>
      <c r="M1244" s="666">
        <v>600</v>
      </c>
      <c r="N1244" s="667">
        <v>434</v>
      </c>
      <c r="O1244" s="492">
        <f t="shared" si="152"/>
        <v>72.33333333333334</v>
      </c>
      <c r="P1244" s="730"/>
      <c r="Q1244" s="667"/>
      <c r="R1244" s="647"/>
    </row>
    <row r="1245" spans="1:18" ht="38.25" customHeight="1">
      <c r="A1245" s="762">
        <v>6060</v>
      </c>
      <c r="B1245" s="1012" t="s">
        <v>856</v>
      </c>
      <c r="C1245" s="781">
        <v>10570</v>
      </c>
      <c r="D1245" s="765">
        <f t="shared" si="151"/>
        <v>10570</v>
      </c>
      <c r="E1245" s="785">
        <f t="shared" si="153"/>
        <v>10570</v>
      </c>
      <c r="F1245" s="1050">
        <f t="shared" si="150"/>
        <v>100</v>
      </c>
      <c r="G1245" s="781"/>
      <c r="H1245" s="785"/>
      <c r="I1245" s="770"/>
      <c r="J1245" s="782"/>
      <c r="K1245" s="782"/>
      <c r="L1245" s="768"/>
      <c r="M1245" s="781">
        <v>10570</v>
      </c>
      <c r="N1245" s="785">
        <v>10570</v>
      </c>
      <c r="O1245" s="492">
        <f t="shared" si="152"/>
        <v>100</v>
      </c>
      <c r="P1245" s="782"/>
      <c r="Q1245" s="785"/>
      <c r="R1245" s="707"/>
    </row>
    <row r="1246" spans="1:18" ht="24.75" customHeight="1">
      <c r="A1246" s="724">
        <v>85219</v>
      </c>
      <c r="B1246" s="994" t="s">
        <v>565</v>
      </c>
      <c r="C1246" s="726">
        <f>SUM(C1247:C1277)</f>
        <v>5978000</v>
      </c>
      <c r="D1246" s="674">
        <f t="shared" si="151"/>
        <v>6091000</v>
      </c>
      <c r="E1246" s="674">
        <f>H1246+K1246+Q1246+N1246</f>
        <v>4500880</v>
      </c>
      <c r="F1246" s="1053">
        <f t="shared" si="150"/>
        <v>73.89394188146446</v>
      </c>
      <c r="G1246" s="673">
        <f>SUM(G1247:G1277)</f>
        <v>6091000</v>
      </c>
      <c r="H1246" s="657">
        <f>SUM(H1247:H1277)</f>
        <v>4500880</v>
      </c>
      <c r="I1246" s="857">
        <f aca="true" t="shared" si="154" ref="I1246:I1277">H1246/G1246*100</f>
        <v>73.89394188146446</v>
      </c>
      <c r="J1246" s="662"/>
      <c r="K1246" s="662"/>
      <c r="L1246" s="665"/>
      <c r="M1246" s="657"/>
      <c r="N1246" s="657"/>
      <c r="O1246" s="665"/>
      <c r="P1246" s="657"/>
      <c r="Q1246" s="657"/>
      <c r="R1246" s="842"/>
    </row>
    <row r="1247" spans="1:18" ht="36">
      <c r="A1247" s="709">
        <v>3020</v>
      </c>
      <c r="B1247" s="1005" t="s">
        <v>1020</v>
      </c>
      <c r="C1247" s="670">
        <v>14000</v>
      </c>
      <c r="D1247" s="685">
        <f t="shared" si="151"/>
        <v>14000</v>
      </c>
      <c r="E1247" s="686">
        <f>SUM(H1247+K1247+N1247+Q1247)</f>
        <v>9934</v>
      </c>
      <c r="F1247" s="1054">
        <f t="shared" si="150"/>
        <v>70.95714285714286</v>
      </c>
      <c r="G1247" s="670">
        <v>14000</v>
      </c>
      <c r="H1247" s="686">
        <v>9934</v>
      </c>
      <c r="I1247" s="668">
        <f t="shared" si="154"/>
        <v>70.95714285714286</v>
      </c>
      <c r="J1247" s="777"/>
      <c r="K1247" s="686"/>
      <c r="L1247" s="652"/>
      <c r="M1247" s="686"/>
      <c r="N1247" s="686"/>
      <c r="O1247" s="652"/>
      <c r="P1247" s="686"/>
      <c r="Q1247" s="686"/>
      <c r="R1247" s="760"/>
    </row>
    <row r="1248" spans="1:18" ht="24">
      <c r="A1248" s="728">
        <v>4010</v>
      </c>
      <c r="B1248" s="995" t="s">
        <v>973</v>
      </c>
      <c r="C1248" s="666">
        <v>3554400</v>
      </c>
      <c r="D1248" s="643">
        <f t="shared" si="151"/>
        <v>3606650</v>
      </c>
      <c r="E1248" s="667">
        <f>SUM(H1248+K1248+N1248+Q1248)</f>
        <v>2707536</v>
      </c>
      <c r="F1248" s="1011">
        <f t="shared" si="150"/>
        <v>75.07066113983892</v>
      </c>
      <c r="G1248" s="666">
        <f>3554400+76000-18750+5000-10000</f>
        <v>3606650</v>
      </c>
      <c r="H1248" s="667">
        <v>2707536</v>
      </c>
      <c r="I1248" s="644">
        <f t="shared" si="154"/>
        <v>75.07066113983892</v>
      </c>
      <c r="J1248" s="730"/>
      <c r="K1248" s="667"/>
      <c r="L1248" s="647"/>
      <c r="M1248" s="667"/>
      <c r="N1248" s="667"/>
      <c r="O1248" s="647"/>
      <c r="P1248" s="667"/>
      <c r="Q1248" s="667"/>
      <c r="R1248" s="737"/>
    </row>
    <row r="1249" spans="1:18" ht="24">
      <c r="A1249" s="728">
        <v>4040</v>
      </c>
      <c r="B1249" s="995" t="s">
        <v>801</v>
      </c>
      <c r="C1249" s="666">
        <v>257960</v>
      </c>
      <c r="D1249" s="643">
        <f t="shared" si="151"/>
        <v>229660</v>
      </c>
      <c r="E1249" s="667">
        <f>SUM(H1249+K1249+N1249+Q1249)</f>
        <v>229655</v>
      </c>
      <c r="F1249" s="1011">
        <f t="shared" si="150"/>
        <v>99.99782286858834</v>
      </c>
      <c r="G1249" s="666">
        <f>257960-28300</f>
        <v>229660</v>
      </c>
      <c r="H1249" s="667">
        <v>229655</v>
      </c>
      <c r="I1249" s="644">
        <f t="shared" si="154"/>
        <v>99.99782286858834</v>
      </c>
      <c r="J1249" s="730"/>
      <c r="K1249" s="667"/>
      <c r="L1249" s="647"/>
      <c r="M1249" s="667"/>
      <c r="N1249" s="667"/>
      <c r="O1249" s="647"/>
      <c r="P1249" s="667"/>
      <c r="Q1249" s="667"/>
      <c r="R1249" s="737"/>
    </row>
    <row r="1250" spans="1:18" ht="24">
      <c r="A1250" s="728">
        <v>4110</v>
      </c>
      <c r="B1250" s="995" t="s">
        <v>703</v>
      </c>
      <c r="C1250" s="666">
        <v>602160</v>
      </c>
      <c r="D1250" s="643">
        <f t="shared" si="151"/>
        <v>602160</v>
      </c>
      <c r="E1250" s="667">
        <f aca="true" t="shared" si="155" ref="E1250:E1267">SUM(H1250+K1250+N1250+Q1250)</f>
        <v>438653</v>
      </c>
      <c r="F1250" s="1011">
        <f t="shared" si="150"/>
        <v>72.84658562508304</v>
      </c>
      <c r="G1250" s="666">
        <v>602160</v>
      </c>
      <c r="H1250" s="667">
        <v>438653</v>
      </c>
      <c r="I1250" s="644">
        <f t="shared" si="154"/>
        <v>72.84658562508304</v>
      </c>
      <c r="J1250" s="730"/>
      <c r="K1250" s="667"/>
      <c r="L1250" s="647"/>
      <c r="M1250" s="667"/>
      <c r="N1250" s="667"/>
      <c r="O1250" s="647"/>
      <c r="P1250" s="667"/>
      <c r="Q1250" s="667"/>
      <c r="R1250" s="737"/>
    </row>
    <row r="1251" spans="1:18" ht="12.75">
      <c r="A1251" s="728">
        <v>4120</v>
      </c>
      <c r="B1251" s="995" t="s">
        <v>847</v>
      </c>
      <c r="C1251" s="666">
        <v>89750</v>
      </c>
      <c r="D1251" s="643">
        <f t="shared" si="151"/>
        <v>80880</v>
      </c>
      <c r="E1251" s="667">
        <f t="shared" si="155"/>
        <v>67434</v>
      </c>
      <c r="F1251" s="1011">
        <f t="shared" si="150"/>
        <v>83.3753709198813</v>
      </c>
      <c r="G1251" s="666">
        <f>89750-8870</f>
        <v>80880</v>
      </c>
      <c r="H1251" s="667">
        <v>67434</v>
      </c>
      <c r="I1251" s="644">
        <f t="shared" si="154"/>
        <v>83.3753709198813</v>
      </c>
      <c r="J1251" s="730"/>
      <c r="K1251" s="667"/>
      <c r="L1251" s="647"/>
      <c r="M1251" s="667"/>
      <c r="N1251" s="667"/>
      <c r="O1251" s="647"/>
      <c r="P1251" s="667"/>
      <c r="Q1251" s="667"/>
      <c r="R1251" s="737"/>
    </row>
    <row r="1252" spans="1:18" ht="12.75">
      <c r="A1252" s="728">
        <v>4140</v>
      </c>
      <c r="B1252" s="995" t="s">
        <v>804</v>
      </c>
      <c r="C1252" s="666">
        <v>51000</v>
      </c>
      <c r="D1252" s="643">
        <f>G1252+J1252+P1252+M1252</f>
        <v>88170</v>
      </c>
      <c r="E1252" s="667">
        <f>SUM(H1252+K1252+N1252+Q1252)</f>
        <v>61622</v>
      </c>
      <c r="F1252" s="1011">
        <f>E1252/D1252*100</f>
        <v>69.88998525575593</v>
      </c>
      <c r="G1252" s="666">
        <f>51000+37170</f>
        <v>88170</v>
      </c>
      <c r="H1252" s="667">
        <v>61622</v>
      </c>
      <c r="I1252" s="644">
        <f t="shared" si="154"/>
        <v>69.88998525575593</v>
      </c>
      <c r="J1252" s="730"/>
      <c r="K1252" s="667"/>
      <c r="L1252" s="647"/>
      <c r="M1252" s="667"/>
      <c r="N1252" s="667"/>
      <c r="O1252" s="647"/>
      <c r="P1252" s="667"/>
      <c r="Q1252" s="667"/>
      <c r="R1252" s="737"/>
    </row>
    <row r="1253" spans="1:18" ht="24">
      <c r="A1253" s="728">
        <v>4170</v>
      </c>
      <c r="B1253" s="995" t="s">
        <v>742</v>
      </c>
      <c r="C1253" s="666">
        <v>3000</v>
      </c>
      <c r="D1253" s="643">
        <f t="shared" si="151"/>
        <v>8000</v>
      </c>
      <c r="E1253" s="667">
        <f t="shared" si="155"/>
        <v>1599</v>
      </c>
      <c r="F1253" s="1011">
        <f t="shared" si="150"/>
        <v>19.9875</v>
      </c>
      <c r="G1253" s="666">
        <f>3000+5000</f>
        <v>8000</v>
      </c>
      <c r="H1253" s="667">
        <v>1599</v>
      </c>
      <c r="I1253" s="644">
        <f t="shared" si="154"/>
        <v>19.9875</v>
      </c>
      <c r="J1253" s="730"/>
      <c r="K1253" s="667"/>
      <c r="L1253" s="647"/>
      <c r="M1253" s="667"/>
      <c r="N1253" s="667"/>
      <c r="O1253" s="647"/>
      <c r="P1253" s="667"/>
      <c r="Q1253" s="667"/>
      <c r="R1253" s="737"/>
    </row>
    <row r="1254" spans="1:18" ht="24">
      <c r="A1254" s="728">
        <v>4210</v>
      </c>
      <c r="B1254" s="995" t="s">
        <v>707</v>
      </c>
      <c r="C1254" s="666">
        <v>154350</v>
      </c>
      <c r="D1254" s="643">
        <f t="shared" si="151"/>
        <v>154350</v>
      </c>
      <c r="E1254" s="667">
        <f t="shared" si="155"/>
        <v>88811</v>
      </c>
      <c r="F1254" s="1011">
        <f t="shared" si="150"/>
        <v>57.53871072238419</v>
      </c>
      <c r="G1254" s="666">
        <v>154350</v>
      </c>
      <c r="H1254" s="667">
        <v>88811</v>
      </c>
      <c r="I1254" s="699">
        <f t="shared" si="154"/>
        <v>57.53871072238419</v>
      </c>
      <c r="J1254" s="730"/>
      <c r="K1254" s="667"/>
      <c r="L1254" s="647"/>
      <c r="M1254" s="667"/>
      <c r="N1254" s="667"/>
      <c r="O1254" s="647"/>
      <c r="P1254" s="667"/>
      <c r="Q1254" s="667"/>
      <c r="R1254" s="737"/>
    </row>
    <row r="1255" spans="1:18" ht="12.75">
      <c r="A1255" s="728">
        <v>4260</v>
      </c>
      <c r="B1255" s="995" t="s">
        <v>711</v>
      </c>
      <c r="C1255" s="666">
        <v>95000</v>
      </c>
      <c r="D1255" s="643">
        <f t="shared" si="151"/>
        <v>108750</v>
      </c>
      <c r="E1255" s="667">
        <f t="shared" si="155"/>
        <v>85212</v>
      </c>
      <c r="F1255" s="1011">
        <f t="shared" si="150"/>
        <v>78.35586206896552</v>
      </c>
      <c r="G1255" s="666">
        <f>95000+18750-5000</f>
        <v>108750</v>
      </c>
      <c r="H1255" s="667">
        <v>85212</v>
      </c>
      <c r="I1255" s="699">
        <f t="shared" si="154"/>
        <v>78.35586206896552</v>
      </c>
      <c r="J1255" s="730"/>
      <c r="K1255" s="667"/>
      <c r="L1255" s="647"/>
      <c r="M1255" s="667"/>
      <c r="N1255" s="667"/>
      <c r="O1255" s="647"/>
      <c r="P1255" s="667"/>
      <c r="Q1255" s="667"/>
      <c r="R1255" s="737"/>
    </row>
    <row r="1256" spans="1:18" ht="15" customHeight="1">
      <c r="A1256" s="728">
        <v>4270</v>
      </c>
      <c r="B1256" s="995" t="s">
        <v>713</v>
      </c>
      <c r="C1256" s="666">
        <v>70000</v>
      </c>
      <c r="D1256" s="643">
        <f t="shared" si="151"/>
        <v>70000</v>
      </c>
      <c r="E1256" s="667">
        <f t="shared" si="155"/>
        <v>8229</v>
      </c>
      <c r="F1256" s="1011">
        <f t="shared" si="150"/>
        <v>11.755714285714285</v>
      </c>
      <c r="G1256" s="666">
        <v>70000</v>
      </c>
      <c r="H1256" s="667">
        <v>8229</v>
      </c>
      <c r="I1256" s="699">
        <f t="shared" si="154"/>
        <v>11.755714285714285</v>
      </c>
      <c r="J1256" s="730"/>
      <c r="K1256" s="667"/>
      <c r="L1256" s="647"/>
      <c r="M1256" s="667"/>
      <c r="N1256" s="667"/>
      <c r="O1256" s="647"/>
      <c r="P1256" s="667"/>
      <c r="Q1256" s="667"/>
      <c r="R1256" s="737"/>
    </row>
    <row r="1257" spans="1:18" ht="15" customHeight="1">
      <c r="A1257" s="728">
        <v>4280</v>
      </c>
      <c r="B1257" s="995" t="s">
        <v>805</v>
      </c>
      <c r="C1257" s="666">
        <v>5000</v>
      </c>
      <c r="D1257" s="643">
        <f t="shared" si="151"/>
        <v>5000</v>
      </c>
      <c r="E1257" s="667">
        <f t="shared" si="155"/>
        <v>2477</v>
      </c>
      <c r="F1257" s="1011">
        <f t="shared" si="150"/>
        <v>49.54</v>
      </c>
      <c r="G1257" s="666">
        <v>5000</v>
      </c>
      <c r="H1257" s="667">
        <f>2476+1</f>
        <v>2477</v>
      </c>
      <c r="I1257" s="699">
        <f t="shared" si="154"/>
        <v>49.54</v>
      </c>
      <c r="J1257" s="730"/>
      <c r="K1257" s="667"/>
      <c r="L1257" s="647"/>
      <c r="M1257" s="667"/>
      <c r="N1257" s="667"/>
      <c r="O1257" s="647"/>
      <c r="P1257" s="667"/>
      <c r="Q1257" s="667"/>
      <c r="R1257" s="737"/>
    </row>
    <row r="1258" spans="1:18" ht="15" customHeight="1">
      <c r="A1258" s="728">
        <v>4300</v>
      </c>
      <c r="B1258" s="995" t="s">
        <v>806</v>
      </c>
      <c r="C1258" s="666">
        <v>195000</v>
      </c>
      <c r="D1258" s="643">
        <f t="shared" si="151"/>
        <v>233000</v>
      </c>
      <c r="E1258" s="667">
        <f t="shared" si="155"/>
        <v>170512</v>
      </c>
      <c r="F1258" s="1011">
        <f t="shared" si="150"/>
        <v>73.18111587982833</v>
      </c>
      <c r="G1258" s="666">
        <f>195000+37000-5000+6000</f>
        <v>233000</v>
      </c>
      <c r="H1258" s="667">
        <v>170512</v>
      </c>
      <c r="I1258" s="699">
        <f t="shared" si="154"/>
        <v>73.18111587982833</v>
      </c>
      <c r="J1258" s="730"/>
      <c r="K1258" s="667"/>
      <c r="L1258" s="647"/>
      <c r="M1258" s="667"/>
      <c r="N1258" s="667"/>
      <c r="O1258" s="647"/>
      <c r="P1258" s="667"/>
      <c r="Q1258" s="667"/>
      <c r="R1258" s="737"/>
    </row>
    <row r="1259" spans="1:18" ht="24">
      <c r="A1259" s="728">
        <v>4350</v>
      </c>
      <c r="B1259" s="995" t="s">
        <v>807</v>
      </c>
      <c r="C1259" s="666">
        <v>5000</v>
      </c>
      <c r="D1259" s="643">
        <f t="shared" si="151"/>
        <v>5000</v>
      </c>
      <c r="E1259" s="667">
        <f t="shared" si="155"/>
        <v>3139</v>
      </c>
      <c r="F1259" s="1011">
        <f t="shared" si="150"/>
        <v>62.78</v>
      </c>
      <c r="G1259" s="666">
        <v>5000</v>
      </c>
      <c r="H1259" s="667">
        <v>3139</v>
      </c>
      <c r="I1259" s="699">
        <f t="shared" si="154"/>
        <v>62.78</v>
      </c>
      <c r="J1259" s="730"/>
      <c r="K1259" s="667"/>
      <c r="L1259" s="647"/>
      <c r="M1259" s="667"/>
      <c r="N1259" s="667"/>
      <c r="O1259" s="647"/>
      <c r="P1259" s="667"/>
      <c r="Q1259" s="667"/>
      <c r="R1259" s="737"/>
    </row>
    <row r="1260" spans="1:18" ht="48">
      <c r="A1260" s="756">
        <v>4360</v>
      </c>
      <c r="B1260" s="851" t="s">
        <v>982</v>
      </c>
      <c r="C1260" s="670">
        <v>11000</v>
      </c>
      <c r="D1260" s="685">
        <f t="shared" si="151"/>
        <v>11000</v>
      </c>
      <c r="E1260" s="686">
        <f>SUM(H1260+K1260+N1260+Q1260)</f>
        <v>7334</v>
      </c>
      <c r="F1260" s="1054">
        <f>E1260/D1260*100</f>
        <v>66.67272727272727</v>
      </c>
      <c r="G1260" s="670">
        <v>11000</v>
      </c>
      <c r="H1260" s="686">
        <v>7334</v>
      </c>
      <c r="I1260" s="694">
        <f t="shared" si="154"/>
        <v>66.67272727272727</v>
      </c>
      <c r="J1260" s="777"/>
      <c r="K1260" s="686"/>
      <c r="L1260" s="652"/>
      <c r="M1260" s="686"/>
      <c r="N1260" s="686"/>
      <c r="O1260" s="652"/>
      <c r="P1260" s="686"/>
      <c r="Q1260" s="686"/>
      <c r="R1260" s="760"/>
    </row>
    <row r="1261" spans="1:18" ht="48">
      <c r="A1261" s="829">
        <v>4370</v>
      </c>
      <c r="B1261" s="850" t="s">
        <v>916</v>
      </c>
      <c r="C1261" s="666">
        <v>64000</v>
      </c>
      <c r="D1261" s="643">
        <f t="shared" si="151"/>
        <v>64000</v>
      </c>
      <c r="E1261" s="667">
        <f>SUM(H1261+K1261+N1261+Q1261)</f>
        <v>41025</v>
      </c>
      <c r="F1261" s="1011">
        <f>E1261/D1261*100</f>
        <v>64.1015625</v>
      </c>
      <c r="G1261" s="666">
        <v>64000</v>
      </c>
      <c r="H1261" s="667">
        <v>41025</v>
      </c>
      <c r="I1261" s="699">
        <f t="shared" si="154"/>
        <v>64.1015625</v>
      </c>
      <c r="J1261" s="730"/>
      <c r="K1261" s="667"/>
      <c r="L1261" s="647"/>
      <c r="M1261" s="667"/>
      <c r="N1261" s="667"/>
      <c r="O1261" s="647"/>
      <c r="P1261" s="667"/>
      <c r="Q1261" s="667"/>
      <c r="R1261" s="737"/>
    </row>
    <row r="1262" spans="1:18" ht="36">
      <c r="A1262" s="829">
        <v>4390</v>
      </c>
      <c r="B1262" s="850" t="s">
        <v>743</v>
      </c>
      <c r="C1262" s="666">
        <v>41000</v>
      </c>
      <c r="D1262" s="643">
        <f>G1262+J1262+P1262+M1262</f>
        <v>41000</v>
      </c>
      <c r="E1262" s="667">
        <f>SUM(H1262+K1262+N1262+Q1262)</f>
        <v>30575</v>
      </c>
      <c r="F1262" s="1011">
        <f>E1262/D1262*100</f>
        <v>74.57317073170732</v>
      </c>
      <c r="G1262" s="666">
        <v>41000</v>
      </c>
      <c r="H1262" s="667">
        <v>30575</v>
      </c>
      <c r="I1262" s="699">
        <f t="shared" si="154"/>
        <v>74.57317073170732</v>
      </c>
      <c r="J1262" s="730"/>
      <c r="K1262" s="667"/>
      <c r="L1262" s="647"/>
      <c r="M1262" s="667"/>
      <c r="N1262" s="667"/>
      <c r="O1262" s="647"/>
      <c r="P1262" s="667"/>
      <c r="Q1262" s="667"/>
      <c r="R1262" s="737"/>
    </row>
    <row r="1263" spans="1:18" ht="24">
      <c r="A1263" s="829">
        <v>4400</v>
      </c>
      <c r="B1263" s="850" t="s">
        <v>810</v>
      </c>
      <c r="C1263" s="666">
        <v>7250</v>
      </c>
      <c r="D1263" s="643">
        <f t="shared" si="151"/>
        <v>7250</v>
      </c>
      <c r="E1263" s="667">
        <f>SUM(H1263+K1263+N1263+Q1263)</f>
        <v>5177</v>
      </c>
      <c r="F1263" s="1011">
        <f>E1263/D1263*100</f>
        <v>71.40689655172415</v>
      </c>
      <c r="G1263" s="666">
        <v>7250</v>
      </c>
      <c r="H1263" s="667">
        <v>5177</v>
      </c>
      <c r="I1263" s="699">
        <f t="shared" si="154"/>
        <v>71.40689655172415</v>
      </c>
      <c r="J1263" s="730"/>
      <c r="K1263" s="667"/>
      <c r="L1263" s="647"/>
      <c r="M1263" s="667"/>
      <c r="N1263" s="667"/>
      <c r="O1263" s="647"/>
      <c r="P1263" s="667"/>
      <c r="Q1263" s="667"/>
      <c r="R1263" s="737"/>
    </row>
    <row r="1264" spans="1:18" ht="15" customHeight="1">
      <c r="A1264" s="728">
        <v>4410</v>
      </c>
      <c r="B1264" s="995" t="s">
        <v>689</v>
      </c>
      <c r="C1264" s="666">
        <v>39500</v>
      </c>
      <c r="D1264" s="643">
        <f t="shared" si="151"/>
        <v>39500</v>
      </c>
      <c r="E1264" s="667">
        <f t="shared" si="155"/>
        <v>33673</v>
      </c>
      <c r="F1264" s="1011">
        <f t="shared" si="150"/>
        <v>85.24810126582278</v>
      </c>
      <c r="G1264" s="666">
        <v>39500</v>
      </c>
      <c r="H1264" s="667">
        <v>33673</v>
      </c>
      <c r="I1264" s="699">
        <f t="shared" si="154"/>
        <v>85.24810126582278</v>
      </c>
      <c r="J1264" s="730"/>
      <c r="K1264" s="667"/>
      <c r="L1264" s="647"/>
      <c r="M1264" s="667"/>
      <c r="N1264" s="667"/>
      <c r="O1264" s="647"/>
      <c r="P1264" s="667"/>
      <c r="Q1264" s="667"/>
      <c r="R1264" s="737"/>
    </row>
    <row r="1265" spans="1:18" ht="24" hidden="1">
      <c r="A1265" s="728">
        <v>4420</v>
      </c>
      <c r="B1265" s="995" t="s">
        <v>823</v>
      </c>
      <c r="C1265" s="666"/>
      <c r="D1265" s="643">
        <f t="shared" si="151"/>
        <v>0</v>
      </c>
      <c r="E1265" s="667">
        <f t="shared" si="155"/>
        <v>0</v>
      </c>
      <c r="F1265" s="1011" t="e">
        <f t="shared" si="150"/>
        <v>#DIV/0!</v>
      </c>
      <c r="G1265" s="666"/>
      <c r="H1265" s="667"/>
      <c r="I1265" s="699" t="e">
        <f t="shared" si="154"/>
        <v>#DIV/0!</v>
      </c>
      <c r="J1265" s="730"/>
      <c r="K1265" s="667"/>
      <c r="L1265" s="647"/>
      <c r="M1265" s="667"/>
      <c r="N1265" s="667"/>
      <c r="O1265" s="647"/>
      <c r="P1265" s="667"/>
      <c r="Q1265" s="667"/>
      <c r="R1265" s="737"/>
    </row>
    <row r="1266" spans="1:18" ht="15" customHeight="1">
      <c r="A1266" s="728">
        <v>4430</v>
      </c>
      <c r="B1266" s="995" t="s">
        <v>717</v>
      </c>
      <c r="C1266" s="666">
        <v>14200</v>
      </c>
      <c r="D1266" s="643">
        <f t="shared" si="151"/>
        <v>14200</v>
      </c>
      <c r="E1266" s="667">
        <f t="shared" si="155"/>
        <v>8889</v>
      </c>
      <c r="F1266" s="1011">
        <f t="shared" si="150"/>
        <v>62.598591549295776</v>
      </c>
      <c r="G1266" s="666">
        <v>14200</v>
      </c>
      <c r="H1266" s="667">
        <v>8889</v>
      </c>
      <c r="I1266" s="699">
        <f t="shared" si="154"/>
        <v>62.598591549295776</v>
      </c>
      <c r="J1266" s="730"/>
      <c r="K1266" s="667"/>
      <c r="L1266" s="647"/>
      <c r="M1266" s="667"/>
      <c r="N1266" s="667"/>
      <c r="O1266" s="647"/>
      <c r="P1266" s="667"/>
      <c r="Q1266" s="667"/>
      <c r="R1266" s="737"/>
    </row>
    <row r="1267" spans="1:18" ht="15" customHeight="1">
      <c r="A1267" s="728">
        <v>4440</v>
      </c>
      <c r="B1267" s="995" t="s">
        <v>719</v>
      </c>
      <c r="C1267" s="666">
        <v>92000</v>
      </c>
      <c r="D1267" s="643">
        <f t="shared" si="151"/>
        <v>92000</v>
      </c>
      <c r="E1267" s="667">
        <f t="shared" si="155"/>
        <v>92000</v>
      </c>
      <c r="F1267" s="1011">
        <f t="shared" si="150"/>
        <v>100</v>
      </c>
      <c r="G1267" s="666">
        <v>92000</v>
      </c>
      <c r="H1267" s="667">
        <v>92000</v>
      </c>
      <c r="I1267" s="644">
        <f t="shared" si="154"/>
        <v>100</v>
      </c>
      <c r="J1267" s="730"/>
      <c r="K1267" s="667"/>
      <c r="L1267" s="647"/>
      <c r="M1267" s="667"/>
      <c r="N1267" s="667"/>
      <c r="O1267" s="647"/>
      <c r="P1267" s="667"/>
      <c r="Q1267" s="667"/>
      <c r="R1267" s="737"/>
    </row>
    <row r="1268" spans="1:18" ht="17.25" customHeight="1">
      <c r="A1268" s="728">
        <v>4480</v>
      </c>
      <c r="B1268" s="995" t="s">
        <v>426</v>
      </c>
      <c r="C1268" s="666">
        <v>16630</v>
      </c>
      <c r="D1268" s="643">
        <f t="shared" si="151"/>
        <v>16630</v>
      </c>
      <c r="E1268" s="643">
        <f>H1268+K1268+Q1268+N1268</f>
        <v>12522</v>
      </c>
      <c r="F1268" s="1011">
        <f t="shared" si="150"/>
        <v>75.29765484064943</v>
      </c>
      <c r="G1268" s="666">
        <v>16630</v>
      </c>
      <c r="H1268" s="667">
        <v>12522</v>
      </c>
      <c r="I1268" s="699">
        <f t="shared" si="154"/>
        <v>75.29765484064943</v>
      </c>
      <c r="J1268" s="730"/>
      <c r="K1268" s="667"/>
      <c r="L1268" s="647"/>
      <c r="M1268" s="667"/>
      <c r="N1268" s="667"/>
      <c r="O1268" s="647"/>
      <c r="P1268" s="667"/>
      <c r="Q1268" s="667"/>
      <c r="R1268" s="737"/>
    </row>
    <row r="1269" spans="1:18" ht="24">
      <c r="A1269" s="728">
        <v>4530</v>
      </c>
      <c r="B1269" s="995" t="s">
        <v>837</v>
      </c>
      <c r="C1269" s="666">
        <v>300</v>
      </c>
      <c r="D1269" s="643">
        <f t="shared" si="151"/>
        <v>300</v>
      </c>
      <c r="E1269" s="643">
        <f>H1269+K1269+Q1269+N1269</f>
        <v>41</v>
      </c>
      <c r="F1269" s="1011">
        <f t="shared" si="150"/>
        <v>13.666666666666666</v>
      </c>
      <c r="G1269" s="666">
        <v>300</v>
      </c>
      <c r="H1269" s="667">
        <v>41</v>
      </c>
      <c r="I1269" s="699">
        <f t="shared" si="154"/>
        <v>13.666666666666666</v>
      </c>
      <c r="J1269" s="730"/>
      <c r="K1269" s="667"/>
      <c r="L1269" s="647"/>
      <c r="M1269" s="667"/>
      <c r="N1269" s="667"/>
      <c r="O1269" s="647"/>
      <c r="P1269" s="667"/>
      <c r="Q1269" s="667"/>
      <c r="R1269" s="737"/>
    </row>
    <row r="1270" spans="1:18" ht="12.75" hidden="1">
      <c r="A1270" s="728">
        <v>4580</v>
      </c>
      <c r="B1270" s="995" t="s">
        <v>412</v>
      </c>
      <c r="C1270" s="666"/>
      <c r="D1270" s="643">
        <f>G1270+J1270+P1270+M1270</f>
        <v>0</v>
      </c>
      <c r="E1270" s="643">
        <f>H1270+K1270+Q1270+N1270</f>
        <v>0</v>
      </c>
      <c r="F1270" s="1011" t="e">
        <f>E1270/D1270*100</f>
        <v>#DIV/0!</v>
      </c>
      <c r="G1270" s="666"/>
      <c r="H1270" s="667"/>
      <c r="I1270" s="699" t="e">
        <f t="shared" si="154"/>
        <v>#DIV/0!</v>
      </c>
      <c r="J1270" s="730"/>
      <c r="K1270" s="667"/>
      <c r="L1270" s="647"/>
      <c r="M1270" s="667"/>
      <c r="N1270" s="667"/>
      <c r="O1270" s="647"/>
      <c r="P1270" s="667"/>
      <c r="Q1270" s="667"/>
      <c r="R1270" s="737"/>
    </row>
    <row r="1271" spans="1:18" ht="36">
      <c r="A1271" s="728">
        <v>4610</v>
      </c>
      <c r="B1271" s="995" t="s">
        <v>84</v>
      </c>
      <c r="C1271" s="666">
        <v>4400</v>
      </c>
      <c r="D1271" s="643">
        <f t="shared" si="151"/>
        <v>4400</v>
      </c>
      <c r="E1271" s="667">
        <f aca="true" t="shared" si="156" ref="E1271:E1283">SUM(H1271+K1271+N1271+Q1271)</f>
        <v>851</v>
      </c>
      <c r="F1271" s="1011">
        <f t="shared" si="150"/>
        <v>19.340909090909093</v>
      </c>
      <c r="G1271" s="666">
        <v>4400</v>
      </c>
      <c r="H1271" s="667">
        <v>851</v>
      </c>
      <c r="I1271" s="699">
        <f t="shared" si="154"/>
        <v>19.340909090909093</v>
      </c>
      <c r="J1271" s="730"/>
      <c r="K1271" s="667"/>
      <c r="L1271" s="647"/>
      <c r="M1271" s="667"/>
      <c r="N1271" s="667"/>
      <c r="O1271" s="647"/>
      <c r="P1271" s="667"/>
      <c r="Q1271" s="667"/>
      <c r="R1271" s="737"/>
    </row>
    <row r="1272" spans="1:18" ht="36">
      <c r="A1272" s="829">
        <v>4700</v>
      </c>
      <c r="B1272" s="850" t="s">
        <v>813</v>
      </c>
      <c r="C1272" s="666">
        <v>20400</v>
      </c>
      <c r="D1272" s="643">
        <f t="shared" si="151"/>
        <v>20400</v>
      </c>
      <c r="E1272" s="667">
        <f t="shared" si="156"/>
        <v>18924</v>
      </c>
      <c r="F1272" s="1011">
        <f t="shared" si="150"/>
        <v>92.76470588235294</v>
      </c>
      <c r="G1272" s="666">
        <v>20400</v>
      </c>
      <c r="H1272" s="667">
        <v>18924</v>
      </c>
      <c r="I1272" s="699">
        <f t="shared" si="154"/>
        <v>92.76470588235294</v>
      </c>
      <c r="J1272" s="730"/>
      <c r="K1272" s="667"/>
      <c r="L1272" s="647"/>
      <c r="M1272" s="667"/>
      <c r="N1272" s="667"/>
      <c r="O1272" s="647"/>
      <c r="P1272" s="667"/>
      <c r="Q1272" s="667"/>
      <c r="R1272" s="737"/>
    </row>
    <row r="1273" spans="1:18" ht="60">
      <c r="A1273" s="829">
        <v>4740</v>
      </c>
      <c r="B1273" s="850" t="s">
        <v>728</v>
      </c>
      <c r="C1273" s="666">
        <v>22700</v>
      </c>
      <c r="D1273" s="643">
        <f t="shared" si="151"/>
        <v>12700</v>
      </c>
      <c r="E1273" s="667">
        <f t="shared" si="156"/>
        <v>8366</v>
      </c>
      <c r="F1273" s="1011">
        <f t="shared" si="150"/>
        <v>65.8740157480315</v>
      </c>
      <c r="G1273" s="666">
        <f>22700-10000</f>
        <v>12700</v>
      </c>
      <c r="H1273" s="667">
        <v>8366</v>
      </c>
      <c r="I1273" s="699">
        <f t="shared" si="154"/>
        <v>65.8740157480315</v>
      </c>
      <c r="J1273" s="730"/>
      <c r="K1273" s="667"/>
      <c r="L1273" s="647"/>
      <c r="M1273" s="667"/>
      <c r="N1273" s="667"/>
      <c r="O1273" s="647"/>
      <c r="P1273" s="667"/>
      <c r="Q1273" s="667"/>
      <c r="R1273" s="737"/>
    </row>
    <row r="1274" spans="1:18" ht="36">
      <c r="A1274" s="829">
        <v>4750</v>
      </c>
      <c r="B1274" s="850" t="s">
        <v>814</v>
      </c>
      <c r="C1274" s="666">
        <v>40000</v>
      </c>
      <c r="D1274" s="643">
        <f>G1274+J1274+P1274+M1274</f>
        <v>54000</v>
      </c>
      <c r="E1274" s="667">
        <f t="shared" si="156"/>
        <v>36228</v>
      </c>
      <c r="F1274" s="1011">
        <f t="shared" si="150"/>
        <v>67.08888888888889</v>
      </c>
      <c r="G1274" s="666">
        <f>40000+14000</f>
        <v>54000</v>
      </c>
      <c r="H1274" s="667">
        <v>36228</v>
      </c>
      <c r="I1274" s="699">
        <f t="shared" si="154"/>
        <v>67.08888888888889</v>
      </c>
      <c r="J1274" s="730"/>
      <c r="K1274" s="667"/>
      <c r="L1274" s="647"/>
      <c r="M1274" s="667"/>
      <c r="N1274" s="667"/>
      <c r="O1274" s="647"/>
      <c r="P1274" s="667"/>
      <c r="Q1274" s="667"/>
      <c r="R1274" s="737"/>
    </row>
    <row r="1275" spans="1:18" ht="12.75">
      <c r="A1275" s="829">
        <v>4990</v>
      </c>
      <c r="B1275" s="865" t="s">
        <v>85</v>
      </c>
      <c r="C1275" s="666"/>
      <c r="D1275" s="643"/>
      <c r="E1275" s="667">
        <f t="shared" si="156"/>
        <v>301</v>
      </c>
      <c r="F1275" s="1011"/>
      <c r="G1275" s="666"/>
      <c r="H1275" s="667">
        <v>301</v>
      </c>
      <c r="I1275" s="699"/>
      <c r="J1275" s="730"/>
      <c r="K1275" s="667"/>
      <c r="L1275" s="647"/>
      <c r="M1275" s="667"/>
      <c r="N1275" s="667"/>
      <c r="O1275" s="647"/>
      <c r="P1275" s="667"/>
      <c r="Q1275" s="667"/>
      <c r="R1275" s="737"/>
    </row>
    <row r="1276" spans="1:18" ht="24">
      <c r="A1276" s="762">
        <v>6050</v>
      </c>
      <c r="B1276" s="1012" t="s">
        <v>739</v>
      </c>
      <c r="C1276" s="781">
        <v>227000</v>
      </c>
      <c r="D1276" s="765">
        <f>G1276+J1276+P1276+M1276</f>
        <v>210000</v>
      </c>
      <c r="E1276" s="785">
        <f t="shared" si="156"/>
        <v>165722</v>
      </c>
      <c r="F1276" s="1050">
        <f t="shared" si="150"/>
        <v>78.9152380952381</v>
      </c>
      <c r="G1276" s="781">
        <f>227000+23000-40000</f>
        <v>210000</v>
      </c>
      <c r="H1276" s="785">
        <v>165722</v>
      </c>
      <c r="I1276" s="815">
        <f t="shared" si="154"/>
        <v>78.9152380952381</v>
      </c>
      <c r="J1276" s="782"/>
      <c r="K1276" s="785"/>
      <c r="L1276" s="707"/>
      <c r="M1276" s="785"/>
      <c r="N1276" s="785"/>
      <c r="O1276" s="707"/>
      <c r="P1276" s="785"/>
      <c r="Q1276" s="785"/>
      <c r="R1276" s="770"/>
    </row>
    <row r="1277" spans="1:18" s="723" customFormat="1" ht="72">
      <c r="A1277" s="728">
        <v>6060</v>
      </c>
      <c r="B1277" s="995" t="s">
        <v>86</v>
      </c>
      <c r="C1277" s="666">
        <v>281000</v>
      </c>
      <c r="D1277" s="643">
        <f t="shared" si="151"/>
        <v>298000</v>
      </c>
      <c r="E1277" s="667">
        <f t="shared" si="156"/>
        <v>164439</v>
      </c>
      <c r="F1277" s="1011">
        <f t="shared" si="150"/>
        <v>55.18087248322148</v>
      </c>
      <c r="G1277" s="666">
        <f>281000-23000+40000</f>
        <v>298000</v>
      </c>
      <c r="H1277" s="667">
        <v>164439</v>
      </c>
      <c r="I1277" s="699">
        <f t="shared" si="154"/>
        <v>55.18087248322148</v>
      </c>
      <c r="J1277" s="730"/>
      <c r="K1277" s="667"/>
      <c r="L1277" s="647"/>
      <c r="M1277" s="667"/>
      <c r="N1277" s="667"/>
      <c r="O1277" s="647"/>
      <c r="P1277" s="667"/>
      <c r="Q1277" s="667"/>
      <c r="R1277" s="737"/>
    </row>
    <row r="1278" spans="1:18" s="1062" customFormat="1" ht="108" hidden="1">
      <c r="A1278" s="1056"/>
      <c r="B1278" s="1057" t="s">
        <v>87</v>
      </c>
      <c r="C1278" s="860"/>
      <c r="D1278" s="861">
        <f t="shared" si="151"/>
        <v>0</v>
      </c>
      <c r="E1278" s="861">
        <f t="shared" si="156"/>
        <v>0</v>
      </c>
      <c r="F1278" s="1058" t="e">
        <f t="shared" si="150"/>
        <v>#DIV/0!</v>
      </c>
      <c r="G1278" s="860"/>
      <c r="H1278" s="861"/>
      <c r="I1278" s="1059"/>
      <c r="J1278" s="862">
        <f>SUM(J1279:J1283)</f>
        <v>0</v>
      </c>
      <c r="K1278" s="861">
        <f>SUM(K1279:K1283)</f>
        <v>0</v>
      </c>
      <c r="L1278" s="1060" t="e">
        <f aca="true" t="shared" si="157" ref="L1278:L1283">K1278/J1278*100</f>
        <v>#DIV/0!</v>
      </c>
      <c r="M1278" s="861"/>
      <c r="N1278" s="861"/>
      <c r="O1278" s="1060"/>
      <c r="P1278" s="861"/>
      <c r="Q1278" s="861"/>
      <c r="R1278" s="1061"/>
    </row>
    <row r="1279" spans="1:18" s="723" customFormat="1" ht="24" hidden="1">
      <c r="A1279" s="728">
        <v>4110</v>
      </c>
      <c r="B1279" s="995" t="s">
        <v>703</v>
      </c>
      <c r="C1279" s="666"/>
      <c r="D1279" s="643">
        <f t="shared" si="151"/>
        <v>0</v>
      </c>
      <c r="E1279" s="667">
        <f t="shared" si="156"/>
        <v>0</v>
      </c>
      <c r="F1279" s="1011" t="e">
        <f t="shared" si="150"/>
        <v>#DIV/0!</v>
      </c>
      <c r="G1279" s="666"/>
      <c r="H1279" s="667"/>
      <c r="I1279" s="699"/>
      <c r="J1279" s="730">
        <f>910-910</f>
        <v>0</v>
      </c>
      <c r="K1279" s="667"/>
      <c r="L1279" s="1063" t="e">
        <f t="shared" si="157"/>
        <v>#DIV/0!</v>
      </c>
      <c r="M1279" s="667"/>
      <c r="N1279" s="667"/>
      <c r="O1279" s="647"/>
      <c r="P1279" s="667"/>
      <c r="Q1279" s="667"/>
      <c r="R1279" s="737"/>
    </row>
    <row r="1280" spans="1:18" s="723" customFormat="1" ht="12.75" hidden="1">
      <c r="A1280" s="728">
        <v>4120</v>
      </c>
      <c r="B1280" s="995" t="s">
        <v>847</v>
      </c>
      <c r="C1280" s="666"/>
      <c r="D1280" s="643">
        <f t="shared" si="151"/>
        <v>0</v>
      </c>
      <c r="E1280" s="667">
        <f t="shared" si="156"/>
        <v>0</v>
      </c>
      <c r="F1280" s="1011" t="e">
        <f t="shared" si="150"/>
        <v>#DIV/0!</v>
      </c>
      <c r="G1280" s="666"/>
      <c r="H1280" s="667"/>
      <c r="I1280" s="699"/>
      <c r="J1280" s="730">
        <f>140-140</f>
        <v>0</v>
      </c>
      <c r="K1280" s="667"/>
      <c r="L1280" s="1063" t="e">
        <f t="shared" si="157"/>
        <v>#DIV/0!</v>
      </c>
      <c r="M1280" s="667"/>
      <c r="N1280" s="667"/>
      <c r="O1280" s="647"/>
      <c r="P1280" s="667"/>
      <c r="Q1280" s="667"/>
      <c r="R1280" s="737"/>
    </row>
    <row r="1281" spans="1:18" s="723" customFormat="1" ht="24" hidden="1">
      <c r="A1281" s="728">
        <v>4170</v>
      </c>
      <c r="B1281" s="995" t="s">
        <v>742</v>
      </c>
      <c r="C1281" s="666"/>
      <c r="D1281" s="643">
        <f t="shared" si="151"/>
        <v>0</v>
      </c>
      <c r="E1281" s="667">
        <f t="shared" si="156"/>
        <v>0</v>
      </c>
      <c r="F1281" s="1011" t="e">
        <f t="shared" si="150"/>
        <v>#DIV/0!</v>
      </c>
      <c r="G1281" s="666"/>
      <c r="H1281" s="667"/>
      <c r="I1281" s="699"/>
      <c r="J1281" s="730">
        <f>5950-5950</f>
        <v>0</v>
      </c>
      <c r="K1281" s="667"/>
      <c r="L1281" s="1063" t="e">
        <f t="shared" si="157"/>
        <v>#DIV/0!</v>
      </c>
      <c r="M1281" s="667"/>
      <c r="N1281" s="667"/>
      <c r="O1281" s="647"/>
      <c r="P1281" s="667"/>
      <c r="Q1281" s="667"/>
      <c r="R1281" s="737"/>
    </row>
    <row r="1282" spans="1:18" s="723" customFormat="1" ht="24" hidden="1">
      <c r="A1282" s="728">
        <v>4210</v>
      </c>
      <c r="B1282" s="995" t="s">
        <v>707</v>
      </c>
      <c r="C1282" s="666"/>
      <c r="D1282" s="643">
        <f t="shared" si="151"/>
        <v>0</v>
      </c>
      <c r="E1282" s="667">
        <f t="shared" si="156"/>
        <v>0</v>
      </c>
      <c r="F1282" s="1011" t="e">
        <f t="shared" si="150"/>
        <v>#DIV/0!</v>
      </c>
      <c r="G1282" s="666"/>
      <c r="H1282" s="667"/>
      <c r="I1282" s="699"/>
      <c r="J1282" s="730">
        <f>1600-1600</f>
        <v>0</v>
      </c>
      <c r="K1282" s="667"/>
      <c r="L1282" s="1063" t="e">
        <f t="shared" si="157"/>
        <v>#DIV/0!</v>
      </c>
      <c r="M1282" s="667"/>
      <c r="N1282" s="667"/>
      <c r="O1282" s="647"/>
      <c r="P1282" s="667"/>
      <c r="Q1282" s="667"/>
      <c r="R1282" s="737"/>
    </row>
    <row r="1283" spans="1:18" s="723" customFormat="1" ht="24" hidden="1">
      <c r="A1283" s="728">
        <v>4300</v>
      </c>
      <c r="B1283" s="995" t="s">
        <v>806</v>
      </c>
      <c r="C1283" s="666"/>
      <c r="D1283" s="643">
        <f t="shared" si="151"/>
        <v>0</v>
      </c>
      <c r="E1283" s="667">
        <f t="shared" si="156"/>
        <v>0</v>
      </c>
      <c r="F1283" s="1011" t="e">
        <f t="shared" si="150"/>
        <v>#DIV/0!</v>
      </c>
      <c r="G1283" s="666"/>
      <c r="H1283" s="785"/>
      <c r="I1283" s="699"/>
      <c r="J1283" s="782">
        <f>1650-1650</f>
        <v>0</v>
      </c>
      <c r="K1283" s="785"/>
      <c r="L1283" s="1063" t="e">
        <f t="shared" si="157"/>
        <v>#DIV/0!</v>
      </c>
      <c r="M1283" s="785"/>
      <c r="N1283" s="785"/>
      <c r="O1283" s="647"/>
      <c r="P1283" s="785"/>
      <c r="Q1283" s="785"/>
      <c r="R1283" s="770"/>
    </row>
    <row r="1284" spans="1:18" s="723" customFormat="1" ht="72">
      <c r="A1284" s="724">
        <v>85220</v>
      </c>
      <c r="B1284" s="994" t="s">
        <v>88</v>
      </c>
      <c r="C1284" s="726">
        <f>SUM(C1285:C1293)</f>
        <v>233000</v>
      </c>
      <c r="D1284" s="674">
        <f t="shared" si="151"/>
        <v>262500</v>
      </c>
      <c r="E1284" s="657">
        <f>H1284+K1284+Q1284+N1284</f>
        <v>210873</v>
      </c>
      <c r="F1284" s="1053">
        <f t="shared" si="150"/>
        <v>80.33257142857143</v>
      </c>
      <c r="G1284" s="726">
        <f>SUM(G1285:G1293)</f>
        <v>30000</v>
      </c>
      <c r="H1284" s="657">
        <f>SUM(H1285:H1293)</f>
        <v>13694</v>
      </c>
      <c r="I1284" s="842">
        <f>H1284/G1284*100</f>
        <v>45.64666666666667</v>
      </c>
      <c r="J1284" s="662"/>
      <c r="K1284" s="657"/>
      <c r="L1284" s="663"/>
      <c r="M1284" s="657">
        <f>SUM(M1285:M1293)</f>
        <v>215000</v>
      </c>
      <c r="N1284" s="657">
        <f>SUM(N1285:N1293)</f>
        <v>190000</v>
      </c>
      <c r="O1284" s="890">
        <f>N1284/M1284*100</f>
        <v>88.37209302325581</v>
      </c>
      <c r="P1284" s="657">
        <f>SUM(P1285:P1293)</f>
        <v>17500</v>
      </c>
      <c r="Q1284" s="657">
        <f>SUM(Q1285:Q1293)</f>
        <v>7179</v>
      </c>
      <c r="R1284" s="890">
        <f>Q1284/P1284*100</f>
        <v>41.02285714285714</v>
      </c>
    </row>
    <row r="1285" spans="1:18" s="723" customFormat="1" ht="72">
      <c r="A1285" s="728">
        <v>2820</v>
      </c>
      <c r="B1285" s="995" t="s">
        <v>818</v>
      </c>
      <c r="C1285" s="666">
        <v>190000</v>
      </c>
      <c r="D1285" s="643">
        <f t="shared" si="151"/>
        <v>215000</v>
      </c>
      <c r="E1285" s="667">
        <f aca="true" t="shared" si="158" ref="E1285:E1293">SUM(H1285+K1285+N1285+Q1285)</f>
        <v>190000</v>
      </c>
      <c r="F1285" s="1011">
        <f t="shared" si="150"/>
        <v>88.37209302325581</v>
      </c>
      <c r="G1285" s="666"/>
      <c r="H1285" s="667"/>
      <c r="I1285" s="737"/>
      <c r="J1285" s="730"/>
      <c r="K1285" s="667"/>
      <c r="L1285" s="649"/>
      <c r="M1285" s="666">
        <f>190000+25000</f>
        <v>215000</v>
      </c>
      <c r="N1285" s="686">
        <v>190000</v>
      </c>
      <c r="O1285" s="492">
        <f>N1285/M1285*100</f>
        <v>88.37209302325581</v>
      </c>
      <c r="P1285" s="667"/>
      <c r="Q1285" s="667"/>
      <c r="R1285" s="492"/>
    </row>
    <row r="1286" spans="1:18" s="723" customFormat="1" ht="24" hidden="1">
      <c r="A1286" s="728">
        <v>4170</v>
      </c>
      <c r="B1286" s="995" t="s">
        <v>742</v>
      </c>
      <c r="C1286" s="666"/>
      <c r="D1286" s="643">
        <f t="shared" si="151"/>
        <v>0</v>
      </c>
      <c r="E1286" s="667">
        <f t="shared" si="158"/>
        <v>0</v>
      </c>
      <c r="F1286" s="1011"/>
      <c r="G1286" s="666"/>
      <c r="H1286" s="667"/>
      <c r="I1286" s="737"/>
      <c r="J1286" s="730"/>
      <c r="K1286" s="667"/>
      <c r="L1286" s="649"/>
      <c r="M1286" s="666">
        <f>3650-3650</f>
        <v>0</v>
      </c>
      <c r="N1286" s="667"/>
      <c r="O1286" s="647"/>
      <c r="P1286" s="667"/>
      <c r="Q1286" s="667"/>
      <c r="R1286" s="492"/>
    </row>
    <row r="1287" spans="1:18" s="723" customFormat="1" ht="24">
      <c r="A1287" s="728">
        <v>4210</v>
      </c>
      <c r="B1287" s="995" t="s">
        <v>707</v>
      </c>
      <c r="C1287" s="666">
        <v>5500</v>
      </c>
      <c r="D1287" s="643">
        <f t="shared" si="151"/>
        <v>5500</v>
      </c>
      <c r="E1287" s="667">
        <f t="shared" si="158"/>
        <v>986</v>
      </c>
      <c r="F1287" s="1011">
        <f t="shared" si="150"/>
        <v>17.92727272727273</v>
      </c>
      <c r="G1287" s="666"/>
      <c r="H1287" s="667"/>
      <c r="I1287" s="737"/>
      <c r="J1287" s="730"/>
      <c r="K1287" s="667"/>
      <c r="L1287" s="649"/>
      <c r="M1287" s="666"/>
      <c r="N1287" s="667"/>
      <c r="O1287" s="647"/>
      <c r="P1287" s="667">
        <v>5500</v>
      </c>
      <c r="Q1287" s="667">
        <f>985+1</f>
        <v>986</v>
      </c>
      <c r="R1287" s="492">
        <f>Q1287/P1287*100</f>
        <v>17.92727272727273</v>
      </c>
    </row>
    <row r="1288" spans="1:18" s="723" customFormat="1" ht="15.75" customHeight="1">
      <c r="A1288" s="728">
        <v>4260</v>
      </c>
      <c r="B1288" s="995" t="s">
        <v>711</v>
      </c>
      <c r="C1288" s="666">
        <v>15000</v>
      </c>
      <c r="D1288" s="643">
        <f t="shared" si="151"/>
        <v>15000</v>
      </c>
      <c r="E1288" s="667">
        <f t="shared" si="158"/>
        <v>7175</v>
      </c>
      <c r="F1288" s="1011">
        <f t="shared" si="150"/>
        <v>47.833333333333336</v>
      </c>
      <c r="G1288" s="666">
        <v>15000</v>
      </c>
      <c r="H1288" s="667">
        <v>7175</v>
      </c>
      <c r="I1288" s="737">
        <f>H1288/G1288*100</f>
        <v>47.833333333333336</v>
      </c>
      <c r="J1288" s="730"/>
      <c r="K1288" s="667"/>
      <c r="L1288" s="649"/>
      <c r="M1288" s="666"/>
      <c r="N1288" s="667"/>
      <c r="O1288" s="647"/>
      <c r="P1288" s="667"/>
      <c r="Q1288" s="667"/>
      <c r="R1288" s="492"/>
    </row>
    <row r="1289" spans="1:18" s="723" customFormat="1" ht="15.75" customHeight="1">
      <c r="A1289" s="728">
        <v>4270</v>
      </c>
      <c r="B1289" s="995" t="s">
        <v>713</v>
      </c>
      <c r="C1289" s="666">
        <v>4000</v>
      </c>
      <c r="D1289" s="643">
        <f t="shared" si="151"/>
        <v>4000</v>
      </c>
      <c r="E1289" s="667">
        <f t="shared" si="158"/>
        <v>0</v>
      </c>
      <c r="F1289" s="1011">
        <f t="shared" si="150"/>
        <v>0</v>
      </c>
      <c r="G1289" s="666">
        <v>4000</v>
      </c>
      <c r="H1289" s="667"/>
      <c r="I1289" s="737">
        <f>H1289/G1289*100</f>
        <v>0</v>
      </c>
      <c r="J1289" s="730"/>
      <c r="K1289" s="667"/>
      <c r="L1289" s="649"/>
      <c r="M1289" s="666"/>
      <c r="N1289" s="667"/>
      <c r="O1289" s="647"/>
      <c r="P1289" s="667"/>
      <c r="Q1289" s="667"/>
      <c r="R1289" s="647"/>
    </row>
    <row r="1290" spans="1:18" s="723" customFormat="1" ht="15.75" customHeight="1">
      <c r="A1290" s="728">
        <v>4300</v>
      </c>
      <c r="B1290" s="818" t="s">
        <v>806</v>
      </c>
      <c r="C1290" s="666">
        <v>12500</v>
      </c>
      <c r="D1290" s="643">
        <f>G1290+J1290+P1290+M1290</f>
        <v>17000</v>
      </c>
      <c r="E1290" s="667">
        <f>SUM(H1290+K1290+N1290+Q1290)</f>
        <v>8814</v>
      </c>
      <c r="F1290" s="1011">
        <f>E1290/D1290*100</f>
        <v>51.847058823529416</v>
      </c>
      <c r="G1290" s="666">
        <v>5500</v>
      </c>
      <c r="H1290" s="667">
        <f>2815-1</f>
        <v>2814</v>
      </c>
      <c r="I1290" s="737">
        <f>H1290/G1290*100</f>
        <v>51.163636363636364</v>
      </c>
      <c r="J1290" s="730"/>
      <c r="K1290" s="667"/>
      <c r="L1290" s="649"/>
      <c r="M1290" s="666">
        <f>35000-35000</f>
        <v>0</v>
      </c>
      <c r="N1290" s="667"/>
      <c r="O1290" s="647"/>
      <c r="P1290" s="667">
        <f>7000+4500</f>
        <v>11500</v>
      </c>
      <c r="Q1290" s="667">
        <v>6000</v>
      </c>
      <c r="R1290" s="492">
        <f>Q1290/P1290*100</f>
        <v>52.17391304347826</v>
      </c>
    </row>
    <row r="1291" spans="1:18" s="723" customFormat="1" ht="24">
      <c r="A1291" s="829">
        <v>4400</v>
      </c>
      <c r="B1291" s="850" t="s">
        <v>810</v>
      </c>
      <c r="C1291" s="666">
        <v>5500</v>
      </c>
      <c r="D1291" s="643">
        <f>G1291+J1291+P1291+M1291</f>
        <v>5500</v>
      </c>
      <c r="E1291" s="667">
        <f>SUM(H1291+K1291+N1291+Q1291)</f>
        <v>3705</v>
      </c>
      <c r="F1291" s="1011">
        <f>E1291/D1291*100</f>
        <v>67.36363636363636</v>
      </c>
      <c r="G1291" s="666">
        <v>5500</v>
      </c>
      <c r="H1291" s="667">
        <v>3705</v>
      </c>
      <c r="I1291" s="737">
        <f>H1291/G1291*100</f>
        <v>67.36363636363636</v>
      </c>
      <c r="J1291" s="730"/>
      <c r="K1291" s="667"/>
      <c r="L1291" s="649"/>
      <c r="M1291" s="666"/>
      <c r="N1291" s="667"/>
      <c r="O1291" s="647"/>
      <c r="P1291" s="667"/>
      <c r="Q1291" s="667"/>
      <c r="R1291" s="647"/>
    </row>
    <row r="1292" spans="1:18" s="723" customFormat="1" ht="60">
      <c r="A1292" s="829">
        <v>4740</v>
      </c>
      <c r="B1292" s="850" t="s">
        <v>728</v>
      </c>
      <c r="C1292" s="666">
        <v>500</v>
      </c>
      <c r="D1292" s="643">
        <f>G1292+J1292+P1292+M1292</f>
        <v>500</v>
      </c>
      <c r="E1292" s="667">
        <f>SUM(H1292+K1292+N1292+Q1292)</f>
        <v>193</v>
      </c>
      <c r="F1292" s="1011">
        <f>E1292/D1292*100</f>
        <v>38.6</v>
      </c>
      <c r="G1292" s="666"/>
      <c r="H1292" s="667"/>
      <c r="I1292" s="737"/>
      <c r="J1292" s="730"/>
      <c r="K1292" s="667"/>
      <c r="L1292" s="649"/>
      <c r="M1292" s="666"/>
      <c r="N1292" s="667"/>
      <c r="O1292" s="647"/>
      <c r="P1292" s="667">
        <v>500</v>
      </c>
      <c r="Q1292" s="667">
        <v>193</v>
      </c>
      <c r="R1292" s="492">
        <f>Q1292/P1292*100</f>
        <v>38.6</v>
      </c>
    </row>
    <row r="1293" spans="1:18" s="723" customFormat="1" ht="36" hidden="1">
      <c r="A1293" s="829">
        <v>4750</v>
      </c>
      <c r="B1293" s="850" t="s">
        <v>814</v>
      </c>
      <c r="C1293" s="781"/>
      <c r="D1293" s="765">
        <f t="shared" si="151"/>
        <v>0</v>
      </c>
      <c r="E1293" s="785">
        <f t="shared" si="158"/>
        <v>0</v>
      </c>
      <c r="F1293" s="1050" t="e">
        <f aca="true" t="shared" si="159" ref="F1293:F1356">E1293/D1293*100</f>
        <v>#DIV/0!</v>
      </c>
      <c r="G1293" s="781"/>
      <c r="H1293" s="785"/>
      <c r="I1293" s="737"/>
      <c r="J1293" s="782"/>
      <c r="K1293" s="785"/>
      <c r="L1293" s="768"/>
      <c r="M1293" s="781"/>
      <c r="N1293" s="785"/>
      <c r="O1293" s="707"/>
      <c r="P1293" s="785"/>
      <c r="Q1293" s="785"/>
      <c r="R1293" s="492" t="e">
        <f>Q1293/P1293*100</f>
        <v>#DIV/0!</v>
      </c>
    </row>
    <row r="1294" spans="1:18" s="723" customFormat="1" ht="24" customHeight="1">
      <c r="A1294" s="724">
        <v>85226</v>
      </c>
      <c r="B1294" s="994" t="s">
        <v>89</v>
      </c>
      <c r="C1294" s="726">
        <f>SUM(C1295:C1313)</f>
        <v>319490</v>
      </c>
      <c r="D1294" s="674">
        <f t="shared" si="151"/>
        <v>329090</v>
      </c>
      <c r="E1294" s="657">
        <f>H1294+K1294+Q1294+N1294</f>
        <v>247416</v>
      </c>
      <c r="F1294" s="1053">
        <f t="shared" si="159"/>
        <v>75.18186514327387</v>
      </c>
      <c r="G1294" s="893"/>
      <c r="H1294" s="895"/>
      <c r="I1294" s="842"/>
      <c r="J1294" s="896"/>
      <c r="K1294" s="895"/>
      <c r="L1294" s="897"/>
      <c r="M1294" s="657">
        <f>SUM(M1295:M1313)</f>
        <v>329090</v>
      </c>
      <c r="N1294" s="657">
        <f>SUM(N1295:N1313)</f>
        <v>247416</v>
      </c>
      <c r="O1294" s="890">
        <f aca="true" t="shared" si="160" ref="O1294:O1313">N1294/M1294*100</f>
        <v>75.18186514327387</v>
      </c>
      <c r="P1294" s="657">
        <f>SUM(P1295:P1314)</f>
        <v>0</v>
      </c>
      <c r="Q1294" s="657">
        <f>SUM(Q1295:Q1314)</f>
        <v>0</v>
      </c>
      <c r="R1294" s="665" t="e">
        <f>Q1294/P1294*100</f>
        <v>#DIV/0!</v>
      </c>
    </row>
    <row r="1295" spans="1:18" s="723" customFormat="1" ht="24" customHeight="1">
      <c r="A1295" s="709">
        <v>3020</v>
      </c>
      <c r="B1295" s="1005" t="s">
        <v>1020</v>
      </c>
      <c r="C1295" s="670">
        <v>600</v>
      </c>
      <c r="D1295" s="685">
        <f t="shared" si="151"/>
        <v>600</v>
      </c>
      <c r="E1295" s="686">
        <f aca="true" t="shared" si="161" ref="E1295:E1321">SUM(H1295+K1295+N1295+Q1295)</f>
        <v>554</v>
      </c>
      <c r="F1295" s="1054">
        <f t="shared" si="159"/>
        <v>92.33333333333333</v>
      </c>
      <c r="G1295" s="670"/>
      <c r="H1295" s="686"/>
      <c r="I1295" s="760"/>
      <c r="J1295" s="777"/>
      <c r="K1295" s="686"/>
      <c r="L1295" s="690"/>
      <c r="M1295" s="670">
        <v>600</v>
      </c>
      <c r="N1295" s="686">
        <v>554</v>
      </c>
      <c r="O1295" s="758">
        <f t="shared" si="160"/>
        <v>92.33333333333333</v>
      </c>
      <c r="P1295" s="686"/>
      <c r="Q1295" s="686"/>
      <c r="R1295" s="652"/>
    </row>
    <row r="1296" spans="1:18" s="723" customFormat="1" ht="24" customHeight="1">
      <c r="A1296" s="728">
        <v>4010</v>
      </c>
      <c r="B1296" s="995" t="s">
        <v>973</v>
      </c>
      <c r="C1296" s="666">
        <v>210770</v>
      </c>
      <c r="D1296" s="643">
        <f t="shared" si="151"/>
        <v>218870</v>
      </c>
      <c r="E1296" s="667">
        <f t="shared" si="161"/>
        <v>167270</v>
      </c>
      <c r="F1296" s="1011">
        <f t="shared" si="159"/>
        <v>76.42436149312377</v>
      </c>
      <c r="G1296" s="666"/>
      <c r="H1296" s="667"/>
      <c r="I1296" s="737"/>
      <c r="J1296" s="730"/>
      <c r="K1296" s="667"/>
      <c r="L1296" s="649"/>
      <c r="M1296" s="666">
        <f>210770+8100</f>
        <v>218870</v>
      </c>
      <c r="N1296" s="667">
        <v>167270</v>
      </c>
      <c r="O1296" s="492">
        <f t="shared" si="160"/>
        <v>76.42436149312377</v>
      </c>
      <c r="P1296" s="667"/>
      <c r="Q1296" s="667"/>
      <c r="R1296" s="647"/>
    </row>
    <row r="1297" spans="1:18" s="723" customFormat="1" ht="26.25" customHeight="1">
      <c r="A1297" s="728">
        <v>4040</v>
      </c>
      <c r="B1297" s="995" t="s">
        <v>701</v>
      </c>
      <c r="C1297" s="666">
        <v>16800</v>
      </c>
      <c r="D1297" s="643">
        <f t="shared" si="151"/>
        <v>16800</v>
      </c>
      <c r="E1297" s="667">
        <f t="shared" si="161"/>
        <v>16456</v>
      </c>
      <c r="F1297" s="1011">
        <f t="shared" si="159"/>
        <v>97.95238095238096</v>
      </c>
      <c r="G1297" s="666"/>
      <c r="H1297" s="667"/>
      <c r="I1297" s="737"/>
      <c r="J1297" s="730"/>
      <c r="K1297" s="667"/>
      <c r="L1297" s="649"/>
      <c r="M1297" s="666">
        <v>16800</v>
      </c>
      <c r="N1297" s="667">
        <v>16456</v>
      </c>
      <c r="O1297" s="492">
        <f t="shared" si="160"/>
        <v>97.95238095238096</v>
      </c>
      <c r="P1297" s="667"/>
      <c r="Q1297" s="667"/>
      <c r="R1297" s="647"/>
    </row>
    <row r="1298" spans="1:18" s="723" customFormat="1" ht="24" customHeight="1">
      <c r="A1298" s="728">
        <v>4110</v>
      </c>
      <c r="B1298" s="995" t="s">
        <v>703</v>
      </c>
      <c r="C1298" s="666">
        <v>41050</v>
      </c>
      <c r="D1298" s="643">
        <f aca="true" t="shared" si="162" ref="D1298:D1377">G1298+J1298+P1298+M1298</f>
        <v>42350</v>
      </c>
      <c r="E1298" s="667">
        <f t="shared" si="161"/>
        <v>29623</v>
      </c>
      <c r="F1298" s="1011">
        <f t="shared" si="159"/>
        <v>69.94805194805195</v>
      </c>
      <c r="G1298" s="666"/>
      <c r="H1298" s="667"/>
      <c r="I1298" s="737"/>
      <c r="J1298" s="730"/>
      <c r="K1298" s="667"/>
      <c r="L1298" s="649"/>
      <c r="M1298" s="666">
        <f>41050+1300</f>
        <v>42350</v>
      </c>
      <c r="N1298" s="667">
        <v>29623</v>
      </c>
      <c r="O1298" s="492">
        <f t="shared" si="160"/>
        <v>69.94805194805195</v>
      </c>
      <c r="P1298" s="667"/>
      <c r="Q1298" s="667"/>
      <c r="R1298" s="647"/>
    </row>
    <row r="1299" spans="1:18" s="723" customFormat="1" ht="16.5" customHeight="1">
      <c r="A1299" s="728">
        <v>4120</v>
      </c>
      <c r="B1299" s="995" t="s">
        <v>847</v>
      </c>
      <c r="C1299" s="666">
        <v>5580</v>
      </c>
      <c r="D1299" s="643">
        <f t="shared" si="162"/>
        <v>5780</v>
      </c>
      <c r="E1299" s="667">
        <f t="shared" si="161"/>
        <v>4519</v>
      </c>
      <c r="F1299" s="1011">
        <f t="shared" si="159"/>
        <v>78.18339100346022</v>
      </c>
      <c r="G1299" s="666"/>
      <c r="H1299" s="667"/>
      <c r="I1299" s="737"/>
      <c r="J1299" s="730"/>
      <c r="K1299" s="667"/>
      <c r="L1299" s="649"/>
      <c r="M1299" s="666">
        <f>5580+200</f>
        <v>5780</v>
      </c>
      <c r="N1299" s="667">
        <v>4519</v>
      </c>
      <c r="O1299" s="492">
        <f t="shared" si="160"/>
        <v>78.18339100346022</v>
      </c>
      <c r="P1299" s="667"/>
      <c r="Q1299" s="667"/>
      <c r="R1299" s="647"/>
    </row>
    <row r="1300" spans="1:18" s="723" customFormat="1" ht="24">
      <c r="A1300" s="709">
        <v>4170</v>
      </c>
      <c r="B1300" s="1005" t="s">
        <v>742</v>
      </c>
      <c r="C1300" s="670">
        <v>3600</v>
      </c>
      <c r="D1300" s="685">
        <f t="shared" si="162"/>
        <v>3600</v>
      </c>
      <c r="E1300" s="686">
        <f t="shared" si="161"/>
        <v>3319</v>
      </c>
      <c r="F1300" s="1054">
        <f t="shared" si="159"/>
        <v>92.19444444444444</v>
      </c>
      <c r="G1300" s="670"/>
      <c r="H1300" s="686"/>
      <c r="I1300" s="760"/>
      <c r="J1300" s="777"/>
      <c r="K1300" s="686"/>
      <c r="L1300" s="690"/>
      <c r="M1300" s="670">
        <v>3600</v>
      </c>
      <c r="N1300" s="686">
        <v>3319</v>
      </c>
      <c r="O1300" s="758">
        <f t="shared" si="160"/>
        <v>92.19444444444444</v>
      </c>
      <c r="P1300" s="686"/>
      <c r="Q1300" s="686"/>
      <c r="R1300" s="652"/>
    </row>
    <row r="1301" spans="1:18" s="723" customFormat="1" ht="23.25" customHeight="1">
      <c r="A1301" s="728">
        <v>4210</v>
      </c>
      <c r="B1301" s="995" t="s">
        <v>707</v>
      </c>
      <c r="C1301" s="666">
        <v>3600</v>
      </c>
      <c r="D1301" s="643">
        <f t="shared" si="162"/>
        <v>3600</v>
      </c>
      <c r="E1301" s="667">
        <f t="shared" si="161"/>
        <v>2761</v>
      </c>
      <c r="F1301" s="1011">
        <f t="shared" si="159"/>
        <v>76.69444444444444</v>
      </c>
      <c r="G1301" s="666"/>
      <c r="H1301" s="667"/>
      <c r="I1301" s="737"/>
      <c r="J1301" s="730"/>
      <c r="K1301" s="667"/>
      <c r="L1301" s="649"/>
      <c r="M1301" s="666">
        <v>3600</v>
      </c>
      <c r="N1301" s="667">
        <v>2761</v>
      </c>
      <c r="O1301" s="492">
        <f t="shared" si="160"/>
        <v>76.69444444444444</v>
      </c>
      <c r="P1301" s="667"/>
      <c r="Q1301" s="667"/>
      <c r="R1301" s="647"/>
    </row>
    <row r="1302" spans="1:18" s="723" customFormat="1" ht="24">
      <c r="A1302" s="728">
        <v>4240</v>
      </c>
      <c r="B1302" s="995" t="s">
        <v>967</v>
      </c>
      <c r="C1302" s="666">
        <v>400</v>
      </c>
      <c r="D1302" s="643">
        <f t="shared" si="162"/>
        <v>400</v>
      </c>
      <c r="E1302" s="667">
        <f t="shared" si="161"/>
        <v>25</v>
      </c>
      <c r="F1302" s="1011">
        <f t="shared" si="159"/>
        <v>6.25</v>
      </c>
      <c r="G1302" s="666"/>
      <c r="H1302" s="667"/>
      <c r="I1302" s="737"/>
      <c r="J1302" s="730"/>
      <c r="K1302" s="667"/>
      <c r="L1302" s="649"/>
      <c r="M1302" s="666">
        <v>400</v>
      </c>
      <c r="N1302" s="667">
        <f>25</f>
        <v>25</v>
      </c>
      <c r="O1302" s="492">
        <f t="shared" si="160"/>
        <v>6.25</v>
      </c>
      <c r="P1302" s="667"/>
      <c r="Q1302" s="667"/>
      <c r="R1302" s="647"/>
    </row>
    <row r="1303" spans="1:18" s="723" customFormat="1" ht="15" customHeight="1">
      <c r="A1303" s="728">
        <v>4260</v>
      </c>
      <c r="B1303" s="995" t="s">
        <v>711</v>
      </c>
      <c r="C1303" s="666">
        <v>7500</v>
      </c>
      <c r="D1303" s="643">
        <f t="shared" si="162"/>
        <v>5500</v>
      </c>
      <c r="E1303" s="667">
        <f t="shared" si="161"/>
        <v>3752</v>
      </c>
      <c r="F1303" s="1011">
        <f t="shared" si="159"/>
        <v>68.21818181818182</v>
      </c>
      <c r="G1303" s="666"/>
      <c r="H1303" s="667"/>
      <c r="I1303" s="737"/>
      <c r="J1303" s="730"/>
      <c r="K1303" s="667"/>
      <c r="L1303" s="649"/>
      <c r="M1303" s="666">
        <f>7500-2000</f>
        <v>5500</v>
      </c>
      <c r="N1303" s="667">
        <v>3752</v>
      </c>
      <c r="O1303" s="492">
        <f t="shared" si="160"/>
        <v>68.21818181818182</v>
      </c>
      <c r="P1303" s="667"/>
      <c r="Q1303" s="667"/>
      <c r="R1303" s="647"/>
    </row>
    <row r="1304" spans="1:18" s="723" customFormat="1" ht="15" customHeight="1">
      <c r="A1304" s="728">
        <v>4270</v>
      </c>
      <c r="B1304" s="995" t="s">
        <v>713</v>
      </c>
      <c r="C1304" s="666">
        <v>490</v>
      </c>
      <c r="D1304" s="643">
        <f t="shared" si="162"/>
        <v>490</v>
      </c>
      <c r="E1304" s="667">
        <f>SUM(H1304+K1304+N1304+Q1304)</f>
        <v>0</v>
      </c>
      <c r="F1304" s="1011">
        <f>E1304/D1304*100</f>
        <v>0</v>
      </c>
      <c r="G1304" s="666"/>
      <c r="H1304" s="667"/>
      <c r="I1304" s="737"/>
      <c r="J1304" s="730"/>
      <c r="K1304" s="667"/>
      <c r="L1304" s="649"/>
      <c r="M1304" s="666">
        <v>490</v>
      </c>
      <c r="N1304" s="667"/>
      <c r="O1304" s="492">
        <f t="shared" si="160"/>
        <v>0</v>
      </c>
      <c r="P1304" s="667"/>
      <c r="Q1304" s="667"/>
      <c r="R1304" s="647"/>
    </row>
    <row r="1305" spans="1:18" s="723" customFormat="1" ht="15" customHeight="1">
      <c r="A1305" s="728">
        <v>4280</v>
      </c>
      <c r="B1305" s="995" t="s">
        <v>805</v>
      </c>
      <c r="C1305" s="666">
        <v>600</v>
      </c>
      <c r="D1305" s="643">
        <f t="shared" si="162"/>
        <v>600</v>
      </c>
      <c r="E1305" s="667">
        <f t="shared" si="161"/>
        <v>70</v>
      </c>
      <c r="F1305" s="1011">
        <f t="shared" si="159"/>
        <v>11.666666666666666</v>
      </c>
      <c r="G1305" s="666"/>
      <c r="H1305" s="667"/>
      <c r="I1305" s="737"/>
      <c r="J1305" s="730"/>
      <c r="K1305" s="667"/>
      <c r="L1305" s="649"/>
      <c r="M1305" s="666">
        <v>600</v>
      </c>
      <c r="N1305" s="667">
        <v>70</v>
      </c>
      <c r="O1305" s="492">
        <f t="shared" si="160"/>
        <v>11.666666666666666</v>
      </c>
      <c r="P1305" s="667"/>
      <c r="Q1305" s="667"/>
      <c r="R1305" s="647"/>
    </row>
    <row r="1306" spans="1:18" s="723" customFormat="1" ht="16.5" customHeight="1">
      <c r="A1306" s="728">
        <v>4300</v>
      </c>
      <c r="B1306" s="995" t="s">
        <v>715</v>
      </c>
      <c r="C1306" s="666">
        <v>7200</v>
      </c>
      <c r="D1306" s="643">
        <f t="shared" si="162"/>
        <v>9200</v>
      </c>
      <c r="E1306" s="667">
        <f t="shared" si="161"/>
        <v>7789</v>
      </c>
      <c r="F1306" s="1011">
        <f t="shared" si="159"/>
        <v>84.66304347826087</v>
      </c>
      <c r="G1306" s="666"/>
      <c r="H1306" s="667"/>
      <c r="I1306" s="737"/>
      <c r="J1306" s="730"/>
      <c r="K1306" s="667"/>
      <c r="L1306" s="649"/>
      <c r="M1306" s="666">
        <f>7200+2000</f>
        <v>9200</v>
      </c>
      <c r="N1306" s="667">
        <v>7789</v>
      </c>
      <c r="O1306" s="492">
        <f t="shared" si="160"/>
        <v>84.66304347826087</v>
      </c>
      <c r="P1306" s="667"/>
      <c r="Q1306" s="667"/>
      <c r="R1306" s="647"/>
    </row>
    <row r="1307" spans="1:18" s="723" customFormat="1" ht="24">
      <c r="A1307" s="728">
        <v>4350</v>
      </c>
      <c r="B1307" s="995" t="s">
        <v>807</v>
      </c>
      <c r="C1307" s="666">
        <v>1500</v>
      </c>
      <c r="D1307" s="643">
        <f t="shared" si="162"/>
        <v>1500</v>
      </c>
      <c r="E1307" s="667">
        <f t="shared" si="161"/>
        <v>585</v>
      </c>
      <c r="F1307" s="1011">
        <f t="shared" si="159"/>
        <v>39</v>
      </c>
      <c r="G1307" s="666"/>
      <c r="H1307" s="667"/>
      <c r="I1307" s="737"/>
      <c r="J1307" s="730"/>
      <c r="K1307" s="667"/>
      <c r="L1307" s="649"/>
      <c r="M1307" s="666">
        <v>1500</v>
      </c>
      <c r="N1307" s="667">
        <v>585</v>
      </c>
      <c r="O1307" s="492">
        <f t="shared" si="160"/>
        <v>39</v>
      </c>
      <c r="P1307" s="667"/>
      <c r="Q1307" s="667"/>
      <c r="R1307" s="647"/>
    </row>
    <row r="1308" spans="1:18" s="723" customFormat="1" ht="48">
      <c r="A1308" s="829">
        <v>4370</v>
      </c>
      <c r="B1308" s="850" t="s">
        <v>916</v>
      </c>
      <c r="C1308" s="666">
        <v>6000</v>
      </c>
      <c r="D1308" s="643">
        <f t="shared" si="162"/>
        <v>6000</v>
      </c>
      <c r="E1308" s="667">
        <f t="shared" si="161"/>
        <v>2634</v>
      </c>
      <c r="F1308" s="1011">
        <f t="shared" si="159"/>
        <v>43.9</v>
      </c>
      <c r="G1308" s="666"/>
      <c r="H1308" s="667"/>
      <c r="I1308" s="737"/>
      <c r="J1308" s="730"/>
      <c r="K1308" s="667"/>
      <c r="L1308" s="649"/>
      <c r="M1308" s="666">
        <v>6000</v>
      </c>
      <c r="N1308" s="667">
        <v>2634</v>
      </c>
      <c r="O1308" s="492">
        <f t="shared" si="160"/>
        <v>43.9</v>
      </c>
      <c r="P1308" s="667"/>
      <c r="Q1308" s="667"/>
      <c r="R1308" s="647"/>
    </row>
    <row r="1309" spans="1:18" s="723" customFormat="1" ht="14.25" customHeight="1">
      <c r="A1309" s="728">
        <v>4410</v>
      </c>
      <c r="B1309" s="995" t="s">
        <v>90</v>
      </c>
      <c r="C1309" s="666">
        <v>2500</v>
      </c>
      <c r="D1309" s="643">
        <f t="shared" si="162"/>
        <v>2500</v>
      </c>
      <c r="E1309" s="667">
        <f t="shared" si="161"/>
        <v>1789</v>
      </c>
      <c r="F1309" s="1011">
        <f t="shared" si="159"/>
        <v>71.56</v>
      </c>
      <c r="G1309" s="666"/>
      <c r="H1309" s="667"/>
      <c r="I1309" s="737"/>
      <c r="J1309" s="730"/>
      <c r="K1309" s="667"/>
      <c r="L1309" s="649"/>
      <c r="M1309" s="666">
        <v>2500</v>
      </c>
      <c r="N1309" s="667">
        <v>1789</v>
      </c>
      <c r="O1309" s="492">
        <f t="shared" si="160"/>
        <v>71.56</v>
      </c>
      <c r="P1309" s="667"/>
      <c r="Q1309" s="667"/>
      <c r="R1309" s="647"/>
    </row>
    <row r="1310" spans="1:18" s="723" customFormat="1" ht="14.25" customHeight="1">
      <c r="A1310" s="728">
        <v>4440</v>
      </c>
      <c r="B1310" s="818" t="s">
        <v>983</v>
      </c>
      <c r="C1310" s="666">
        <v>5300</v>
      </c>
      <c r="D1310" s="643">
        <f t="shared" si="162"/>
        <v>5300</v>
      </c>
      <c r="E1310" s="667">
        <f t="shared" si="161"/>
        <v>5300</v>
      </c>
      <c r="F1310" s="1011">
        <f t="shared" si="159"/>
        <v>100</v>
      </c>
      <c r="G1310" s="666"/>
      <c r="H1310" s="667"/>
      <c r="I1310" s="737"/>
      <c r="J1310" s="730"/>
      <c r="K1310" s="667"/>
      <c r="L1310" s="649"/>
      <c r="M1310" s="666">
        <v>5300</v>
      </c>
      <c r="N1310" s="667">
        <v>5300</v>
      </c>
      <c r="O1310" s="492">
        <f t="shared" si="160"/>
        <v>100</v>
      </c>
      <c r="P1310" s="667"/>
      <c r="Q1310" s="667"/>
      <c r="R1310" s="647"/>
    </row>
    <row r="1311" spans="1:18" s="723" customFormat="1" ht="36">
      <c r="A1311" s="829">
        <v>4700</v>
      </c>
      <c r="B1311" s="850" t="s">
        <v>813</v>
      </c>
      <c r="C1311" s="666">
        <v>1800</v>
      </c>
      <c r="D1311" s="643">
        <f t="shared" si="162"/>
        <v>1800</v>
      </c>
      <c r="E1311" s="667">
        <f t="shared" si="161"/>
        <v>0</v>
      </c>
      <c r="F1311" s="1011">
        <f t="shared" si="159"/>
        <v>0</v>
      </c>
      <c r="G1311" s="666"/>
      <c r="H1311" s="667"/>
      <c r="I1311" s="737"/>
      <c r="J1311" s="730"/>
      <c r="K1311" s="667"/>
      <c r="L1311" s="649"/>
      <c r="M1311" s="666">
        <v>1800</v>
      </c>
      <c r="N1311" s="667"/>
      <c r="O1311" s="492">
        <f t="shared" si="160"/>
        <v>0</v>
      </c>
      <c r="P1311" s="667"/>
      <c r="Q1311" s="667"/>
      <c r="R1311" s="647"/>
    </row>
    <row r="1312" spans="1:18" s="723" customFormat="1" ht="60">
      <c r="A1312" s="829">
        <v>4740</v>
      </c>
      <c r="B1312" s="850" t="s">
        <v>728</v>
      </c>
      <c r="C1312" s="666">
        <v>3000</v>
      </c>
      <c r="D1312" s="643">
        <f t="shared" si="162"/>
        <v>3000</v>
      </c>
      <c r="E1312" s="667">
        <f t="shared" si="161"/>
        <v>555</v>
      </c>
      <c r="F1312" s="1011">
        <f t="shared" si="159"/>
        <v>18.5</v>
      </c>
      <c r="G1312" s="666"/>
      <c r="H1312" s="667"/>
      <c r="I1312" s="737"/>
      <c r="J1312" s="730"/>
      <c r="K1312" s="667"/>
      <c r="L1312" s="649"/>
      <c r="M1312" s="666">
        <v>3000</v>
      </c>
      <c r="N1312" s="667">
        <v>555</v>
      </c>
      <c r="O1312" s="492">
        <f t="shared" si="160"/>
        <v>18.5</v>
      </c>
      <c r="P1312" s="667"/>
      <c r="Q1312" s="667"/>
      <c r="R1312" s="647"/>
    </row>
    <row r="1313" spans="1:18" s="723" customFormat="1" ht="36">
      <c r="A1313" s="829">
        <v>4750</v>
      </c>
      <c r="B1313" s="850" t="s">
        <v>814</v>
      </c>
      <c r="C1313" s="666">
        <v>1200</v>
      </c>
      <c r="D1313" s="643">
        <f t="shared" si="162"/>
        <v>1200</v>
      </c>
      <c r="E1313" s="667">
        <f t="shared" si="161"/>
        <v>415</v>
      </c>
      <c r="F1313" s="1011">
        <f t="shared" si="159"/>
        <v>34.583333333333336</v>
      </c>
      <c r="G1313" s="666"/>
      <c r="H1313" s="667"/>
      <c r="I1313" s="737"/>
      <c r="J1313" s="730"/>
      <c r="K1313" s="667"/>
      <c r="L1313" s="649"/>
      <c r="M1313" s="666">
        <v>1200</v>
      </c>
      <c r="N1313" s="667">
        <v>415</v>
      </c>
      <c r="O1313" s="492">
        <f t="shared" si="160"/>
        <v>34.583333333333336</v>
      </c>
      <c r="P1313" s="667"/>
      <c r="Q1313" s="667"/>
      <c r="R1313" s="647"/>
    </row>
    <row r="1314" spans="1:18" s="1062" customFormat="1" ht="121.5" hidden="1">
      <c r="A1314" s="1056"/>
      <c r="B1314" s="1064" t="s">
        <v>91</v>
      </c>
      <c r="C1314" s="860"/>
      <c r="D1314" s="861">
        <f t="shared" si="162"/>
        <v>0</v>
      </c>
      <c r="E1314" s="861">
        <f t="shared" si="161"/>
        <v>0</v>
      </c>
      <c r="F1314" s="1011" t="e">
        <f t="shared" si="159"/>
        <v>#DIV/0!</v>
      </c>
      <c r="G1314" s="860"/>
      <c r="H1314" s="861"/>
      <c r="I1314" s="1061"/>
      <c r="J1314" s="862"/>
      <c r="K1314" s="861"/>
      <c r="L1314" s="1065"/>
      <c r="M1314" s="862"/>
      <c r="N1314" s="861"/>
      <c r="O1314" s="1060"/>
      <c r="P1314" s="861">
        <f>SUM(P1315:P1322)</f>
        <v>0</v>
      </c>
      <c r="Q1314" s="861">
        <f>SUM(Q1315:Q1322)</f>
        <v>0</v>
      </c>
      <c r="R1314" s="647" t="e">
        <f>Q1314/P1314*100</f>
        <v>#DIV/0!</v>
      </c>
    </row>
    <row r="1315" spans="1:18" s="723" customFormat="1" ht="24" hidden="1">
      <c r="A1315" s="728">
        <v>4110</v>
      </c>
      <c r="B1315" s="995" t="s">
        <v>703</v>
      </c>
      <c r="C1315" s="666"/>
      <c r="D1315" s="643">
        <f t="shared" si="162"/>
        <v>0</v>
      </c>
      <c r="E1315" s="667">
        <f t="shared" si="161"/>
        <v>0</v>
      </c>
      <c r="F1315" s="1011" t="e">
        <f t="shared" si="159"/>
        <v>#DIV/0!</v>
      </c>
      <c r="G1315" s="666"/>
      <c r="H1315" s="667"/>
      <c r="I1315" s="737"/>
      <c r="J1315" s="730"/>
      <c r="K1315" s="667"/>
      <c r="L1315" s="649"/>
      <c r="M1315" s="730"/>
      <c r="N1315" s="667"/>
      <c r="O1315" s="492"/>
      <c r="P1315" s="667">
        <f>1050-1050</f>
        <v>0</v>
      </c>
      <c r="Q1315" s="667"/>
      <c r="R1315" s="647" t="e">
        <f>Q1315/P1315*100</f>
        <v>#DIV/0!</v>
      </c>
    </row>
    <row r="1316" spans="1:18" s="723" customFormat="1" ht="12.75" hidden="1">
      <c r="A1316" s="728">
        <v>4120</v>
      </c>
      <c r="B1316" s="995" t="s">
        <v>847</v>
      </c>
      <c r="C1316" s="666"/>
      <c r="D1316" s="643">
        <f t="shared" si="162"/>
        <v>0</v>
      </c>
      <c r="E1316" s="667">
        <f t="shared" si="161"/>
        <v>0</v>
      </c>
      <c r="F1316" s="1011" t="e">
        <f t="shared" si="159"/>
        <v>#DIV/0!</v>
      </c>
      <c r="G1316" s="666"/>
      <c r="H1316" s="667"/>
      <c r="I1316" s="737"/>
      <c r="J1316" s="730"/>
      <c r="K1316" s="667"/>
      <c r="L1316" s="649"/>
      <c r="M1316" s="730"/>
      <c r="N1316" s="667"/>
      <c r="O1316" s="492"/>
      <c r="P1316" s="667">
        <f>160-160</f>
        <v>0</v>
      </c>
      <c r="Q1316" s="667"/>
      <c r="R1316" s="647" t="e">
        <f aca="true" t="shared" si="163" ref="R1316:R1321">Q1316/P1316*100</f>
        <v>#DIV/0!</v>
      </c>
    </row>
    <row r="1317" spans="1:18" s="723" customFormat="1" ht="24" hidden="1">
      <c r="A1317" s="728">
        <v>4170</v>
      </c>
      <c r="B1317" s="995" t="s">
        <v>742</v>
      </c>
      <c r="C1317" s="666"/>
      <c r="D1317" s="643">
        <f t="shared" si="162"/>
        <v>0</v>
      </c>
      <c r="E1317" s="667">
        <f t="shared" si="161"/>
        <v>0</v>
      </c>
      <c r="F1317" s="1011" t="e">
        <f t="shared" si="159"/>
        <v>#DIV/0!</v>
      </c>
      <c r="G1317" s="666"/>
      <c r="H1317" s="667"/>
      <c r="I1317" s="737"/>
      <c r="J1317" s="730"/>
      <c r="K1317" s="667"/>
      <c r="L1317" s="649"/>
      <c r="M1317" s="730"/>
      <c r="N1317" s="667"/>
      <c r="O1317" s="492"/>
      <c r="P1317" s="667">
        <f>6500-6500</f>
        <v>0</v>
      </c>
      <c r="Q1317" s="667"/>
      <c r="R1317" s="647" t="e">
        <f t="shared" si="163"/>
        <v>#DIV/0!</v>
      </c>
    </row>
    <row r="1318" spans="1:18" s="723" customFormat="1" ht="24" hidden="1">
      <c r="A1318" s="728">
        <v>4210</v>
      </c>
      <c r="B1318" s="995" t="s">
        <v>707</v>
      </c>
      <c r="C1318" s="666"/>
      <c r="D1318" s="643">
        <f t="shared" si="162"/>
        <v>0</v>
      </c>
      <c r="E1318" s="667">
        <f t="shared" si="161"/>
        <v>0</v>
      </c>
      <c r="F1318" s="1011" t="e">
        <f t="shared" si="159"/>
        <v>#DIV/0!</v>
      </c>
      <c r="G1318" s="666"/>
      <c r="H1318" s="667"/>
      <c r="I1318" s="737"/>
      <c r="J1318" s="730"/>
      <c r="K1318" s="667"/>
      <c r="L1318" s="649"/>
      <c r="M1318" s="730"/>
      <c r="N1318" s="667"/>
      <c r="O1318" s="492"/>
      <c r="P1318" s="667">
        <f>2770-2770</f>
        <v>0</v>
      </c>
      <c r="Q1318" s="667"/>
      <c r="R1318" s="647" t="e">
        <f t="shared" si="163"/>
        <v>#DIV/0!</v>
      </c>
    </row>
    <row r="1319" spans="1:18" s="723" customFormat="1" ht="24" hidden="1">
      <c r="A1319" s="728">
        <v>4240</v>
      </c>
      <c r="B1319" s="995" t="s">
        <v>967</v>
      </c>
      <c r="C1319" s="666"/>
      <c r="D1319" s="643">
        <f t="shared" si="162"/>
        <v>0</v>
      </c>
      <c r="E1319" s="667">
        <f t="shared" si="161"/>
        <v>0</v>
      </c>
      <c r="F1319" s="1011" t="e">
        <f t="shared" si="159"/>
        <v>#DIV/0!</v>
      </c>
      <c r="G1319" s="666"/>
      <c r="H1319" s="667"/>
      <c r="I1319" s="737"/>
      <c r="J1319" s="730"/>
      <c r="K1319" s="667"/>
      <c r="L1319" s="649"/>
      <c r="M1319" s="730"/>
      <c r="N1319" s="667"/>
      <c r="O1319" s="492"/>
      <c r="P1319" s="667">
        <f>600-600</f>
        <v>0</v>
      </c>
      <c r="Q1319" s="667"/>
      <c r="R1319" s="647" t="e">
        <f t="shared" si="163"/>
        <v>#DIV/0!</v>
      </c>
    </row>
    <row r="1320" spans="1:18" s="723" customFormat="1" ht="24" hidden="1">
      <c r="A1320" s="762">
        <v>4300</v>
      </c>
      <c r="B1320" s="1012" t="s">
        <v>715</v>
      </c>
      <c r="C1320" s="781"/>
      <c r="D1320" s="765">
        <f t="shared" si="162"/>
        <v>0</v>
      </c>
      <c r="E1320" s="785">
        <f t="shared" si="161"/>
        <v>0</v>
      </c>
      <c r="F1320" s="1050" t="e">
        <f t="shared" si="159"/>
        <v>#DIV/0!</v>
      </c>
      <c r="G1320" s="781"/>
      <c r="H1320" s="785"/>
      <c r="I1320" s="770"/>
      <c r="J1320" s="782"/>
      <c r="K1320" s="785"/>
      <c r="L1320" s="768"/>
      <c r="M1320" s="782"/>
      <c r="N1320" s="785"/>
      <c r="O1320" s="766"/>
      <c r="P1320" s="785">
        <f>300-300</f>
        <v>0</v>
      </c>
      <c r="Q1320" s="785"/>
      <c r="R1320" s="707" t="e">
        <f t="shared" si="163"/>
        <v>#DIV/0!</v>
      </c>
    </row>
    <row r="1321" spans="1:18" s="723" customFormat="1" ht="48" hidden="1">
      <c r="A1321" s="829">
        <v>4370</v>
      </c>
      <c r="B1321" s="850" t="s">
        <v>916</v>
      </c>
      <c r="C1321" s="666"/>
      <c r="D1321" s="643">
        <f t="shared" si="162"/>
        <v>0</v>
      </c>
      <c r="E1321" s="667">
        <f t="shared" si="161"/>
        <v>0</v>
      </c>
      <c r="F1321" s="1011" t="e">
        <f t="shared" si="159"/>
        <v>#DIV/0!</v>
      </c>
      <c r="G1321" s="666"/>
      <c r="H1321" s="667"/>
      <c r="I1321" s="737"/>
      <c r="J1321" s="730"/>
      <c r="K1321" s="667"/>
      <c r="L1321" s="649"/>
      <c r="M1321" s="730"/>
      <c r="N1321" s="667"/>
      <c r="O1321" s="492"/>
      <c r="P1321" s="667">
        <f>450-450</f>
        <v>0</v>
      </c>
      <c r="Q1321" s="667"/>
      <c r="R1321" s="647" t="e">
        <f t="shared" si="163"/>
        <v>#DIV/0!</v>
      </c>
    </row>
    <row r="1322" spans="1:18" s="723" customFormat="1" ht="36" hidden="1">
      <c r="A1322" s="829">
        <v>4750</v>
      </c>
      <c r="B1322" s="850" t="s">
        <v>814</v>
      </c>
      <c r="C1322" s="666"/>
      <c r="D1322" s="643">
        <f>G1322+J1322+P1322+M1322</f>
        <v>0</v>
      </c>
      <c r="E1322" s="667">
        <f>SUM(H1322+K1322+N1322+Q1322)</f>
        <v>0</v>
      </c>
      <c r="F1322" s="1011" t="e">
        <f>E1322/D1322*100</f>
        <v>#DIV/0!</v>
      </c>
      <c r="G1322" s="781"/>
      <c r="H1322" s="785"/>
      <c r="I1322" s="770"/>
      <c r="J1322" s="782"/>
      <c r="K1322" s="785"/>
      <c r="L1322" s="768"/>
      <c r="M1322" s="730"/>
      <c r="N1322" s="785"/>
      <c r="O1322" s="492"/>
      <c r="P1322" s="785">
        <f>1000-1000</f>
        <v>0</v>
      </c>
      <c r="Q1322" s="785"/>
      <c r="R1322" s="647" t="e">
        <f>Q1322/P1322*100</f>
        <v>#DIV/0!</v>
      </c>
    </row>
    <row r="1323" spans="1:18" ht="36">
      <c r="A1323" s="724">
        <v>85228</v>
      </c>
      <c r="B1323" s="994" t="s">
        <v>572</v>
      </c>
      <c r="C1323" s="726">
        <f>SUM(C1324:C1338)</f>
        <v>1245000</v>
      </c>
      <c r="D1323" s="674">
        <f t="shared" si="162"/>
        <v>1194503</v>
      </c>
      <c r="E1323" s="657">
        <f>H1323+K1323+Q1323+N1323</f>
        <v>867257</v>
      </c>
      <c r="F1323" s="1053">
        <f t="shared" si="159"/>
        <v>72.60400350606068</v>
      </c>
      <c r="G1323" s="726">
        <f>SUM(G1324:G1338)</f>
        <v>1049503</v>
      </c>
      <c r="H1323" s="657">
        <f>SUM(H1324:H1338)</f>
        <v>773405</v>
      </c>
      <c r="I1323" s="857">
        <f aca="true" t="shared" si="164" ref="I1323:I1338">H1323/G1323*100</f>
        <v>73.69250016436352</v>
      </c>
      <c r="J1323" s="662">
        <f>SUM(J1324:J1338)</f>
        <v>145000</v>
      </c>
      <c r="K1323" s="657">
        <f>SUM(K1324:K1338)</f>
        <v>93852</v>
      </c>
      <c r="L1323" s="663">
        <f>K1323/J1323*100</f>
        <v>64.72551724137932</v>
      </c>
      <c r="M1323" s="657"/>
      <c r="N1323" s="657"/>
      <c r="O1323" s="317"/>
      <c r="P1323" s="657"/>
      <c r="Q1323" s="657"/>
      <c r="R1323" s="665"/>
    </row>
    <row r="1324" spans="1:18" s="723" customFormat="1" ht="36">
      <c r="A1324" s="728">
        <v>3020</v>
      </c>
      <c r="B1324" s="995" t="s">
        <v>1020</v>
      </c>
      <c r="C1324" s="666">
        <v>11700</v>
      </c>
      <c r="D1324" s="643">
        <f t="shared" si="162"/>
        <v>11700</v>
      </c>
      <c r="E1324" s="667">
        <f aca="true" t="shared" si="165" ref="E1324:E1338">SUM(H1324+K1324+N1324+Q1324)</f>
        <v>5146</v>
      </c>
      <c r="F1324" s="1011">
        <f t="shared" si="159"/>
        <v>43.98290598290598</v>
      </c>
      <c r="G1324" s="666">
        <v>11300</v>
      </c>
      <c r="H1324" s="667">
        <v>5048</v>
      </c>
      <c r="I1324" s="699">
        <f t="shared" si="164"/>
        <v>44.67256637168141</v>
      </c>
      <c r="J1324" s="730">
        <v>400</v>
      </c>
      <c r="K1324" s="667">
        <v>98</v>
      </c>
      <c r="L1324" s="649">
        <f aca="true" t="shared" si="166" ref="L1324:L1336">K1324/J1324*100</f>
        <v>24.5</v>
      </c>
      <c r="M1324" s="667"/>
      <c r="N1324" s="667"/>
      <c r="O1324" s="731"/>
      <c r="P1324" s="667"/>
      <c r="Q1324" s="667"/>
      <c r="R1324" s="647"/>
    </row>
    <row r="1325" spans="1:18" s="723" customFormat="1" ht="24">
      <c r="A1325" s="728">
        <v>4010</v>
      </c>
      <c r="B1325" s="995" t="s">
        <v>697</v>
      </c>
      <c r="C1325" s="666">
        <v>795490</v>
      </c>
      <c r="D1325" s="643">
        <f>G1325+J1325+P1325+M1325</f>
        <v>756933</v>
      </c>
      <c r="E1325" s="667">
        <f t="shared" si="165"/>
        <v>555314</v>
      </c>
      <c r="F1325" s="1011">
        <f>E1325/D1325*100</f>
        <v>73.36369269142712</v>
      </c>
      <c r="G1325" s="666">
        <f>774690-44557</f>
        <v>730133</v>
      </c>
      <c r="H1325" s="667">
        <v>538726</v>
      </c>
      <c r="I1325" s="644">
        <f t="shared" si="164"/>
        <v>73.78463923696094</v>
      </c>
      <c r="J1325" s="730">
        <f>20800+6000</f>
        <v>26800</v>
      </c>
      <c r="K1325" s="667">
        <v>16588</v>
      </c>
      <c r="L1325" s="649">
        <f t="shared" si="166"/>
        <v>61.895522388059696</v>
      </c>
      <c r="M1325" s="667"/>
      <c r="N1325" s="667"/>
      <c r="O1325" s="731"/>
      <c r="P1325" s="667"/>
      <c r="Q1325" s="667"/>
      <c r="R1325" s="647"/>
    </row>
    <row r="1326" spans="1:18" s="723" customFormat="1" ht="24">
      <c r="A1326" s="728">
        <v>4040</v>
      </c>
      <c r="B1326" s="995" t="s">
        <v>701</v>
      </c>
      <c r="C1326" s="666">
        <v>65300</v>
      </c>
      <c r="D1326" s="643">
        <f>G1326+J1326+P1326+M1326</f>
        <v>53192</v>
      </c>
      <c r="E1326" s="667">
        <f>SUM(H1326+K1326+N1326+Q1326)</f>
        <v>52358</v>
      </c>
      <c r="F1326" s="1011">
        <f>E1326/D1326*100</f>
        <v>98.4320950518875</v>
      </c>
      <c r="G1326" s="666">
        <f>62900-12940+832</f>
        <v>50792</v>
      </c>
      <c r="H1326" s="667">
        <v>50791</v>
      </c>
      <c r="I1326" s="644">
        <f t="shared" si="164"/>
        <v>99.99803118601355</v>
      </c>
      <c r="J1326" s="730">
        <v>2400</v>
      </c>
      <c r="K1326" s="667">
        <v>1567</v>
      </c>
      <c r="L1326" s="649">
        <f t="shared" si="166"/>
        <v>65.29166666666667</v>
      </c>
      <c r="M1326" s="667"/>
      <c r="N1326" s="667"/>
      <c r="O1326" s="731"/>
      <c r="P1326" s="667"/>
      <c r="Q1326" s="667"/>
      <c r="R1326" s="647"/>
    </row>
    <row r="1327" spans="1:18" s="723" customFormat="1" ht="24">
      <c r="A1327" s="762">
        <v>4110</v>
      </c>
      <c r="B1327" s="1012" t="s">
        <v>703</v>
      </c>
      <c r="C1327" s="781">
        <v>137880</v>
      </c>
      <c r="D1327" s="765">
        <f>G1327+J1327+P1327+M1327</f>
        <v>137048</v>
      </c>
      <c r="E1327" s="785">
        <f t="shared" si="165"/>
        <v>90697</v>
      </c>
      <c r="F1327" s="1050">
        <f>E1327/D1327*100</f>
        <v>66.17900297705913</v>
      </c>
      <c r="G1327" s="781">
        <f>134180-832</f>
        <v>133348</v>
      </c>
      <c r="H1327" s="785">
        <v>88408</v>
      </c>
      <c r="I1327" s="705">
        <f t="shared" si="164"/>
        <v>66.29870714221435</v>
      </c>
      <c r="J1327" s="782">
        <v>3700</v>
      </c>
      <c r="K1327" s="785">
        <v>2289</v>
      </c>
      <c r="L1327" s="768">
        <f t="shared" si="166"/>
        <v>61.86486486486486</v>
      </c>
      <c r="M1327" s="785"/>
      <c r="N1327" s="785"/>
      <c r="O1327" s="786"/>
      <c r="P1327" s="785"/>
      <c r="Q1327" s="785"/>
      <c r="R1327" s="707"/>
    </row>
    <row r="1328" spans="1:18" s="723" customFormat="1" ht="14.25" customHeight="1">
      <c r="A1328" s="728">
        <v>4120</v>
      </c>
      <c r="B1328" s="995" t="s">
        <v>847</v>
      </c>
      <c r="C1328" s="666">
        <v>21120</v>
      </c>
      <c r="D1328" s="643">
        <f t="shared" si="162"/>
        <v>21120</v>
      </c>
      <c r="E1328" s="667">
        <f t="shared" si="165"/>
        <v>13438</v>
      </c>
      <c r="F1328" s="1011">
        <f t="shared" si="159"/>
        <v>63.62689393939394</v>
      </c>
      <c r="G1328" s="666">
        <v>20520</v>
      </c>
      <c r="H1328" s="667">
        <v>13011</v>
      </c>
      <c r="I1328" s="644">
        <f t="shared" si="164"/>
        <v>63.40643274853801</v>
      </c>
      <c r="J1328" s="730">
        <v>600</v>
      </c>
      <c r="K1328" s="667">
        <v>427</v>
      </c>
      <c r="L1328" s="649">
        <f t="shared" si="166"/>
        <v>71.16666666666667</v>
      </c>
      <c r="M1328" s="667"/>
      <c r="N1328" s="667"/>
      <c r="O1328" s="731"/>
      <c r="P1328" s="667"/>
      <c r="Q1328" s="667"/>
      <c r="R1328" s="647"/>
    </row>
    <row r="1329" spans="1:18" s="723" customFormat="1" ht="24">
      <c r="A1329" s="728">
        <v>4170</v>
      </c>
      <c r="B1329" s="995" t="s">
        <v>742</v>
      </c>
      <c r="C1329" s="666">
        <v>92200</v>
      </c>
      <c r="D1329" s="643">
        <f t="shared" si="162"/>
        <v>122333</v>
      </c>
      <c r="E1329" s="667">
        <f t="shared" si="165"/>
        <v>82810</v>
      </c>
      <c r="F1329" s="1011">
        <f t="shared" si="159"/>
        <v>67.69228254027941</v>
      </c>
      <c r="G1329" s="666">
        <f>27200+7000</f>
        <v>34200</v>
      </c>
      <c r="H1329" s="667">
        <v>26152</v>
      </c>
      <c r="I1329" s="644">
        <f t="shared" si="164"/>
        <v>76.46783625730994</v>
      </c>
      <c r="J1329" s="730">
        <f>65000+23133</f>
        <v>88133</v>
      </c>
      <c r="K1329" s="667">
        <v>56658</v>
      </c>
      <c r="L1329" s="649">
        <f t="shared" si="166"/>
        <v>64.28692998082444</v>
      </c>
      <c r="M1329" s="667"/>
      <c r="N1329" s="667"/>
      <c r="O1329" s="731"/>
      <c r="P1329" s="667"/>
      <c r="Q1329" s="667"/>
      <c r="R1329" s="647"/>
    </row>
    <row r="1330" spans="1:18" s="723" customFormat="1" ht="24">
      <c r="A1330" s="728">
        <v>4210</v>
      </c>
      <c r="B1330" s="995" t="s">
        <v>707</v>
      </c>
      <c r="C1330" s="666">
        <v>2900</v>
      </c>
      <c r="D1330" s="643">
        <f t="shared" si="162"/>
        <v>2900</v>
      </c>
      <c r="E1330" s="667">
        <f t="shared" si="165"/>
        <v>0</v>
      </c>
      <c r="F1330" s="1011">
        <f t="shared" si="159"/>
        <v>0</v>
      </c>
      <c r="G1330" s="666">
        <v>2900</v>
      </c>
      <c r="H1330" s="667"/>
      <c r="I1330" s="644">
        <f t="shared" si="164"/>
        <v>0</v>
      </c>
      <c r="J1330" s="730"/>
      <c r="K1330" s="667"/>
      <c r="L1330" s="649"/>
      <c r="M1330" s="667"/>
      <c r="N1330" s="667"/>
      <c r="O1330" s="731"/>
      <c r="P1330" s="667"/>
      <c r="Q1330" s="667"/>
      <c r="R1330" s="647"/>
    </row>
    <row r="1331" spans="1:18" s="723" customFormat="1" ht="12.75">
      <c r="A1331" s="728">
        <v>4260</v>
      </c>
      <c r="B1331" s="995" t="s">
        <v>711</v>
      </c>
      <c r="C1331" s="666">
        <v>930</v>
      </c>
      <c r="D1331" s="643">
        <f t="shared" si="162"/>
        <v>930</v>
      </c>
      <c r="E1331" s="667">
        <f t="shared" si="165"/>
        <v>282</v>
      </c>
      <c r="F1331" s="1011">
        <f t="shared" si="159"/>
        <v>30.32258064516129</v>
      </c>
      <c r="G1331" s="666">
        <v>930</v>
      </c>
      <c r="H1331" s="667">
        <v>282</v>
      </c>
      <c r="I1331" s="644">
        <f t="shared" si="164"/>
        <v>30.32258064516129</v>
      </c>
      <c r="J1331" s="730"/>
      <c r="K1331" s="667"/>
      <c r="L1331" s="649"/>
      <c r="M1331" s="667"/>
      <c r="N1331" s="667"/>
      <c r="O1331" s="731"/>
      <c r="P1331" s="667"/>
      <c r="Q1331" s="667"/>
      <c r="R1331" s="647"/>
    </row>
    <row r="1332" spans="1:18" s="723" customFormat="1" ht="24">
      <c r="A1332" s="728">
        <v>4280</v>
      </c>
      <c r="B1332" s="995" t="s">
        <v>805</v>
      </c>
      <c r="C1332" s="666">
        <v>750</v>
      </c>
      <c r="D1332" s="643">
        <f t="shared" si="162"/>
        <v>750</v>
      </c>
      <c r="E1332" s="667">
        <f t="shared" si="165"/>
        <v>750</v>
      </c>
      <c r="F1332" s="1011">
        <f t="shared" si="159"/>
        <v>100</v>
      </c>
      <c r="G1332" s="666">
        <v>750</v>
      </c>
      <c r="H1332" s="667">
        <v>750</v>
      </c>
      <c r="I1332" s="644">
        <f t="shared" si="164"/>
        <v>100</v>
      </c>
      <c r="J1332" s="730"/>
      <c r="K1332" s="667"/>
      <c r="L1332" s="649"/>
      <c r="M1332" s="667"/>
      <c r="N1332" s="667"/>
      <c r="O1332" s="731"/>
      <c r="P1332" s="667"/>
      <c r="Q1332" s="667"/>
      <c r="R1332" s="647"/>
    </row>
    <row r="1333" spans="1:18" s="723" customFormat="1" ht="24">
      <c r="A1333" s="728">
        <v>4300</v>
      </c>
      <c r="B1333" s="995" t="s">
        <v>806</v>
      </c>
      <c r="C1333" s="666">
        <v>54590</v>
      </c>
      <c r="D1333" s="643">
        <f t="shared" si="162"/>
        <v>25457</v>
      </c>
      <c r="E1333" s="667">
        <f t="shared" si="165"/>
        <v>17182</v>
      </c>
      <c r="F1333" s="1011">
        <f t="shared" si="159"/>
        <v>67.49420591585812</v>
      </c>
      <c r="G1333" s="666">
        <v>4090</v>
      </c>
      <c r="H1333" s="667">
        <v>1757</v>
      </c>
      <c r="I1333" s="644">
        <f t="shared" si="164"/>
        <v>42.95843520782396</v>
      </c>
      <c r="J1333" s="730">
        <f>50500-29133</f>
        <v>21367</v>
      </c>
      <c r="K1333" s="667">
        <v>15425</v>
      </c>
      <c r="L1333" s="649">
        <f t="shared" si="166"/>
        <v>72.19076145457949</v>
      </c>
      <c r="M1333" s="667"/>
      <c r="N1333" s="667"/>
      <c r="O1333" s="731"/>
      <c r="P1333" s="667"/>
      <c r="Q1333" s="667"/>
      <c r="R1333" s="647"/>
    </row>
    <row r="1334" spans="1:18" s="723" customFormat="1" ht="48">
      <c r="A1334" s="728">
        <v>4370</v>
      </c>
      <c r="B1334" s="995" t="s">
        <v>809</v>
      </c>
      <c r="C1334" s="666">
        <v>4000</v>
      </c>
      <c r="D1334" s="643">
        <f>G1334+J1334+P1334+M1334</f>
        <v>4000</v>
      </c>
      <c r="E1334" s="667">
        <f>SUM(H1334+K1334+N1334+Q1334)</f>
        <v>0</v>
      </c>
      <c r="F1334" s="1011">
        <f>E1334/D1334*100</f>
        <v>0</v>
      </c>
      <c r="G1334" s="666">
        <v>4000</v>
      </c>
      <c r="H1334" s="667"/>
      <c r="I1334" s="644">
        <f t="shared" si="164"/>
        <v>0</v>
      </c>
      <c r="J1334" s="730"/>
      <c r="K1334" s="667"/>
      <c r="L1334" s="649"/>
      <c r="M1334" s="667"/>
      <c r="N1334" s="667"/>
      <c r="O1334" s="731"/>
      <c r="P1334" s="667"/>
      <c r="Q1334" s="667"/>
      <c r="R1334" s="647"/>
    </row>
    <row r="1335" spans="1:18" s="723" customFormat="1" ht="24">
      <c r="A1335" s="728">
        <v>4410</v>
      </c>
      <c r="B1335" s="995" t="s">
        <v>90</v>
      </c>
      <c r="C1335" s="666">
        <v>25840</v>
      </c>
      <c r="D1335" s="643">
        <f t="shared" si="162"/>
        <v>25840</v>
      </c>
      <c r="E1335" s="667">
        <f t="shared" si="165"/>
        <v>17480</v>
      </c>
      <c r="F1335" s="1011">
        <f t="shared" si="159"/>
        <v>67.64705882352942</v>
      </c>
      <c r="G1335" s="666">
        <v>25040</v>
      </c>
      <c r="H1335" s="667">
        <v>17480</v>
      </c>
      <c r="I1335" s="644">
        <f t="shared" si="164"/>
        <v>69.80830670926518</v>
      </c>
      <c r="J1335" s="730">
        <v>800</v>
      </c>
      <c r="K1335" s="667"/>
      <c r="L1335" s="649">
        <f t="shared" si="166"/>
        <v>0</v>
      </c>
      <c r="M1335" s="667"/>
      <c r="N1335" s="667"/>
      <c r="O1335" s="731"/>
      <c r="P1335" s="667"/>
      <c r="Q1335" s="667"/>
      <c r="R1335" s="647"/>
    </row>
    <row r="1336" spans="1:18" s="723" customFormat="1" ht="12.75">
      <c r="A1336" s="728">
        <v>4440</v>
      </c>
      <c r="B1336" s="818" t="s">
        <v>983</v>
      </c>
      <c r="C1336" s="666">
        <v>31800</v>
      </c>
      <c r="D1336" s="643">
        <f t="shared" si="162"/>
        <v>31800</v>
      </c>
      <c r="E1336" s="667">
        <f t="shared" si="165"/>
        <v>31800</v>
      </c>
      <c r="F1336" s="1011">
        <f t="shared" si="159"/>
        <v>100</v>
      </c>
      <c r="G1336" s="666">
        <v>31000</v>
      </c>
      <c r="H1336" s="667">
        <v>31000</v>
      </c>
      <c r="I1336" s="644">
        <f t="shared" si="164"/>
        <v>100</v>
      </c>
      <c r="J1336" s="730">
        <v>800</v>
      </c>
      <c r="K1336" s="667">
        <v>800</v>
      </c>
      <c r="L1336" s="396">
        <f t="shared" si="166"/>
        <v>100</v>
      </c>
      <c r="M1336" s="667"/>
      <c r="N1336" s="667"/>
      <c r="O1336" s="731"/>
      <c r="P1336" s="667"/>
      <c r="Q1336" s="667"/>
      <c r="R1336" s="647"/>
    </row>
    <row r="1337" spans="1:18" s="723" customFormat="1" ht="24" hidden="1">
      <c r="A1337" s="728">
        <v>4480</v>
      </c>
      <c r="B1337" s="818" t="s">
        <v>426</v>
      </c>
      <c r="C1337" s="666"/>
      <c r="D1337" s="643">
        <f t="shared" si="162"/>
        <v>0</v>
      </c>
      <c r="E1337" s="667">
        <f t="shared" si="165"/>
        <v>0</v>
      </c>
      <c r="F1337" s="1011" t="e">
        <f t="shared" si="159"/>
        <v>#DIV/0!</v>
      </c>
      <c r="G1337" s="666"/>
      <c r="H1337" s="667"/>
      <c r="I1337" s="644"/>
      <c r="J1337" s="730"/>
      <c r="K1337" s="667"/>
      <c r="L1337" s="649"/>
      <c r="M1337" s="667"/>
      <c r="N1337" s="667"/>
      <c r="O1337" s="731"/>
      <c r="P1337" s="667"/>
      <c r="Q1337" s="667"/>
      <c r="R1337" s="647"/>
    </row>
    <row r="1338" spans="1:18" s="723" customFormat="1" ht="60">
      <c r="A1338" s="874">
        <v>4740</v>
      </c>
      <c r="B1338" s="850" t="s">
        <v>728</v>
      </c>
      <c r="C1338" s="666">
        <v>500</v>
      </c>
      <c r="D1338" s="643">
        <f t="shared" si="162"/>
        <v>500</v>
      </c>
      <c r="E1338" s="667">
        <f t="shared" si="165"/>
        <v>0</v>
      </c>
      <c r="F1338" s="1011">
        <f t="shared" si="159"/>
        <v>0</v>
      </c>
      <c r="G1338" s="666">
        <v>500</v>
      </c>
      <c r="H1338" s="667"/>
      <c r="I1338" s="644">
        <f t="shared" si="164"/>
        <v>0</v>
      </c>
      <c r="J1338" s="730"/>
      <c r="K1338" s="667"/>
      <c r="L1338" s="649"/>
      <c r="M1338" s="667"/>
      <c r="N1338" s="667"/>
      <c r="O1338" s="731"/>
      <c r="P1338" s="667"/>
      <c r="Q1338" s="667"/>
      <c r="R1338" s="647"/>
    </row>
    <row r="1339" spans="1:18" s="775" customFormat="1" ht="24" hidden="1">
      <c r="A1339" s="832">
        <v>85278</v>
      </c>
      <c r="B1339" s="1040" t="s">
        <v>92</v>
      </c>
      <c r="C1339" s="673"/>
      <c r="D1339" s="674">
        <f t="shared" si="162"/>
        <v>0</v>
      </c>
      <c r="E1339" s="674">
        <f>H1339+K1339+Q1339+N1339</f>
        <v>0</v>
      </c>
      <c r="F1339" s="1051" t="e">
        <f t="shared" si="159"/>
        <v>#DIV/0!</v>
      </c>
      <c r="G1339" s="673"/>
      <c r="H1339" s="674"/>
      <c r="I1339" s="857"/>
      <c r="J1339" s="677">
        <f>SUM(J1340)</f>
        <v>0</v>
      </c>
      <c r="K1339" s="674">
        <f>SUM(K1340)</f>
        <v>0</v>
      </c>
      <c r="L1339" s="696" t="e">
        <f>K1339/J1339*100</f>
        <v>#DIV/0!</v>
      </c>
      <c r="M1339" s="674"/>
      <c r="N1339" s="674"/>
      <c r="O1339" s="827"/>
      <c r="P1339" s="674"/>
      <c r="Q1339" s="674"/>
      <c r="R1339" s="791"/>
    </row>
    <row r="1340" spans="1:18" s="723" customFormat="1" ht="14.25" customHeight="1" hidden="1">
      <c r="A1340" s="891">
        <v>3110</v>
      </c>
      <c r="B1340" s="1055" t="s">
        <v>1024</v>
      </c>
      <c r="C1340" s="893"/>
      <c r="D1340" s="894">
        <f t="shared" si="162"/>
        <v>0</v>
      </c>
      <c r="E1340" s="894">
        <f>H1340+K1340+Q1340+N1340</f>
        <v>0</v>
      </c>
      <c r="F1340" s="1053" t="e">
        <f t="shared" si="159"/>
        <v>#DIV/0!</v>
      </c>
      <c r="G1340" s="893"/>
      <c r="H1340" s="895"/>
      <c r="I1340" s="857"/>
      <c r="J1340" s="896"/>
      <c r="K1340" s="895"/>
      <c r="L1340" s="1066" t="e">
        <f>K1340/J1340*100</f>
        <v>#DIV/0!</v>
      </c>
      <c r="M1340" s="895"/>
      <c r="N1340" s="895"/>
      <c r="O1340" s="317"/>
      <c r="P1340" s="895"/>
      <c r="Q1340" s="895"/>
      <c r="R1340" s="665"/>
    </row>
    <row r="1341" spans="1:18" ht="30.75" customHeight="1">
      <c r="A1341" s="724">
        <v>85295</v>
      </c>
      <c r="B1341" s="994" t="s">
        <v>311</v>
      </c>
      <c r="C1341" s="655">
        <f>SUM(C1342:C1348)</f>
        <v>1120950</v>
      </c>
      <c r="D1341" s="674">
        <f>G1341+J1341+P1341+M1341</f>
        <v>1585514</v>
      </c>
      <c r="E1341" s="657">
        <f>H1341+K1341+Q1341+N1341</f>
        <v>931258</v>
      </c>
      <c r="F1341" s="1053">
        <f t="shared" si="159"/>
        <v>58.735400633485426</v>
      </c>
      <c r="G1341" s="655">
        <f>SUM(G1343:G1348)+G1342+G1349+G1354</f>
        <v>1562434</v>
      </c>
      <c r="H1341" s="664">
        <f>SUM(H1343:H1348)+H1342+H1349+H1354</f>
        <v>931258</v>
      </c>
      <c r="I1341" s="658">
        <f aca="true" t="shared" si="167" ref="I1341:I1397">H1341/G1341*100</f>
        <v>59.60302963197165</v>
      </c>
      <c r="J1341" s="655">
        <f>J1379+J1385</f>
        <v>23080</v>
      </c>
      <c r="K1341" s="664">
        <f>K1379+K1385</f>
        <v>0</v>
      </c>
      <c r="L1341" s="897">
        <f>K1341/J1341*100</f>
        <v>0</v>
      </c>
      <c r="M1341" s="1067"/>
      <c r="N1341" s="664"/>
      <c r="O1341" s="317"/>
      <c r="P1341" s="816"/>
      <c r="Q1341" s="816"/>
      <c r="R1341" s="665"/>
    </row>
    <row r="1342" spans="1:18" s="723" customFormat="1" ht="59.25" customHeight="1">
      <c r="A1342" s="709">
        <v>2820</v>
      </c>
      <c r="B1342" s="851" t="s">
        <v>918</v>
      </c>
      <c r="C1342" s="670">
        <v>150000</v>
      </c>
      <c r="D1342" s="685">
        <f t="shared" si="162"/>
        <v>150000</v>
      </c>
      <c r="E1342" s="685">
        <f aca="true" t="shared" si="168" ref="E1342:E1378">SUM(H1342+K1342+N1342+Q1342)</f>
        <v>98000</v>
      </c>
      <c r="F1342" s="1054">
        <f t="shared" si="159"/>
        <v>65.33333333333333</v>
      </c>
      <c r="G1342" s="670">
        <v>150000</v>
      </c>
      <c r="H1342" s="686">
        <v>98000</v>
      </c>
      <c r="I1342" s="668">
        <f t="shared" si="167"/>
        <v>65.33333333333333</v>
      </c>
      <c r="J1342" s="777"/>
      <c r="K1342" s="686"/>
      <c r="L1342" s="690"/>
      <c r="M1342" s="686"/>
      <c r="N1342" s="686"/>
      <c r="O1342" s="779"/>
      <c r="P1342" s="686"/>
      <c r="Q1342" s="686"/>
      <c r="R1342" s="652"/>
    </row>
    <row r="1343" spans="1:18" s="723" customFormat="1" ht="48">
      <c r="A1343" s="728">
        <v>3110</v>
      </c>
      <c r="B1343" s="1038" t="s">
        <v>93</v>
      </c>
      <c r="C1343" s="666">
        <f>200000+595000</f>
        <v>795000</v>
      </c>
      <c r="D1343" s="643">
        <f>G1343+J1343+P1343+M1343</f>
        <v>995970</v>
      </c>
      <c r="E1343" s="667">
        <f t="shared" si="168"/>
        <v>758946</v>
      </c>
      <c r="F1343" s="1011">
        <f>E1343/D1343*100</f>
        <v>76.20169282207296</v>
      </c>
      <c r="G1343" s="666">
        <f>200000+595000+117000-30+42000+42000</f>
        <v>995970</v>
      </c>
      <c r="H1343" s="667">
        <v>758946</v>
      </c>
      <c r="I1343" s="644">
        <f t="shared" si="167"/>
        <v>76.20169282207296</v>
      </c>
      <c r="J1343" s="730"/>
      <c r="K1343" s="667"/>
      <c r="L1343" s="649"/>
      <c r="M1343" s="667"/>
      <c r="N1343" s="667"/>
      <c r="O1343" s="731"/>
      <c r="P1343" s="667"/>
      <c r="Q1343" s="667"/>
      <c r="R1343" s="647"/>
    </row>
    <row r="1344" spans="1:18" s="723" customFormat="1" ht="12.75" hidden="1">
      <c r="A1344" s="728">
        <v>4580</v>
      </c>
      <c r="B1344" s="1038" t="s">
        <v>412</v>
      </c>
      <c r="C1344" s="666"/>
      <c r="D1344" s="643">
        <f t="shared" si="162"/>
        <v>0</v>
      </c>
      <c r="E1344" s="667">
        <f t="shared" si="168"/>
        <v>0</v>
      </c>
      <c r="F1344" s="1011" t="e">
        <f t="shared" si="159"/>
        <v>#DIV/0!</v>
      </c>
      <c r="G1344" s="666">
        <f>30-30</f>
        <v>0</v>
      </c>
      <c r="H1344" s="643"/>
      <c r="I1344" s="644" t="e">
        <f t="shared" si="167"/>
        <v>#DIV/0!</v>
      </c>
      <c r="J1344" s="730"/>
      <c r="K1344" s="667"/>
      <c r="L1344" s="649"/>
      <c r="M1344" s="667"/>
      <c r="N1344" s="667"/>
      <c r="O1344" s="731"/>
      <c r="P1344" s="667"/>
      <c r="Q1344" s="667"/>
      <c r="R1344" s="647"/>
    </row>
    <row r="1345" spans="1:18" s="723" customFormat="1" ht="24" hidden="1">
      <c r="A1345" s="728">
        <v>4170</v>
      </c>
      <c r="B1345" s="995" t="s">
        <v>94</v>
      </c>
      <c r="C1345" s="666"/>
      <c r="D1345" s="643">
        <f>G1345+J1345+P1345+M1345</f>
        <v>0</v>
      </c>
      <c r="E1345" s="667">
        <f t="shared" si="168"/>
        <v>0</v>
      </c>
      <c r="F1345" s="1011" t="e">
        <f>E1345/D1345*100</f>
        <v>#DIV/0!</v>
      </c>
      <c r="G1345" s="666"/>
      <c r="H1345" s="643"/>
      <c r="I1345" s="644" t="e">
        <f t="shared" si="167"/>
        <v>#DIV/0!</v>
      </c>
      <c r="J1345" s="730"/>
      <c r="K1345" s="667"/>
      <c r="L1345" s="649"/>
      <c r="M1345" s="667"/>
      <c r="N1345" s="667"/>
      <c r="O1345" s="731"/>
      <c r="P1345" s="667"/>
      <c r="Q1345" s="667"/>
      <c r="R1345" s="647"/>
    </row>
    <row r="1346" spans="1:18" s="723" customFormat="1" ht="24" hidden="1">
      <c r="A1346" s="728">
        <v>4210</v>
      </c>
      <c r="B1346" s="995" t="s">
        <v>95</v>
      </c>
      <c r="C1346" s="666"/>
      <c r="D1346" s="643">
        <f>G1346+J1346+P1346+M1346</f>
        <v>0</v>
      </c>
      <c r="E1346" s="667">
        <f t="shared" si="168"/>
        <v>0</v>
      </c>
      <c r="F1346" s="1011" t="e">
        <f>E1346/D1346*100</f>
        <v>#DIV/0!</v>
      </c>
      <c r="G1346" s="666"/>
      <c r="H1346" s="643"/>
      <c r="I1346" s="644" t="e">
        <f t="shared" si="167"/>
        <v>#DIV/0!</v>
      </c>
      <c r="J1346" s="730"/>
      <c r="K1346" s="667"/>
      <c r="L1346" s="649"/>
      <c r="M1346" s="667"/>
      <c r="N1346" s="667"/>
      <c r="O1346" s="731"/>
      <c r="P1346" s="667"/>
      <c r="Q1346" s="667"/>
      <c r="R1346" s="647"/>
    </row>
    <row r="1347" spans="1:18" s="723" customFormat="1" ht="72">
      <c r="A1347" s="728">
        <v>6060</v>
      </c>
      <c r="B1347" s="818" t="s">
        <v>96</v>
      </c>
      <c r="C1347" s="666">
        <v>153450</v>
      </c>
      <c r="D1347" s="643">
        <f t="shared" si="162"/>
        <v>153450</v>
      </c>
      <c r="E1347" s="667">
        <f t="shared" si="168"/>
        <v>0</v>
      </c>
      <c r="F1347" s="1011">
        <f t="shared" si="159"/>
        <v>0</v>
      </c>
      <c r="G1347" s="666">
        <v>153450</v>
      </c>
      <c r="H1347" s="643"/>
      <c r="I1347" s="644">
        <f t="shared" si="167"/>
        <v>0</v>
      </c>
      <c r="J1347" s="730"/>
      <c r="K1347" s="667"/>
      <c r="L1347" s="649"/>
      <c r="M1347" s="667"/>
      <c r="N1347" s="667"/>
      <c r="O1347" s="731"/>
      <c r="P1347" s="667"/>
      <c r="Q1347" s="667"/>
      <c r="R1347" s="647"/>
    </row>
    <row r="1348" spans="1:18" s="723" customFormat="1" ht="24.75" customHeight="1">
      <c r="A1348" s="762">
        <v>4300</v>
      </c>
      <c r="B1348" s="1012" t="s">
        <v>97</v>
      </c>
      <c r="C1348" s="781">
        <v>22500</v>
      </c>
      <c r="D1348" s="765">
        <f t="shared" si="162"/>
        <v>36350</v>
      </c>
      <c r="E1348" s="785">
        <f t="shared" si="168"/>
        <v>12149</v>
      </c>
      <c r="F1348" s="1013">
        <f t="shared" si="159"/>
        <v>33.422283356258596</v>
      </c>
      <c r="G1348" s="781">
        <f>22500+13850+42000-42000</f>
        <v>36350</v>
      </c>
      <c r="H1348" s="785">
        <f>12148+1</f>
        <v>12149</v>
      </c>
      <c r="I1348" s="705">
        <f t="shared" si="167"/>
        <v>33.422283356258596</v>
      </c>
      <c r="J1348" s="782"/>
      <c r="K1348" s="785"/>
      <c r="L1348" s="768"/>
      <c r="M1348" s="785"/>
      <c r="N1348" s="785"/>
      <c r="O1348" s="707"/>
      <c r="P1348" s="785"/>
      <c r="Q1348" s="785"/>
      <c r="R1348" s="707"/>
    </row>
    <row r="1349" spans="1:18" s="775" customFormat="1" ht="24" hidden="1">
      <c r="A1349" s="746"/>
      <c r="B1349" s="1068" t="s">
        <v>98</v>
      </c>
      <c r="C1349" s="748"/>
      <c r="D1349" s="749">
        <f t="shared" si="162"/>
        <v>0</v>
      </c>
      <c r="E1349" s="749">
        <f t="shared" si="168"/>
        <v>0</v>
      </c>
      <c r="F1349" s="1069" t="e">
        <f t="shared" si="159"/>
        <v>#DIV/0!</v>
      </c>
      <c r="G1349" s="1070">
        <f>SUM(G1350:G1353)</f>
        <v>0</v>
      </c>
      <c r="H1349" s="749">
        <f>SUM(H1350:H1353)</f>
        <v>0</v>
      </c>
      <c r="I1349" s="644" t="e">
        <f t="shared" si="167"/>
        <v>#DIV/0!</v>
      </c>
      <c r="J1349" s="750"/>
      <c r="K1349" s="749"/>
      <c r="L1349" s="751"/>
      <c r="M1349" s="748"/>
      <c r="N1349" s="749"/>
      <c r="O1349" s="1071"/>
      <c r="P1349" s="749"/>
      <c r="Q1349" s="749"/>
      <c r="R1349" s="1071"/>
    </row>
    <row r="1350" spans="1:18" s="723" customFormat="1" ht="24" hidden="1">
      <c r="A1350" s="728">
        <v>4170</v>
      </c>
      <c r="B1350" s="995" t="s">
        <v>742</v>
      </c>
      <c r="C1350" s="666"/>
      <c r="D1350" s="643">
        <f t="shared" si="162"/>
        <v>0</v>
      </c>
      <c r="E1350" s="667">
        <f t="shared" si="168"/>
        <v>0</v>
      </c>
      <c r="F1350" s="1001" t="e">
        <f t="shared" si="159"/>
        <v>#DIV/0!</v>
      </c>
      <c r="G1350" s="666"/>
      <c r="H1350" s="667"/>
      <c r="I1350" s="644" t="e">
        <f t="shared" si="167"/>
        <v>#DIV/0!</v>
      </c>
      <c r="J1350" s="730"/>
      <c r="K1350" s="667"/>
      <c r="L1350" s="649"/>
      <c r="M1350" s="666"/>
      <c r="N1350" s="667"/>
      <c r="O1350" s="1072"/>
      <c r="P1350" s="667"/>
      <c r="Q1350" s="667"/>
      <c r="R1350" s="699"/>
    </row>
    <row r="1351" spans="1:18" s="723" customFormat="1" ht="24" hidden="1">
      <c r="A1351" s="728">
        <v>4210</v>
      </c>
      <c r="B1351" s="995" t="s">
        <v>707</v>
      </c>
      <c r="C1351" s="666"/>
      <c r="D1351" s="643">
        <f t="shared" si="162"/>
        <v>0</v>
      </c>
      <c r="E1351" s="667">
        <f t="shared" si="168"/>
        <v>0</v>
      </c>
      <c r="F1351" s="1001" t="e">
        <f t="shared" si="159"/>
        <v>#DIV/0!</v>
      </c>
      <c r="G1351" s="666"/>
      <c r="H1351" s="667"/>
      <c r="I1351" s="644" t="e">
        <f t="shared" si="167"/>
        <v>#DIV/0!</v>
      </c>
      <c r="J1351" s="730"/>
      <c r="K1351" s="667"/>
      <c r="L1351" s="649"/>
      <c r="M1351" s="666"/>
      <c r="N1351" s="667"/>
      <c r="O1351" s="1072"/>
      <c r="P1351" s="667"/>
      <c r="Q1351" s="667"/>
      <c r="R1351" s="699"/>
    </row>
    <row r="1352" spans="1:18" s="723" customFormat="1" ht="24" hidden="1">
      <c r="A1352" s="728">
        <v>4300</v>
      </c>
      <c r="B1352" s="995" t="s">
        <v>715</v>
      </c>
      <c r="C1352" s="666"/>
      <c r="D1352" s="643">
        <f t="shared" si="162"/>
        <v>0</v>
      </c>
      <c r="E1352" s="667">
        <f t="shared" si="168"/>
        <v>0</v>
      </c>
      <c r="F1352" s="1001" t="e">
        <f t="shared" si="159"/>
        <v>#DIV/0!</v>
      </c>
      <c r="G1352" s="666"/>
      <c r="H1352" s="667"/>
      <c r="I1352" s="644" t="e">
        <f t="shared" si="167"/>
        <v>#DIV/0!</v>
      </c>
      <c r="J1352" s="730"/>
      <c r="K1352" s="667"/>
      <c r="L1352" s="649"/>
      <c r="M1352" s="666"/>
      <c r="N1352" s="667"/>
      <c r="O1352" s="1072"/>
      <c r="P1352" s="667"/>
      <c r="Q1352" s="667"/>
      <c r="R1352" s="699"/>
    </row>
    <row r="1353" spans="1:18" s="723" customFormat="1" ht="60" hidden="1">
      <c r="A1353" s="728">
        <v>4740</v>
      </c>
      <c r="B1353" s="995" t="s">
        <v>728</v>
      </c>
      <c r="C1353" s="666"/>
      <c r="D1353" s="643">
        <f t="shared" si="162"/>
        <v>0</v>
      </c>
      <c r="E1353" s="667">
        <f t="shared" si="168"/>
        <v>0</v>
      </c>
      <c r="F1353" s="1001" t="e">
        <f t="shared" si="159"/>
        <v>#DIV/0!</v>
      </c>
      <c r="G1353" s="666"/>
      <c r="H1353" s="667"/>
      <c r="I1353" s="644" t="e">
        <f t="shared" si="167"/>
        <v>#DIV/0!</v>
      </c>
      <c r="J1353" s="730"/>
      <c r="K1353" s="667"/>
      <c r="L1353" s="649"/>
      <c r="M1353" s="666"/>
      <c r="N1353" s="667"/>
      <c r="O1353" s="1072"/>
      <c r="P1353" s="667"/>
      <c r="Q1353" s="667"/>
      <c r="R1353" s="699"/>
    </row>
    <row r="1354" spans="1:18" s="775" customFormat="1" ht="84">
      <c r="A1354" s="746"/>
      <c r="B1354" s="1068" t="s">
        <v>99</v>
      </c>
      <c r="C1354" s="748"/>
      <c r="D1354" s="749">
        <f t="shared" si="162"/>
        <v>226664</v>
      </c>
      <c r="E1354" s="749">
        <f t="shared" si="168"/>
        <v>62163</v>
      </c>
      <c r="F1354" s="1001">
        <f t="shared" si="159"/>
        <v>27.42517559030106</v>
      </c>
      <c r="G1354" s="748">
        <f>SUM(G1355:G1378)</f>
        <v>226664</v>
      </c>
      <c r="H1354" s="749">
        <f>SUM(H1355:H1378)</f>
        <v>62163</v>
      </c>
      <c r="I1354" s="644">
        <f t="shared" si="167"/>
        <v>27.42517559030106</v>
      </c>
      <c r="J1354" s="750"/>
      <c r="K1354" s="749"/>
      <c r="L1354" s="751"/>
      <c r="M1354" s="750"/>
      <c r="N1354" s="749"/>
      <c r="O1354" s="1072"/>
      <c r="P1354" s="749"/>
      <c r="Q1354" s="749"/>
      <c r="R1354" s="1072"/>
    </row>
    <row r="1355" spans="1:18" s="723" customFormat="1" ht="12.75">
      <c r="A1355" s="728">
        <v>3118</v>
      </c>
      <c r="B1355" s="995" t="s">
        <v>1024</v>
      </c>
      <c r="C1355" s="666"/>
      <c r="D1355" s="643">
        <f t="shared" si="162"/>
        <v>37383</v>
      </c>
      <c r="E1355" s="667">
        <f t="shared" si="168"/>
        <v>2537</v>
      </c>
      <c r="F1355" s="1001">
        <f t="shared" si="159"/>
        <v>6.786507235909371</v>
      </c>
      <c r="G1355" s="666">
        <f>40080-6012+3315</f>
        <v>37383</v>
      </c>
      <c r="H1355" s="667">
        <v>2537</v>
      </c>
      <c r="I1355" s="644">
        <f t="shared" si="167"/>
        <v>6.786507235909371</v>
      </c>
      <c r="J1355" s="730"/>
      <c r="K1355" s="667"/>
      <c r="L1355" s="649"/>
      <c r="M1355" s="730"/>
      <c r="N1355" s="667"/>
      <c r="O1355" s="1072"/>
      <c r="P1355" s="667"/>
      <c r="Q1355" s="667"/>
      <c r="R1355" s="699"/>
    </row>
    <row r="1356" spans="1:18" s="723" customFormat="1" ht="12.75">
      <c r="A1356" s="728">
        <v>3119</v>
      </c>
      <c r="B1356" s="995" t="s">
        <v>1024</v>
      </c>
      <c r="C1356" s="666"/>
      <c r="D1356" s="643">
        <f t="shared" si="162"/>
        <v>6597</v>
      </c>
      <c r="E1356" s="667">
        <f t="shared" si="168"/>
        <v>448</v>
      </c>
      <c r="F1356" s="1001">
        <f t="shared" si="159"/>
        <v>6.790965590419888</v>
      </c>
      <c r="G1356" s="666">
        <f>6012+585</f>
        <v>6597</v>
      </c>
      <c r="H1356" s="667">
        <v>448</v>
      </c>
      <c r="I1356" s="644">
        <f t="shared" si="167"/>
        <v>6.790965590419888</v>
      </c>
      <c r="J1356" s="730"/>
      <c r="K1356" s="667"/>
      <c r="L1356" s="649"/>
      <c r="M1356" s="730"/>
      <c r="N1356" s="667"/>
      <c r="O1356" s="1072"/>
      <c r="P1356" s="667"/>
      <c r="Q1356" s="667"/>
      <c r="R1356" s="699"/>
    </row>
    <row r="1357" spans="1:18" s="723" customFormat="1" ht="24">
      <c r="A1357" s="728">
        <v>4018</v>
      </c>
      <c r="B1357" s="995" t="s">
        <v>697</v>
      </c>
      <c r="C1357" s="666"/>
      <c r="D1357" s="643">
        <f t="shared" si="162"/>
        <v>32988</v>
      </c>
      <c r="E1357" s="667">
        <f t="shared" si="168"/>
        <v>14213</v>
      </c>
      <c r="F1357" s="1001">
        <f aca="true" t="shared" si="169" ref="F1357:F1377">E1357/D1357*100</f>
        <v>43.08536437492421</v>
      </c>
      <c r="G1357" s="666">
        <f>38810-5822</f>
        <v>32988</v>
      </c>
      <c r="H1357" s="667">
        <v>14213</v>
      </c>
      <c r="I1357" s="644">
        <f t="shared" si="167"/>
        <v>43.08536437492421</v>
      </c>
      <c r="J1357" s="730"/>
      <c r="K1357" s="667"/>
      <c r="L1357" s="649"/>
      <c r="M1357" s="730"/>
      <c r="N1357" s="667"/>
      <c r="O1357" s="1072"/>
      <c r="P1357" s="667"/>
      <c r="Q1357" s="667"/>
      <c r="R1357" s="699"/>
    </row>
    <row r="1358" spans="1:18" s="723" customFormat="1" ht="24">
      <c r="A1358" s="728">
        <v>4019</v>
      </c>
      <c r="B1358" s="995" t="s">
        <v>697</v>
      </c>
      <c r="C1358" s="666"/>
      <c r="D1358" s="643">
        <f t="shared" si="162"/>
        <v>5822</v>
      </c>
      <c r="E1358" s="667">
        <f t="shared" si="168"/>
        <v>2508</v>
      </c>
      <c r="F1358" s="1001">
        <f t="shared" si="169"/>
        <v>43.077980075575404</v>
      </c>
      <c r="G1358" s="666">
        <v>5822</v>
      </c>
      <c r="H1358" s="667">
        <v>2508</v>
      </c>
      <c r="I1358" s="644">
        <f t="shared" si="167"/>
        <v>43.077980075575404</v>
      </c>
      <c r="J1358" s="730"/>
      <c r="K1358" s="667"/>
      <c r="L1358" s="649"/>
      <c r="M1358" s="730"/>
      <c r="N1358" s="667"/>
      <c r="O1358" s="1072"/>
      <c r="P1358" s="667"/>
      <c r="Q1358" s="667"/>
      <c r="R1358" s="699"/>
    </row>
    <row r="1359" spans="1:18" s="723" customFormat="1" ht="24">
      <c r="A1359" s="728">
        <v>4118</v>
      </c>
      <c r="B1359" s="995" t="s">
        <v>703</v>
      </c>
      <c r="C1359" s="666"/>
      <c r="D1359" s="643">
        <f t="shared" si="162"/>
        <v>9283</v>
      </c>
      <c r="E1359" s="667">
        <f t="shared" si="168"/>
        <v>2840</v>
      </c>
      <c r="F1359" s="1001">
        <f t="shared" si="169"/>
        <v>30.59355811698804</v>
      </c>
      <c r="G1359" s="666">
        <f>12354-1854-1217</f>
        <v>9283</v>
      </c>
      <c r="H1359" s="667">
        <v>2840</v>
      </c>
      <c r="I1359" s="644">
        <f t="shared" si="167"/>
        <v>30.59355811698804</v>
      </c>
      <c r="J1359" s="730"/>
      <c r="K1359" s="667"/>
      <c r="L1359" s="649"/>
      <c r="M1359" s="730"/>
      <c r="N1359" s="667"/>
      <c r="O1359" s="1072"/>
      <c r="P1359" s="667"/>
      <c r="Q1359" s="667"/>
      <c r="R1359" s="699"/>
    </row>
    <row r="1360" spans="1:18" s="723" customFormat="1" ht="24">
      <c r="A1360" s="728">
        <v>4119</v>
      </c>
      <c r="B1360" s="995" t="s">
        <v>703</v>
      </c>
      <c r="C1360" s="666"/>
      <c r="D1360" s="643">
        <f t="shared" si="162"/>
        <v>1638</v>
      </c>
      <c r="E1360" s="667">
        <f t="shared" si="168"/>
        <v>575</v>
      </c>
      <c r="F1360" s="1001">
        <f t="shared" si="169"/>
        <v>35.1037851037851</v>
      </c>
      <c r="G1360" s="666">
        <f>1854-216</f>
        <v>1638</v>
      </c>
      <c r="H1360" s="667">
        <v>575</v>
      </c>
      <c r="I1360" s="644">
        <f t="shared" si="167"/>
        <v>35.1037851037851</v>
      </c>
      <c r="J1360" s="730"/>
      <c r="K1360" s="667"/>
      <c r="L1360" s="649"/>
      <c r="M1360" s="730"/>
      <c r="N1360" s="667"/>
      <c r="O1360" s="1072"/>
      <c r="P1360" s="667"/>
      <c r="Q1360" s="667"/>
      <c r="R1360" s="699"/>
    </row>
    <row r="1361" spans="1:18" s="723" customFormat="1" ht="12.75">
      <c r="A1361" s="728">
        <v>4128</v>
      </c>
      <c r="B1361" s="995" t="s">
        <v>847</v>
      </c>
      <c r="C1361" s="666"/>
      <c r="D1361" s="643">
        <f t="shared" si="162"/>
        <v>1416</v>
      </c>
      <c r="E1361" s="667">
        <f t="shared" si="168"/>
        <v>1117</v>
      </c>
      <c r="F1361" s="1001">
        <f t="shared" si="169"/>
        <v>78.88418079096046</v>
      </c>
      <c r="G1361" s="666">
        <f>1886-283-187</f>
        <v>1416</v>
      </c>
      <c r="H1361" s="667">
        <v>1117</v>
      </c>
      <c r="I1361" s="644">
        <f t="shared" si="167"/>
        <v>78.88418079096046</v>
      </c>
      <c r="J1361" s="730"/>
      <c r="K1361" s="667"/>
      <c r="L1361" s="649"/>
      <c r="M1361" s="730"/>
      <c r="N1361" s="667"/>
      <c r="O1361" s="1072"/>
      <c r="P1361" s="667"/>
      <c r="Q1361" s="667"/>
      <c r="R1361" s="699"/>
    </row>
    <row r="1362" spans="1:18" s="723" customFormat="1" ht="12.75">
      <c r="A1362" s="728">
        <v>4129</v>
      </c>
      <c r="B1362" s="995" t="s">
        <v>847</v>
      </c>
      <c r="C1362" s="666"/>
      <c r="D1362" s="643">
        <f t="shared" si="162"/>
        <v>250</v>
      </c>
      <c r="E1362" s="667">
        <f t="shared" si="168"/>
        <v>122</v>
      </c>
      <c r="F1362" s="1001">
        <f t="shared" si="169"/>
        <v>48.8</v>
      </c>
      <c r="G1362" s="666">
        <f>283-33</f>
        <v>250</v>
      </c>
      <c r="H1362" s="667">
        <v>122</v>
      </c>
      <c r="I1362" s="644">
        <f t="shared" si="167"/>
        <v>48.8</v>
      </c>
      <c r="J1362" s="730"/>
      <c r="K1362" s="667"/>
      <c r="L1362" s="649"/>
      <c r="M1362" s="730"/>
      <c r="N1362" s="667"/>
      <c r="O1362" s="1072"/>
      <c r="P1362" s="667"/>
      <c r="Q1362" s="667"/>
      <c r="R1362" s="699"/>
    </row>
    <row r="1363" spans="1:18" s="723" customFormat="1" ht="24">
      <c r="A1363" s="728">
        <v>4178</v>
      </c>
      <c r="B1363" s="995" t="s">
        <v>742</v>
      </c>
      <c r="C1363" s="666"/>
      <c r="D1363" s="643">
        <f t="shared" si="162"/>
        <v>24822</v>
      </c>
      <c r="E1363" s="667">
        <f t="shared" si="168"/>
        <v>17517</v>
      </c>
      <c r="F1363" s="1001">
        <f t="shared" si="169"/>
        <v>70.57046168721295</v>
      </c>
      <c r="G1363" s="666">
        <f>38150-5723-7605</f>
        <v>24822</v>
      </c>
      <c r="H1363" s="667">
        <f>17518-1</f>
        <v>17517</v>
      </c>
      <c r="I1363" s="644">
        <f t="shared" si="167"/>
        <v>70.57046168721295</v>
      </c>
      <c r="J1363" s="730"/>
      <c r="K1363" s="667"/>
      <c r="L1363" s="649"/>
      <c r="M1363" s="730"/>
      <c r="N1363" s="667"/>
      <c r="O1363" s="1072"/>
      <c r="P1363" s="667"/>
      <c r="Q1363" s="667"/>
      <c r="R1363" s="699"/>
    </row>
    <row r="1364" spans="1:18" s="723" customFormat="1" ht="24">
      <c r="A1364" s="728">
        <v>4179</v>
      </c>
      <c r="B1364" s="995" t="s">
        <v>742</v>
      </c>
      <c r="C1364" s="666"/>
      <c r="D1364" s="643">
        <f t="shared" si="162"/>
        <v>4381</v>
      </c>
      <c r="E1364" s="667">
        <f t="shared" si="168"/>
        <v>3127</v>
      </c>
      <c r="F1364" s="1001">
        <f t="shared" si="169"/>
        <v>71.37639808262954</v>
      </c>
      <c r="G1364" s="666">
        <f>5723-1342</f>
        <v>4381</v>
      </c>
      <c r="H1364" s="667">
        <v>3127</v>
      </c>
      <c r="I1364" s="644">
        <f t="shared" si="167"/>
        <v>71.37639808262954</v>
      </c>
      <c r="J1364" s="730"/>
      <c r="K1364" s="667"/>
      <c r="L1364" s="649"/>
      <c r="M1364" s="730"/>
      <c r="N1364" s="667"/>
      <c r="O1364" s="1072"/>
      <c r="P1364" s="667"/>
      <c r="Q1364" s="667"/>
      <c r="R1364" s="699"/>
    </row>
    <row r="1365" spans="1:18" s="723" customFormat="1" ht="24">
      <c r="A1365" s="728">
        <v>4218</v>
      </c>
      <c r="B1365" s="995" t="s">
        <v>707</v>
      </c>
      <c r="C1365" s="666"/>
      <c r="D1365" s="643">
        <f t="shared" si="162"/>
        <v>2082</v>
      </c>
      <c r="E1365" s="667">
        <f t="shared" si="168"/>
        <v>1444</v>
      </c>
      <c r="F1365" s="1001">
        <f t="shared" si="169"/>
        <v>69.35638808837656</v>
      </c>
      <c r="G1365" s="666">
        <f>1020-153+1215</f>
        <v>2082</v>
      </c>
      <c r="H1365" s="667">
        <v>1444</v>
      </c>
      <c r="I1365" s="644">
        <f t="shared" si="167"/>
        <v>69.35638808837656</v>
      </c>
      <c r="J1365" s="730"/>
      <c r="K1365" s="667"/>
      <c r="L1365" s="649"/>
      <c r="M1365" s="730"/>
      <c r="N1365" s="667"/>
      <c r="O1365" s="1072"/>
      <c r="P1365" s="667"/>
      <c r="Q1365" s="667"/>
      <c r="R1365" s="699"/>
    </row>
    <row r="1366" spans="1:18" s="723" customFormat="1" ht="24">
      <c r="A1366" s="728">
        <v>4219</v>
      </c>
      <c r="B1366" s="995" t="s">
        <v>707</v>
      </c>
      <c r="C1366" s="666"/>
      <c r="D1366" s="643">
        <f t="shared" si="162"/>
        <v>368</v>
      </c>
      <c r="E1366" s="667">
        <f t="shared" si="168"/>
        <v>267</v>
      </c>
      <c r="F1366" s="1001">
        <f t="shared" si="169"/>
        <v>72.55434782608695</v>
      </c>
      <c r="G1366" s="666">
        <f>153+215</f>
        <v>368</v>
      </c>
      <c r="H1366" s="667">
        <f>268-1</f>
        <v>267</v>
      </c>
      <c r="I1366" s="644">
        <f t="shared" si="167"/>
        <v>72.55434782608695</v>
      </c>
      <c r="J1366" s="730"/>
      <c r="K1366" s="667"/>
      <c r="L1366" s="649"/>
      <c r="M1366" s="730"/>
      <c r="N1366" s="667"/>
      <c r="O1366" s="1072"/>
      <c r="P1366" s="667"/>
      <c r="Q1366" s="667"/>
      <c r="R1366" s="699"/>
    </row>
    <row r="1367" spans="1:18" s="723" customFormat="1" ht="24">
      <c r="A1367" s="728">
        <v>4288</v>
      </c>
      <c r="B1367" s="995" t="s">
        <v>805</v>
      </c>
      <c r="C1367" s="666"/>
      <c r="D1367" s="643">
        <f>G1367+J1367+P1367+M1367</f>
        <v>893</v>
      </c>
      <c r="E1367" s="667">
        <f>SUM(H1367+K1367+N1367+Q1367)</f>
        <v>0</v>
      </c>
      <c r="F1367" s="1001">
        <f>E1367/D1367*100</f>
        <v>0</v>
      </c>
      <c r="G1367" s="666">
        <v>893</v>
      </c>
      <c r="H1367" s="667"/>
      <c r="I1367" s="644">
        <f t="shared" si="167"/>
        <v>0</v>
      </c>
      <c r="J1367" s="730"/>
      <c r="K1367" s="667"/>
      <c r="L1367" s="649"/>
      <c r="M1367" s="730"/>
      <c r="N1367" s="667"/>
      <c r="O1367" s="1072"/>
      <c r="P1367" s="667"/>
      <c r="Q1367" s="667"/>
      <c r="R1367" s="699"/>
    </row>
    <row r="1368" spans="1:18" s="723" customFormat="1" ht="24">
      <c r="A1368" s="728">
        <v>4289</v>
      </c>
      <c r="B1368" s="995" t="s">
        <v>805</v>
      </c>
      <c r="C1368" s="666"/>
      <c r="D1368" s="643">
        <f>G1368+J1368+P1368+M1368</f>
        <v>157</v>
      </c>
      <c r="E1368" s="667">
        <f>SUM(H1368+K1368+N1368+Q1368)</f>
        <v>0</v>
      </c>
      <c r="F1368" s="1001">
        <f>E1368/D1368*100</f>
        <v>0</v>
      </c>
      <c r="G1368" s="666">
        <v>157</v>
      </c>
      <c r="H1368" s="667"/>
      <c r="I1368" s="644">
        <f t="shared" si="167"/>
        <v>0</v>
      </c>
      <c r="J1368" s="730"/>
      <c r="K1368" s="667"/>
      <c r="L1368" s="649"/>
      <c r="M1368" s="730"/>
      <c r="N1368" s="667"/>
      <c r="O1368" s="1072"/>
      <c r="P1368" s="667"/>
      <c r="Q1368" s="667"/>
      <c r="R1368" s="699"/>
    </row>
    <row r="1369" spans="1:18" s="723" customFormat="1" ht="24">
      <c r="A1369" s="728">
        <v>4308</v>
      </c>
      <c r="B1369" s="995" t="s">
        <v>806</v>
      </c>
      <c r="C1369" s="666"/>
      <c r="D1369" s="643">
        <f t="shared" si="162"/>
        <v>75493</v>
      </c>
      <c r="E1369" s="667">
        <f t="shared" si="168"/>
        <v>11970</v>
      </c>
      <c r="F1369" s="1001">
        <f t="shared" si="169"/>
        <v>15.855774707588782</v>
      </c>
      <c r="G1369" s="666">
        <f>85645-12846+2694</f>
        <v>75493</v>
      </c>
      <c r="H1369" s="667">
        <v>11970</v>
      </c>
      <c r="I1369" s="644">
        <f t="shared" si="167"/>
        <v>15.855774707588782</v>
      </c>
      <c r="J1369" s="730"/>
      <c r="K1369" s="667"/>
      <c r="L1369" s="649"/>
      <c r="M1369" s="730"/>
      <c r="N1369" s="667"/>
      <c r="O1369" s="1072"/>
      <c r="P1369" s="667"/>
      <c r="Q1369" s="667"/>
      <c r="R1369" s="699"/>
    </row>
    <row r="1370" spans="1:18" s="723" customFormat="1" ht="24">
      <c r="A1370" s="728">
        <v>4309</v>
      </c>
      <c r="B1370" s="995" t="s">
        <v>806</v>
      </c>
      <c r="C1370" s="666"/>
      <c r="D1370" s="643">
        <f t="shared" si="162"/>
        <v>13322</v>
      </c>
      <c r="E1370" s="667">
        <f t="shared" si="168"/>
        <v>2114</v>
      </c>
      <c r="F1370" s="1001">
        <f t="shared" si="169"/>
        <v>15.868488214982735</v>
      </c>
      <c r="G1370" s="666">
        <f>12846+476</f>
        <v>13322</v>
      </c>
      <c r="H1370" s="667">
        <v>2114</v>
      </c>
      <c r="I1370" s="644">
        <f t="shared" si="167"/>
        <v>15.868488214982735</v>
      </c>
      <c r="J1370" s="730"/>
      <c r="K1370" s="667"/>
      <c r="L1370" s="649"/>
      <c r="M1370" s="730"/>
      <c r="N1370" s="667"/>
      <c r="O1370" s="1072"/>
      <c r="P1370" s="667"/>
      <c r="Q1370" s="667"/>
      <c r="R1370" s="699"/>
    </row>
    <row r="1371" spans="1:18" s="723" customFormat="1" ht="24">
      <c r="A1371" s="829">
        <v>4418</v>
      </c>
      <c r="B1371" s="850" t="s">
        <v>689</v>
      </c>
      <c r="C1371" s="666"/>
      <c r="D1371" s="643">
        <f t="shared" si="162"/>
        <v>5563</v>
      </c>
      <c r="E1371" s="667">
        <f t="shared" si="168"/>
        <v>771</v>
      </c>
      <c r="F1371" s="1001">
        <f t="shared" si="169"/>
        <v>13.859428365989574</v>
      </c>
      <c r="G1371" s="666">
        <f>6544-981</f>
        <v>5563</v>
      </c>
      <c r="H1371" s="667">
        <v>771</v>
      </c>
      <c r="I1371" s="644">
        <f t="shared" si="167"/>
        <v>13.859428365989574</v>
      </c>
      <c r="J1371" s="730"/>
      <c r="K1371" s="667"/>
      <c r="L1371" s="649"/>
      <c r="M1371" s="730"/>
      <c r="N1371" s="667"/>
      <c r="O1371" s="1072"/>
      <c r="P1371" s="667"/>
      <c r="Q1371" s="667"/>
      <c r="R1371" s="699"/>
    </row>
    <row r="1372" spans="1:18" s="723" customFormat="1" ht="24">
      <c r="A1372" s="829">
        <v>4419</v>
      </c>
      <c r="B1372" s="850" t="s">
        <v>689</v>
      </c>
      <c r="C1372" s="666"/>
      <c r="D1372" s="643">
        <f>G1372+J1372+P1372+M1372</f>
        <v>981</v>
      </c>
      <c r="E1372" s="667">
        <f t="shared" si="168"/>
        <v>122</v>
      </c>
      <c r="F1372" s="1001">
        <f>E1372/D1372*100</f>
        <v>12.436289500509684</v>
      </c>
      <c r="G1372" s="666">
        <v>981</v>
      </c>
      <c r="H1372" s="667">
        <v>122</v>
      </c>
      <c r="I1372" s="644">
        <f t="shared" si="167"/>
        <v>12.436289500509684</v>
      </c>
      <c r="J1372" s="730"/>
      <c r="K1372" s="667"/>
      <c r="L1372" s="649"/>
      <c r="M1372" s="730"/>
      <c r="N1372" s="667"/>
      <c r="O1372" s="1072"/>
      <c r="P1372" s="667"/>
      <c r="Q1372" s="667"/>
      <c r="R1372" s="699"/>
    </row>
    <row r="1373" spans="1:18" s="723" customFormat="1" ht="12.75">
      <c r="A1373" s="829">
        <v>4438</v>
      </c>
      <c r="B1373" s="850" t="s">
        <v>717</v>
      </c>
      <c r="C1373" s="666"/>
      <c r="D1373" s="643">
        <f>G1373+J1373+P1373+M1373</f>
        <v>892</v>
      </c>
      <c r="E1373" s="667">
        <f>SUM(H1373+K1373+N1373+Q1373)</f>
        <v>0</v>
      </c>
      <c r="F1373" s="1001">
        <f>E1373/D1373*100</f>
        <v>0</v>
      </c>
      <c r="G1373" s="666">
        <v>892</v>
      </c>
      <c r="H1373" s="667"/>
      <c r="I1373" s="644">
        <f t="shared" si="167"/>
        <v>0</v>
      </c>
      <c r="J1373" s="730"/>
      <c r="K1373" s="667"/>
      <c r="L1373" s="649"/>
      <c r="M1373" s="730"/>
      <c r="N1373" s="667"/>
      <c r="O1373" s="1072"/>
      <c r="P1373" s="667"/>
      <c r="Q1373" s="667"/>
      <c r="R1373" s="699"/>
    </row>
    <row r="1374" spans="1:18" s="723" customFormat="1" ht="12.75">
      <c r="A1374" s="874">
        <v>4439</v>
      </c>
      <c r="B1374" s="875" t="s">
        <v>717</v>
      </c>
      <c r="C1374" s="781"/>
      <c r="D1374" s="765">
        <f>G1374+J1374+P1374+M1374</f>
        <v>158</v>
      </c>
      <c r="E1374" s="785">
        <f>SUM(H1374+K1374+N1374+Q1374)</f>
        <v>0</v>
      </c>
      <c r="F1374" s="1013">
        <f>E1374/D1374*100</f>
        <v>0</v>
      </c>
      <c r="G1374" s="781">
        <v>158</v>
      </c>
      <c r="H1374" s="785"/>
      <c r="I1374" s="705">
        <f t="shared" si="167"/>
        <v>0</v>
      </c>
      <c r="J1374" s="782"/>
      <c r="K1374" s="785"/>
      <c r="L1374" s="768"/>
      <c r="M1374" s="782"/>
      <c r="N1374" s="785"/>
      <c r="O1374" s="1073"/>
      <c r="P1374" s="785"/>
      <c r="Q1374" s="785"/>
      <c r="R1374" s="815"/>
    </row>
    <row r="1375" spans="1:18" s="723" customFormat="1" ht="60">
      <c r="A1375" s="829">
        <v>4748</v>
      </c>
      <c r="B1375" s="850" t="s">
        <v>728</v>
      </c>
      <c r="C1375" s="666"/>
      <c r="D1375" s="643">
        <f>G1375+J1375+P1375+M1375</f>
        <v>518</v>
      </c>
      <c r="E1375" s="667">
        <f t="shared" si="168"/>
        <v>141</v>
      </c>
      <c r="F1375" s="1001">
        <f>E1375/D1375*100</f>
        <v>27.220077220077222</v>
      </c>
      <c r="G1375" s="666">
        <f>610-92</f>
        <v>518</v>
      </c>
      <c r="H1375" s="667">
        <v>141</v>
      </c>
      <c r="I1375" s="644">
        <f t="shared" si="167"/>
        <v>27.220077220077222</v>
      </c>
      <c r="J1375" s="730"/>
      <c r="K1375" s="667"/>
      <c r="L1375" s="649"/>
      <c r="M1375" s="730"/>
      <c r="N1375" s="667"/>
      <c r="O1375" s="1072"/>
      <c r="P1375" s="667"/>
      <c r="Q1375" s="667"/>
      <c r="R1375" s="699"/>
    </row>
    <row r="1376" spans="1:18" s="723" customFormat="1" ht="60">
      <c r="A1376" s="829">
        <v>4749</v>
      </c>
      <c r="B1376" s="850" t="s">
        <v>728</v>
      </c>
      <c r="C1376" s="666"/>
      <c r="D1376" s="643">
        <f>G1376+J1376+P1376+M1376</f>
        <v>92</v>
      </c>
      <c r="E1376" s="667">
        <f t="shared" si="168"/>
        <v>25</v>
      </c>
      <c r="F1376" s="1001">
        <f>E1376/D1376*100</f>
        <v>27.173913043478258</v>
      </c>
      <c r="G1376" s="666">
        <v>92</v>
      </c>
      <c r="H1376" s="667">
        <v>25</v>
      </c>
      <c r="I1376" s="644">
        <f t="shared" si="167"/>
        <v>27.173913043478258</v>
      </c>
      <c r="J1376" s="730"/>
      <c r="K1376" s="667"/>
      <c r="L1376" s="649"/>
      <c r="M1376" s="730"/>
      <c r="N1376" s="667"/>
      <c r="O1376" s="1072"/>
      <c r="P1376" s="667"/>
      <c r="Q1376" s="667"/>
      <c r="R1376" s="699"/>
    </row>
    <row r="1377" spans="1:18" s="723" customFormat="1" ht="36">
      <c r="A1377" s="829">
        <v>4758</v>
      </c>
      <c r="B1377" s="850" t="s">
        <v>100</v>
      </c>
      <c r="C1377" s="666"/>
      <c r="D1377" s="643">
        <f t="shared" si="162"/>
        <v>1331</v>
      </c>
      <c r="E1377" s="667">
        <f t="shared" si="168"/>
        <v>259</v>
      </c>
      <c r="F1377" s="1001">
        <f t="shared" si="169"/>
        <v>19.459053343350863</v>
      </c>
      <c r="G1377" s="666">
        <f>1565-234</f>
        <v>1331</v>
      </c>
      <c r="H1377" s="667">
        <v>259</v>
      </c>
      <c r="I1377" s="644">
        <f t="shared" si="167"/>
        <v>19.459053343350863</v>
      </c>
      <c r="J1377" s="730"/>
      <c r="K1377" s="667"/>
      <c r="L1377" s="649"/>
      <c r="M1377" s="730"/>
      <c r="N1377" s="667"/>
      <c r="O1377" s="1072"/>
      <c r="P1377" s="667"/>
      <c r="Q1377" s="667"/>
      <c r="R1377" s="699"/>
    </row>
    <row r="1378" spans="1:18" s="723" customFormat="1" ht="36">
      <c r="A1378" s="829">
        <v>4759</v>
      </c>
      <c r="B1378" s="850" t="s">
        <v>100</v>
      </c>
      <c r="C1378" s="666"/>
      <c r="D1378" s="643">
        <f>G1378+J1378+P1378+M1378</f>
        <v>234</v>
      </c>
      <c r="E1378" s="667">
        <f t="shared" si="168"/>
        <v>46</v>
      </c>
      <c r="F1378" s="1001">
        <f>E1378/D1378*100</f>
        <v>19.65811965811966</v>
      </c>
      <c r="G1378" s="666">
        <v>234</v>
      </c>
      <c r="H1378" s="667">
        <v>46</v>
      </c>
      <c r="I1378" s="644">
        <f t="shared" si="167"/>
        <v>19.65811965811966</v>
      </c>
      <c r="J1378" s="730"/>
      <c r="K1378" s="667"/>
      <c r="L1378" s="649"/>
      <c r="M1378" s="730"/>
      <c r="N1378" s="667"/>
      <c r="O1378" s="1072"/>
      <c r="P1378" s="667"/>
      <c r="Q1378" s="667"/>
      <c r="R1378" s="699"/>
    </row>
    <row r="1379" spans="1:18" s="723" customFormat="1" ht="108">
      <c r="A1379" s="1056"/>
      <c r="B1379" s="1057" t="s">
        <v>87</v>
      </c>
      <c r="C1379" s="666"/>
      <c r="D1379" s="749">
        <f>G1379+J1379+P1379+M1379</f>
        <v>10250</v>
      </c>
      <c r="E1379" s="749">
        <f>SUM(H1379+K1379+N1379+Q1379)</f>
        <v>0</v>
      </c>
      <c r="F1379" s="1074">
        <f>E1379/D1379*100</f>
        <v>0</v>
      </c>
      <c r="G1379" s="666"/>
      <c r="H1379" s="667"/>
      <c r="I1379" s="644"/>
      <c r="J1379" s="750">
        <f>SUM(J1380:J1384)</f>
        <v>10250</v>
      </c>
      <c r="K1379" s="749">
        <f>SUM(K1380:K1384)</f>
        <v>0</v>
      </c>
      <c r="L1379" s="751">
        <f>K1379/J1379*100</f>
        <v>0</v>
      </c>
      <c r="M1379" s="730"/>
      <c r="N1379" s="667"/>
      <c r="O1379" s="1072"/>
      <c r="P1379" s="667"/>
      <c r="Q1379" s="667"/>
      <c r="R1379" s="699"/>
    </row>
    <row r="1380" spans="1:18" s="723" customFormat="1" ht="24">
      <c r="A1380" s="728">
        <v>4110</v>
      </c>
      <c r="B1380" s="995" t="s">
        <v>703</v>
      </c>
      <c r="C1380" s="666"/>
      <c r="D1380" s="643">
        <f>G1380+J1380+P1380+M1380</f>
        <v>910</v>
      </c>
      <c r="E1380" s="667">
        <f>SUM(H1380+K1380+N1380+Q1380)</f>
        <v>0</v>
      </c>
      <c r="F1380" s="1001">
        <f>E1380/D1380*100</f>
        <v>0</v>
      </c>
      <c r="G1380" s="666"/>
      <c r="H1380" s="667"/>
      <c r="I1380" s="644"/>
      <c r="J1380" s="730">
        <v>910</v>
      </c>
      <c r="K1380" s="667"/>
      <c r="L1380" s="649">
        <f>K1380/J1380*100</f>
        <v>0</v>
      </c>
      <c r="M1380" s="730"/>
      <c r="N1380" s="667"/>
      <c r="O1380" s="1072"/>
      <c r="P1380" s="667"/>
      <c r="Q1380" s="667"/>
      <c r="R1380" s="699"/>
    </row>
    <row r="1381" spans="1:18" s="723" customFormat="1" ht="12.75">
      <c r="A1381" s="728">
        <v>4120</v>
      </c>
      <c r="B1381" s="995" t="s">
        <v>847</v>
      </c>
      <c r="C1381" s="666"/>
      <c r="D1381" s="643">
        <f aca="true" t="shared" si="170" ref="D1381:D1388">G1381+J1381+P1381+M1381</f>
        <v>140</v>
      </c>
      <c r="E1381" s="667">
        <f aca="true" t="shared" si="171" ref="E1381:E1388">SUM(H1381+K1381+N1381+Q1381)</f>
        <v>0</v>
      </c>
      <c r="F1381" s="1001">
        <f aca="true" t="shared" si="172" ref="F1381:F1444">E1381/D1381*100</f>
        <v>0</v>
      </c>
      <c r="G1381" s="666"/>
      <c r="H1381" s="667"/>
      <c r="I1381" s="644"/>
      <c r="J1381" s="730">
        <v>140</v>
      </c>
      <c r="K1381" s="667"/>
      <c r="L1381" s="649">
        <f aca="true" t="shared" si="173" ref="L1381:L1393">K1381/J1381*100</f>
        <v>0</v>
      </c>
      <c r="M1381" s="730"/>
      <c r="N1381" s="667"/>
      <c r="O1381" s="1072"/>
      <c r="P1381" s="667"/>
      <c r="Q1381" s="667"/>
      <c r="R1381" s="699"/>
    </row>
    <row r="1382" spans="1:18" s="723" customFormat="1" ht="24">
      <c r="A1382" s="728">
        <v>4170</v>
      </c>
      <c r="B1382" s="995" t="s">
        <v>742</v>
      </c>
      <c r="C1382" s="666"/>
      <c r="D1382" s="643">
        <f t="shared" si="170"/>
        <v>5950</v>
      </c>
      <c r="E1382" s="667">
        <f t="shared" si="171"/>
        <v>0</v>
      </c>
      <c r="F1382" s="1001">
        <f t="shared" si="172"/>
        <v>0</v>
      </c>
      <c r="G1382" s="666"/>
      <c r="H1382" s="667"/>
      <c r="I1382" s="644"/>
      <c r="J1382" s="730">
        <v>5950</v>
      </c>
      <c r="K1382" s="667"/>
      <c r="L1382" s="649">
        <f t="shared" si="173"/>
        <v>0</v>
      </c>
      <c r="M1382" s="730"/>
      <c r="N1382" s="667"/>
      <c r="O1382" s="1072"/>
      <c r="P1382" s="667"/>
      <c r="Q1382" s="667"/>
      <c r="R1382" s="699"/>
    </row>
    <row r="1383" spans="1:18" s="723" customFormat="1" ht="24">
      <c r="A1383" s="728">
        <v>4210</v>
      </c>
      <c r="B1383" s="995" t="s">
        <v>707</v>
      </c>
      <c r="C1383" s="666"/>
      <c r="D1383" s="643">
        <f t="shared" si="170"/>
        <v>1600</v>
      </c>
      <c r="E1383" s="667">
        <f t="shared" si="171"/>
        <v>0</v>
      </c>
      <c r="F1383" s="1001">
        <f t="shared" si="172"/>
        <v>0</v>
      </c>
      <c r="G1383" s="666"/>
      <c r="H1383" s="667"/>
      <c r="I1383" s="644"/>
      <c r="J1383" s="730">
        <v>1600</v>
      </c>
      <c r="K1383" s="667"/>
      <c r="L1383" s="649">
        <f t="shared" si="173"/>
        <v>0</v>
      </c>
      <c r="M1383" s="730"/>
      <c r="N1383" s="667"/>
      <c r="O1383" s="1072"/>
      <c r="P1383" s="667"/>
      <c r="Q1383" s="667"/>
      <c r="R1383" s="699"/>
    </row>
    <row r="1384" spans="1:18" s="723" customFormat="1" ht="24">
      <c r="A1384" s="762">
        <v>4300</v>
      </c>
      <c r="B1384" s="1012" t="s">
        <v>806</v>
      </c>
      <c r="C1384" s="781"/>
      <c r="D1384" s="765">
        <f t="shared" si="170"/>
        <v>1650</v>
      </c>
      <c r="E1384" s="785">
        <f t="shared" si="171"/>
        <v>0</v>
      </c>
      <c r="F1384" s="1013">
        <f t="shared" si="172"/>
        <v>0</v>
      </c>
      <c r="G1384" s="781"/>
      <c r="H1384" s="785"/>
      <c r="I1384" s="705"/>
      <c r="J1384" s="781">
        <v>1650</v>
      </c>
      <c r="K1384" s="785"/>
      <c r="L1384" s="768">
        <f t="shared" si="173"/>
        <v>0</v>
      </c>
      <c r="M1384" s="782"/>
      <c r="N1384" s="785"/>
      <c r="O1384" s="1073"/>
      <c r="P1384" s="785"/>
      <c r="Q1384" s="785"/>
      <c r="R1384" s="815"/>
    </row>
    <row r="1385" spans="1:18" s="723" customFormat="1" ht="121.5">
      <c r="A1385" s="1056"/>
      <c r="B1385" s="1064" t="s">
        <v>91</v>
      </c>
      <c r="C1385" s="666"/>
      <c r="D1385" s="749">
        <f t="shared" si="170"/>
        <v>12830</v>
      </c>
      <c r="E1385" s="749">
        <f t="shared" si="171"/>
        <v>0</v>
      </c>
      <c r="F1385" s="1074">
        <f t="shared" si="172"/>
        <v>0</v>
      </c>
      <c r="G1385" s="666"/>
      <c r="H1385" s="667"/>
      <c r="I1385" s="644"/>
      <c r="J1385" s="750">
        <f>SUM(J1386:J1393)</f>
        <v>12830</v>
      </c>
      <c r="K1385" s="749">
        <f>SUM(K1386:K1393)</f>
        <v>0</v>
      </c>
      <c r="L1385" s="751">
        <f t="shared" si="173"/>
        <v>0</v>
      </c>
      <c r="M1385" s="730"/>
      <c r="N1385" s="667"/>
      <c r="O1385" s="1072"/>
      <c r="P1385" s="667"/>
      <c r="Q1385" s="667"/>
      <c r="R1385" s="699"/>
    </row>
    <row r="1386" spans="1:18" s="723" customFormat="1" ht="24">
      <c r="A1386" s="728">
        <v>4110</v>
      </c>
      <c r="B1386" s="995" t="s">
        <v>703</v>
      </c>
      <c r="C1386" s="666"/>
      <c r="D1386" s="643">
        <f t="shared" si="170"/>
        <v>1050</v>
      </c>
      <c r="E1386" s="667">
        <f t="shared" si="171"/>
        <v>0</v>
      </c>
      <c r="F1386" s="1001">
        <f t="shared" si="172"/>
        <v>0</v>
      </c>
      <c r="G1386" s="666"/>
      <c r="H1386" s="667"/>
      <c r="I1386" s="644"/>
      <c r="J1386" s="667">
        <v>1050</v>
      </c>
      <c r="K1386" s="667"/>
      <c r="L1386" s="649">
        <f t="shared" si="173"/>
        <v>0</v>
      </c>
      <c r="M1386" s="730"/>
      <c r="N1386" s="667"/>
      <c r="O1386" s="1072"/>
      <c r="P1386" s="667"/>
      <c r="Q1386" s="667"/>
      <c r="R1386" s="699"/>
    </row>
    <row r="1387" spans="1:18" s="723" customFormat="1" ht="12.75">
      <c r="A1387" s="728">
        <v>4120</v>
      </c>
      <c r="B1387" s="995" t="s">
        <v>847</v>
      </c>
      <c r="C1387" s="666"/>
      <c r="D1387" s="643">
        <f t="shared" si="170"/>
        <v>160</v>
      </c>
      <c r="E1387" s="667">
        <f t="shared" si="171"/>
        <v>0</v>
      </c>
      <c r="F1387" s="1001">
        <f t="shared" si="172"/>
        <v>0</v>
      </c>
      <c r="G1387" s="666"/>
      <c r="H1387" s="667"/>
      <c r="I1387" s="644"/>
      <c r="J1387" s="667">
        <v>160</v>
      </c>
      <c r="K1387" s="667"/>
      <c r="L1387" s="649">
        <f t="shared" si="173"/>
        <v>0</v>
      </c>
      <c r="M1387" s="730"/>
      <c r="N1387" s="667"/>
      <c r="O1387" s="1072"/>
      <c r="P1387" s="667"/>
      <c r="Q1387" s="667"/>
      <c r="R1387" s="699"/>
    </row>
    <row r="1388" spans="1:18" s="723" customFormat="1" ht="24">
      <c r="A1388" s="728">
        <v>4170</v>
      </c>
      <c r="B1388" s="995" t="s">
        <v>742</v>
      </c>
      <c r="C1388" s="666"/>
      <c r="D1388" s="643">
        <f t="shared" si="170"/>
        <v>6500</v>
      </c>
      <c r="E1388" s="667">
        <f t="shared" si="171"/>
        <v>0</v>
      </c>
      <c r="F1388" s="1001">
        <f t="shared" si="172"/>
        <v>0</v>
      </c>
      <c r="G1388" s="666"/>
      <c r="H1388" s="667"/>
      <c r="I1388" s="644"/>
      <c r="J1388" s="667">
        <v>6500</v>
      </c>
      <c r="K1388" s="667"/>
      <c r="L1388" s="649">
        <f t="shared" si="173"/>
        <v>0</v>
      </c>
      <c r="M1388" s="730"/>
      <c r="N1388" s="667"/>
      <c r="O1388" s="1072"/>
      <c r="P1388" s="667"/>
      <c r="Q1388" s="667"/>
      <c r="R1388" s="699"/>
    </row>
    <row r="1389" spans="1:18" s="723" customFormat="1" ht="24">
      <c r="A1389" s="728">
        <v>4210</v>
      </c>
      <c r="B1389" s="995" t="s">
        <v>707</v>
      </c>
      <c r="C1389" s="666"/>
      <c r="D1389" s="643">
        <f>G1389+J1389+P1389+M1389</f>
        <v>2770</v>
      </c>
      <c r="E1389" s="667">
        <f>SUM(H1389+K1389+N1389+Q1389)</f>
        <v>0</v>
      </c>
      <c r="F1389" s="1001">
        <f t="shared" si="172"/>
        <v>0</v>
      </c>
      <c r="G1389" s="666"/>
      <c r="H1389" s="667"/>
      <c r="I1389" s="644"/>
      <c r="J1389" s="667">
        <v>2770</v>
      </c>
      <c r="K1389" s="667"/>
      <c r="L1389" s="649">
        <f t="shared" si="173"/>
        <v>0</v>
      </c>
      <c r="M1389" s="730"/>
      <c r="N1389" s="667"/>
      <c r="O1389" s="1072"/>
      <c r="P1389" s="667"/>
      <c r="Q1389" s="667"/>
      <c r="R1389" s="699"/>
    </row>
    <row r="1390" spans="1:18" s="723" customFormat="1" ht="24">
      <c r="A1390" s="728">
        <v>4240</v>
      </c>
      <c r="B1390" s="995" t="s">
        <v>967</v>
      </c>
      <c r="C1390" s="666"/>
      <c r="D1390" s="643">
        <f>G1390+J1390+P1390+M1390</f>
        <v>600</v>
      </c>
      <c r="E1390" s="667">
        <f>SUM(H1390+K1390+N1390+Q1390)</f>
        <v>0</v>
      </c>
      <c r="F1390" s="1001">
        <f t="shared" si="172"/>
        <v>0</v>
      </c>
      <c r="G1390" s="666"/>
      <c r="H1390" s="667"/>
      <c r="I1390" s="644"/>
      <c r="J1390" s="667">
        <v>600</v>
      </c>
      <c r="K1390" s="667"/>
      <c r="L1390" s="649">
        <f t="shared" si="173"/>
        <v>0</v>
      </c>
      <c r="M1390" s="730"/>
      <c r="N1390" s="667"/>
      <c r="O1390" s="1072"/>
      <c r="P1390" s="667"/>
      <c r="Q1390" s="667"/>
      <c r="R1390" s="699"/>
    </row>
    <row r="1391" spans="1:18" s="723" customFormat="1" ht="24">
      <c r="A1391" s="728">
        <v>4300</v>
      </c>
      <c r="B1391" s="818" t="s">
        <v>715</v>
      </c>
      <c r="C1391" s="666"/>
      <c r="D1391" s="643">
        <f>G1391+J1391+P1391+M1391</f>
        <v>300</v>
      </c>
      <c r="E1391" s="667">
        <f>SUM(H1391+K1391+N1391+Q1391)</f>
        <v>0</v>
      </c>
      <c r="F1391" s="1001">
        <f t="shared" si="172"/>
        <v>0</v>
      </c>
      <c r="G1391" s="666"/>
      <c r="H1391" s="667"/>
      <c r="I1391" s="644"/>
      <c r="J1391" s="666">
        <v>300</v>
      </c>
      <c r="K1391" s="667"/>
      <c r="L1391" s="649">
        <f t="shared" si="173"/>
        <v>0</v>
      </c>
      <c r="M1391" s="730"/>
      <c r="N1391" s="667"/>
      <c r="O1391" s="1072"/>
      <c r="P1391" s="667"/>
      <c r="Q1391" s="667"/>
      <c r="R1391" s="699"/>
    </row>
    <row r="1392" spans="1:18" s="723" customFormat="1" ht="48">
      <c r="A1392" s="829">
        <v>4370</v>
      </c>
      <c r="B1392" s="850" t="s">
        <v>916</v>
      </c>
      <c r="C1392" s="666"/>
      <c r="D1392" s="643">
        <f>G1392+J1392+P1392+M1392</f>
        <v>450</v>
      </c>
      <c r="E1392" s="667">
        <f>SUM(H1392+K1392+N1392+Q1392)</f>
        <v>0</v>
      </c>
      <c r="F1392" s="1001">
        <f t="shared" si="172"/>
        <v>0</v>
      </c>
      <c r="G1392" s="666"/>
      <c r="H1392" s="667"/>
      <c r="I1392" s="644"/>
      <c r="J1392" s="666">
        <v>450</v>
      </c>
      <c r="K1392" s="667"/>
      <c r="L1392" s="649">
        <f t="shared" si="173"/>
        <v>0</v>
      </c>
      <c r="M1392" s="730"/>
      <c r="N1392" s="667"/>
      <c r="O1392" s="1072"/>
      <c r="P1392" s="667"/>
      <c r="Q1392" s="667"/>
      <c r="R1392" s="699"/>
    </row>
    <row r="1393" spans="1:18" s="723" customFormat="1" ht="36.75" thickBot="1">
      <c r="A1393" s="829">
        <v>4750</v>
      </c>
      <c r="B1393" s="850" t="s">
        <v>814</v>
      </c>
      <c r="C1393" s="666"/>
      <c r="D1393" s="643">
        <f>G1393+J1393+P1393+M1393</f>
        <v>1000</v>
      </c>
      <c r="E1393" s="667">
        <f>SUM(H1393+K1393+N1393+Q1393)</f>
        <v>0</v>
      </c>
      <c r="F1393" s="1001">
        <f t="shared" si="172"/>
        <v>0</v>
      </c>
      <c r="G1393" s="666"/>
      <c r="H1393" s="667"/>
      <c r="I1393" s="644"/>
      <c r="J1393" s="730">
        <v>1000</v>
      </c>
      <c r="K1393" s="667"/>
      <c r="L1393" s="649">
        <f t="shared" si="173"/>
        <v>0</v>
      </c>
      <c r="M1393" s="730"/>
      <c r="N1393" s="667"/>
      <c r="O1393" s="1072"/>
      <c r="P1393" s="667"/>
      <c r="Q1393" s="667"/>
      <c r="R1393" s="699"/>
    </row>
    <row r="1394" spans="1:18" s="775" customFormat="1" ht="49.5" thickBot="1" thickTop="1">
      <c r="A1394" s="738">
        <v>853</v>
      </c>
      <c r="B1394" s="1075" t="s">
        <v>101</v>
      </c>
      <c r="C1394" s="740">
        <f>C1395+C1401+C1398+C1418+C1416</f>
        <v>2737100</v>
      </c>
      <c r="D1394" s="618">
        <f>D1395+D1401+D1398+D1418+D1416</f>
        <v>4361512</v>
      </c>
      <c r="E1394" s="618">
        <f>E1395+E1401+E1398+E1418+E1416</f>
        <v>2793378</v>
      </c>
      <c r="F1394" s="1076">
        <f t="shared" si="172"/>
        <v>64.04609227258804</v>
      </c>
      <c r="G1394" s="740">
        <f>G1395+G1401+G1398+G1418</f>
        <v>3993094</v>
      </c>
      <c r="H1394" s="618">
        <f>H1395+H1401+H1398+H1418</f>
        <v>2549464</v>
      </c>
      <c r="I1394" s="619">
        <f t="shared" si="167"/>
        <v>63.84683155467915</v>
      </c>
      <c r="J1394" s="743"/>
      <c r="K1394" s="618"/>
      <c r="L1394" s="721"/>
      <c r="M1394" s="743">
        <f>M1395+M1401+M1418+M1398</f>
        <v>252418</v>
      </c>
      <c r="N1394" s="618">
        <f>N1395+N1401+N1418+N1398</f>
        <v>155079</v>
      </c>
      <c r="O1394" s="1077">
        <f>N1394/M1394*100</f>
        <v>61.43737768304954</v>
      </c>
      <c r="P1394" s="618">
        <f>P1401+P1416</f>
        <v>116000</v>
      </c>
      <c r="Q1394" s="618">
        <f>Q1401+Q1416</f>
        <v>88835</v>
      </c>
      <c r="R1394" s="1077">
        <f>Q1394/P1394*100</f>
        <v>76.58189655172414</v>
      </c>
    </row>
    <row r="1395" spans="1:18" s="723" customFormat="1" ht="13.5" thickTop="1">
      <c r="A1395" s="724">
        <v>85305</v>
      </c>
      <c r="B1395" s="994" t="s">
        <v>582</v>
      </c>
      <c r="C1395" s="726">
        <f>SUM(C1396:C1396)</f>
        <v>2428600</v>
      </c>
      <c r="D1395" s="674">
        <f>G1395+J1395+P1395+M1395</f>
        <v>3076700</v>
      </c>
      <c r="E1395" s="695">
        <f aca="true" t="shared" si="174" ref="E1395:E1400">SUM(H1395+K1395+N1395+Q1395)</f>
        <v>2368424</v>
      </c>
      <c r="F1395" s="1053">
        <f t="shared" si="172"/>
        <v>76.97936100367276</v>
      </c>
      <c r="G1395" s="726">
        <f>SUM(G1396:G1397)</f>
        <v>3076700</v>
      </c>
      <c r="H1395" s="657">
        <f>SUM(H1396:H1397)</f>
        <v>2368424</v>
      </c>
      <c r="I1395" s="658">
        <f t="shared" si="167"/>
        <v>76.97936100367276</v>
      </c>
      <c r="J1395" s="662"/>
      <c r="K1395" s="657"/>
      <c r="L1395" s="663"/>
      <c r="M1395" s="657"/>
      <c r="N1395" s="657"/>
      <c r="O1395" s="317"/>
      <c r="P1395" s="657"/>
      <c r="Q1395" s="657"/>
      <c r="R1395" s="842"/>
    </row>
    <row r="1396" spans="1:18" s="723" customFormat="1" ht="36">
      <c r="A1396" s="891">
        <v>2510</v>
      </c>
      <c r="B1396" s="1055" t="s">
        <v>1028</v>
      </c>
      <c r="C1396" s="893">
        <v>2428600</v>
      </c>
      <c r="D1396" s="894">
        <f aca="true" t="shared" si="175" ref="D1396:D1492">G1396+J1396+P1396+M1396</f>
        <v>2746700</v>
      </c>
      <c r="E1396" s="895">
        <f t="shared" si="174"/>
        <v>2046100</v>
      </c>
      <c r="F1396" s="1053">
        <f t="shared" si="172"/>
        <v>74.49302799723304</v>
      </c>
      <c r="G1396" s="893">
        <f>2428600+26100+92000+200000</f>
        <v>2746700</v>
      </c>
      <c r="H1396" s="895">
        <v>2046100</v>
      </c>
      <c r="I1396" s="658">
        <f t="shared" si="167"/>
        <v>74.49302799723304</v>
      </c>
      <c r="J1396" s="896"/>
      <c r="K1396" s="895"/>
      <c r="L1396" s="897"/>
      <c r="M1396" s="895"/>
      <c r="N1396" s="895"/>
      <c r="O1396" s="317"/>
      <c r="P1396" s="895"/>
      <c r="Q1396" s="895"/>
      <c r="R1396" s="842"/>
    </row>
    <row r="1397" spans="1:18" s="723" customFormat="1" ht="84">
      <c r="A1397" s="874">
        <v>6210</v>
      </c>
      <c r="B1397" s="875" t="s">
        <v>829</v>
      </c>
      <c r="C1397" s="781"/>
      <c r="D1397" s="765">
        <f>G1397+J1397+P1397+M1397</f>
        <v>330000</v>
      </c>
      <c r="E1397" s="785">
        <f t="shared" si="174"/>
        <v>322324</v>
      </c>
      <c r="F1397" s="1050">
        <f>E1397/D1397*100</f>
        <v>97.67393939393939</v>
      </c>
      <c r="G1397" s="781">
        <f>150000+180000</f>
        <v>330000</v>
      </c>
      <c r="H1397" s="785">
        <v>322324</v>
      </c>
      <c r="I1397" s="705">
        <f t="shared" si="167"/>
        <v>97.67393939393939</v>
      </c>
      <c r="J1397" s="782"/>
      <c r="K1397" s="785"/>
      <c r="L1397" s="768"/>
      <c r="M1397" s="785"/>
      <c r="N1397" s="785"/>
      <c r="O1397" s="786"/>
      <c r="P1397" s="785"/>
      <c r="Q1397" s="785"/>
      <c r="R1397" s="770"/>
    </row>
    <row r="1398" spans="1:18" s="775" customFormat="1" ht="48">
      <c r="A1398" s="787">
        <v>85311</v>
      </c>
      <c r="B1398" s="1040" t="s">
        <v>584</v>
      </c>
      <c r="C1398" s="673">
        <f>SUM(C1399:C1400)</f>
        <v>149000</v>
      </c>
      <c r="D1398" s="674">
        <f t="shared" si="175"/>
        <v>149000</v>
      </c>
      <c r="E1398" s="674">
        <f t="shared" si="174"/>
        <v>111783</v>
      </c>
      <c r="F1398" s="1053">
        <f t="shared" si="172"/>
        <v>75.0221476510067</v>
      </c>
      <c r="G1398" s="673"/>
      <c r="H1398" s="674"/>
      <c r="I1398" s="658"/>
      <c r="J1398" s="677"/>
      <c r="K1398" s="674"/>
      <c r="L1398" s="663"/>
      <c r="M1398" s="673">
        <f>SUM(M1399:M1400)</f>
        <v>149000</v>
      </c>
      <c r="N1398" s="674">
        <f>SUM(N1399:N1400)</f>
        <v>111783</v>
      </c>
      <c r="O1398" s="658">
        <f>N1398/M1398*100</f>
        <v>75.0221476510067</v>
      </c>
      <c r="P1398" s="674"/>
      <c r="Q1398" s="674"/>
      <c r="R1398" s="828"/>
    </row>
    <row r="1399" spans="1:18" s="761" customFormat="1" ht="60">
      <c r="A1399" s="756">
        <v>2580</v>
      </c>
      <c r="B1399" s="851" t="s">
        <v>102</v>
      </c>
      <c r="C1399" s="684">
        <f>149000-46204</f>
        <v>102796</v>
      </c>
      <c r="D1399" s="643">
        <f>G1399+J1399+P1399+M1399</f>
        <v>102796</v>
      </c>
      <c r="E1399" s="667">
        <f t="shared" si="174"/>
        <v>73777</v>
      </c>
      <c r="F1399" s="1011">
        <f t="shared" si="172"/>
        <v>71.7703023463948</v>
      </c>
      <c r="G1399" s="684"/>
      <c r="H1399" s="685"/>
      <c r="I1399" s="668"/>
      <c r="J1399" s="689"/>
      <c r="K1399" s="685"/>
      <c r="L1399" s="690"/>
      <c r="M1399" s="684">
        <f>149000-46204</f>
        <v>102796</v>
      </c>
      <c r="N1399" s="685">
        <v>73777</v>
      </c>
      <c r="O1399" s="644">
        <f>N1399/M1399*100</f>
        <v>71.7703023463948</v>
      </c>
      <c r="P1399" s="685"/>
      <c r="Q1399" s="685"/>
      <c r="R1399" s="760"/>
    </row>
    <row r="1400" spans="1:18" s="723" customFormat="1" ht="72">
      <c r="A1400" s="829">
        <v>2580</v>
      </c>
      <c r="B1400" s="1038" t="s">
        <v>103</v>
      </c>
      <c r="C1400" s="781">
        <v>46204</v>
      </c>
      <c r="D1400" s="643">
        <f>G1400+J1400+P1400+M1400</f>
        <v>46204</v>
      </c>
      <c r="E1400" s="667">
        <f t="shared" si="174"/>
        <v>38006</v>
      </c>
      <c r="F1400" s="766"/>
      <c r="G1400" s="781"/>
      <c r="H1400" s="785"/>
      <c r="I1400" s="705"/>
      <c r="J1400" s="782"/>
      <c r="K1400" s="785"/>
      <c r="L1400" s="768"/>
      <c r="M1400" s="781">
        <f>46204</f>
        <v>46204</v>
      </c>
      <c r="N1400" s="785">
        <v>38006</v>
      </c>
      <c r="O1400" s="644">
        <f>N1400/M1400*100</f>
        <v>82.2569474504372</v>
      </c>
      <c r="P1400" s="785"/>
      <c r="Q1400" s="785"/>
      <c r="R1400" s="770"/>
    </row>
    <row r="1401" spans="1:18" s="723" customFormat="1" ht="24">
      <c r="A1401" s="724">
        <v>85321</v>
      </c>
      <c r="B1401" s="994" t="s">
        <v>104</v>
      </c>
      <c r="C1401" s="726">
        <f>SUM(C1402:C1415)</f>
        <v>159500</v>
      </c>
      <c r="D1401" s="674">
        <f t="shared" si="175"/>
        <v>177500</v>
      </c>
      <c r="E1401" s="657">
        <f>H1401+K1401+Q1401+N1401</f>
        <v>132131</v>
      </c>
      <c r="F1401" s="1053">
        <f t="shared" si="172"/>
        <v>74.44</v>
      </c>
      <c r="G1401" s="893"/>
      <c r="H1401" s="895"/>
      <c r="I1401" s="1015"/>
      <c r="J1401" s="896"/>
      <c r="K1401" s="895"/>
      <c r="L1401" s="897"/>
      <c r="M1401" s="657">
        <f>SUM(M1402:M1415)</f>
        <v>61500</v>
      </c>
      <c r="N1401" s="657">
        <f>SUM(N1402:N1415)</f>
        <v>43296</v>
      </c>
      <c r="O1401" s="890">
        <f aca="true" t="shared" si="176" ref="O1401:O1413">N1401/M1401*100</f>
        <v>70.39999999999999</v>
      </c>
      <c r="P1401" s="657">
        <f>SUM(P1402:P1415)</f>
        <v>116000</v>
      </c>
      <c r="Q1401" s="657">
        <f>SUM(Q1402:Q1415)</f>
        <v>88835</v>
      </c>
      <c r="R1401" s="890">
        <f>Q1401/P1401*100</f>
        <v>76.58189655172414</v>
      </c>
    </row>
    <row r="1402" spans="1:18" s="723" customFormat="1" ht="24">
      <c r="A1402" s="709">
        <v>4010</v>
      </c>
      <c r="B1402" s="1005" t="s">
        <v>697</v>
      </c>
      <c r="C1402" s="670">
        <v>91490</v>
      </c>
      <c r="D1402" s="685">
        <f t="shared" si="175"/>
        <v>101490</v>
      </c>
      <c r="E1402" s="686">
        <f aca="true" t="shared" si="177" ref="E1402:E1453">SUM(H1402+K1402+N1402+Q1402)</f>
        <v>73117</v>
      </c>
      <c r="F1402" s="1054">
        <f t="shared" si="172"/>
        <v>72.04355108877722</v>
      </c>
      <c r="G1402" s="670"/>
      <c r="H1402" s="686"/>
      <c r="I1402" s="1020"/>
      <c r="J1402" s="777"/>
      <c r="K1402" s="686"/>
      <c r="L1402" s="690"/>
      <c r="M1402" s="686">
        <f>17690+10000</f>
        <v>27690</v>
      </c>
      <c r="N1402" s="1078">
        <v>15199</v>
      </c>
      <c r="O1402" s="758">
        <f t="shared" si="176"/>
        <v>54.88985193210545</v>
      </c>
      <c r="P1402" s="777">
        <v>73800</v>
      </c>
      <c r="Q1402" s="686">
        <v>57918</v>
      </c>
      <c r="R1402" s="492">
        <f>Q1402/P1402*100</f>
        <v>78.47967479674797</v>
      </c>
    </row>
    <row r="1403" spans="1:18" s="723" customFormat="1" ht="24">
      <c r="A1403" s="728">
        <v>4040</v>
      </c>
      <c r="B1403" s="995" t="s">
        <v>701</v>
      </c>
      <c r="C1403" s="666">
        <v>7040</v>
      </c>
      <c r="D1403" s="643">
        <f t="shared" si="175"/>
        <v>7336</v>
      </c>
      <c r="E1403" s="667">
        <f t="shared" si="177"/>
        <v>7336</v>
      </c>
      <c r="F1403" s="1011">
        <f t="shared" si="172"/>
        <v>100</v>
      </c>
      <c r="G1403" s="666"/>
      <c r="H1403" s="667"/>
      <c r="I1403" s="1021"/>
      <c r="J1403" s="730"/>
      <c r="K1403" s="667"/>
      <c r="L1403" s="649"/>
      <c r="M1403" s="667">
        <f>7040+296</f>
        <v>7336</v>
      </c>
      <c r="N1403" s="900">
        <f>7336-1+1</f>
        <v>7336</v>
      </c>
      <c r="O1403" s="492">
        <f t="shared" si="176"/>
        <v>100</v>
      </c>
      <c r="P1403" s="730"/>
      <c r="Q1403" s="667"/>
      <c r="R1403" s="492"/>
    </row>
    <row r="1404" spans="1:18" s="723" customFormat="1" ht="24">
      <c r="A1404" s="728">
        <v>4110</v>
      </c>
      <c r="B1404" s="995" t="s">
        <v>703</v>
      </c>
      <c r="C1404" s="666">
        <v>16950</v>
      </c>
      <c r="D1404" s="643">
        <f t="shared" si="175"/>
        <v>16950</v>
      </c>
      <c r="E1404" s="667">
        <f t="shared" si="177"/>
        <v>13069</v>
      </c>
      <c r="F1404" s="1011">
        <f t="shared" si="172"/>
        <v>77.10324483775811</v>
      </c>
      <c r="G1404" s="666"/>
      <c r="H1404" s="667"/>
      <c r="I1404" s="1021"/>
      <c r="J1404" s="730"/>
      <c r="K1404" s="667"/>
      <c r="L1404" s="649"/>
      <c r="M1404" s="667">
        <v>11350</v>
      </c>
      <c r="N1404" s="900">
        <v>7469</v>
      </c>
      <c r="O1404" s="492">
        <f t="shared" si="176"/>
        <v>65.80616740088105</v>
      </c>
      <c r="P1404" s="730">
        <v>5600</v>
      </c>
      <c r="Q1404" s="667">
        <v>5600</v>
      </c>
      <c r="R1404" s="492">
        <f>Q1404/P1404*100</f>
        <v>100</v>
      </c>
    </row>
    <row r="1405" spans="1:18" s="723" customFormat="1" ht="24">
      <c r="A1405" s="728">
        <v>4120</v>
      </c>
      <c r="B1405" s="995" t="s">
        <v>851</v>
      </c>
      <c r="C1405" s="666">
        <v>2740</v>
      </c>
      <c r="D1405" s="643">
        <f t="shared" si="175"/>
        <v>2740</v>
      </c>
      <c r="E1405" s="667">
        <f t="shared" si="177"/>
        <v>1999</v>
      </c>
      <c r="F1405" s="1011">
        <f t="shared" si="172"/>
        <v>72.95620437956204</v>
      </c>
      <c r="G1405" s="666"/>
      <c r="H1405" s="667"/>
      <c r="I1405" s="1021"/>
      <c r="J1405" s="730"/>
      <c r="K1405" s="667"/>
      <c r="L1405" s="649"/>
      <c r="M1405" s="667">
        <v>1040</v>
      </c>
      <c r="N1405" s="900">
        <v>908</v>
      </c>
      <c r="O1405" s="492">
        <f t="shared" si="176"/>
        <v>87.3076923076923</v>
      </c>
      <c r="P1405" s="730">
        <v>1700</v>
      </c>
      <c r="Q1405" s="667">
        <v>1091</v>
      </c>
      <c r="R1405" s="492">
        <f>Q1405/P1405*100</f>
        <v>64.17647058823529</v>
      </c>
    </row>
    <row r="1406" spans="1:18" s="723" customFormat="1" ht="24">
      <c r="A1406" s="728">
        <v>4170</v>
      </c>
      <c r="B1406" s="995" t="s">
        <v>742</v>
      </c>
      <c r="C1406" s="666">
        <v>5800</v>
      </c>
      <c r="D1406" s="643">
        <f t="shared" si="175"/>
        <v>6800</v>
      </c>
      <c r="E1406" s="667">
        <f t="shared" si="177"/>
        <v>4100</v>
      </c>
      <c r="F1406" s="1011">
        <f t="shared" si="172"/>
        <v>60.29411764705882</v>
      </c>
      <c r="G1406" s="666"/>
      <c r="H1406" s="667"/>
      <c r="I1406" s="1021"/>
      <c r="J1406" s="730"/>
      <c r="K1406" s="667"/>
      <c r="L1406" s="649"/>
      <c r="M1406" s="667">
        <v>500</v>
      </c>
      <c r="N1406" s="900">
        <v>115</v>
      </c>
      <c r="O1406" s="492">
        <f t="shared" si="176"/>
        <v>23</v>
      </c>
      <c r="P1406" s="730">
        <f>5300+1000</f>
        <v>6300</v>
      </c>
      <c r="Q1406" s="667">
        <v>3985</v>
      </c>
      <c r="R1406" s="492">
        <f>Q1406/P1406*100</f>
        <v>63.25396825396825</v>
      </c>
    </row>
    <row r="1407" spans="1:18" s="723" customFormat="1" ht="24">
      <c r="A1407" s="728">
        <v>4210</v>
      </c>
      <c r="B1407" s="995" t="s">
        <v>707</v>
      </c>
      <c r="C1407" s="666">
        <v>1800</v>
      </c>
      <c r="D1407" s="643">
        <f t="shared" si="175"/>
        <v>1800</v>
      </c>
      <c r="E1407" s="667">
        <f t="shared" si="177"/>
        <v>1314</v>
      </c>
      <c r="F1407" s="1011">
        <f t="shared" si="172"/>
        <v>73</v>
      </c>
      <c r="G1407" s="666"/>
      <c r="H1407" s="667"/>
      <c r="I1407" s="1021"/>
      <c r="J1407" s="730"/>
      <c r="K1407" s="667"/>
      <c r="L1407" s="649"/>
      <c r="M1407" s="667">
        <v>1800</v>
      </c>
      <c r="N1407" s="900">
        <v>1314</v>
      </c>
      <c r="O1407" s="492">
        <f t="shared" si="176"/>
        <v>73</v>
      </c>
      <c r="P1407" s="730"/>
      <c r="Q1407" s="667"/>
      <c r="R1407" s="492"/>
    </row>
    <row r="1408" spans="1:18" s="723" customFormat="1" ht="12" customHeight="1">
      <c r="A1408" s="728">
        <v>4300</v>
      </c>
      <c r="B1408" s="995" t="s">
        <v>715</v>
      </c>
      <c r="C1408" s="666">
        <v>28800</v>
      </c>
      <c r="D1408" s="643">
        <f t="shared" si="175"/>
        <v>35504</v>
      </c>
      <c r="E1408" s="667">
        <f t="shared" si="177"/>
        <v>27145</v>
      </c>
      <c r="F1408" s="1011">
        <f t="shared" si="172"/>
        <v>76.45617395223073</v>
      </c>
      <c r="G1408" s="666"/>
      <c r="H1408" s="667"/>
      <c r="I1408" s="1021"/>
      <c r="J1408" s="730"/>
      <c r="K1408" s="667"/>
      <c r="L1408" s="649"/>
      <c r="M1408" s="667">
        <f>7200-296</f>
        <v>6904</v>
      </c>
      <c r="N1408" s="900">
        <v>6904</v>
      </c>
      <c r="O1408" s="492">
        <f t="shared" si="176"/>
        <v>100</v>
      </c>
      <c r="P1408" s="730">
        <f>21600+3000+4000</f>
        <v>28600</v>
      </c>
      <c r="Q1408" s="667">
        <v>20241</v>
      </c>
      <c r="R1408" s="492">
        <f>Q1408/P1408*100</f>
        <v>70.77272727272728</v>
      </c>
    </row>
    <row r="1409" spans="1:18" s="723" customFormat="1" ht="24">
      <c r="A1409" s="728">
        <v>4350</v>
      </c>
      <c r="B1409" s="735" t="s">
        <v>807</v>
      </c>
      <c r="C1409" s="666">
        <v>200</v>
      </c>
      <c r="D1409" s="643">
        <f>G1409+J1409+P1409+M1409</f>
        <v>200</v>
      </c>
      <c r="E1409" s="667">
        <f t="shared" si="177"/>
        <v>200</v>
      </c>
      <c r="F1409" s="1011">
        <f>E1409/D1409*100</f>
        <v>100</v>
      </c>
      <c r="G1409" s="666"/>
      <c r="H1409" s="667"/>
      <c r="I1409" s="1021"/>
      <c r="J1409" s="730"/>
      <c r="K1409" s="667"/>
      <c r="L1409" s="649"/>
      <c r="M1409" s="667">
        <v>200</v>
      </c>
      <c r="N1409" s="900">
        <v>200</v>
      </c>
      <c r="O1409" s="492">
        <f t="shared" si="176"/>
        <v>100</v>
      </c>
      <c r="P1409" s="730"/>
      <c r="Q1409" s="667"/>
      <c r="R1409" s="492"/>
    </row>
    <row r="1410" spans="1:18" s="723" customFormat="1" ht="48">
      <c r="A1410" s="756">
        <v>4370</v>
      </c>
      <c r="B1410" s="851" t="s">
        <v>916</v>
      </c>
      <c r="C1410" s="670">
        <v>1440</v>
      </c>
      <c r="D1410" s="685">
        <f>G1410+J1410+P1410+M1410</f>
        <v>1440</v>
      </c>
      <c r="E1410" s="686">
        <f t="shared" si="177"/>
        <v>1440</v>
      </c>
      <c r="F1410" s="1054">
        <f>E1410/D1410*100</f>
        <v>100</v>
      </c>
      <c r="G1410" s="670"/>
      <c r="H1410" s="686"/>
      <c r="I1410" s="1020"/>
      <c r="J1410" s="777"/>
      <c r="K1410" s="686"/>
      <c r="L1410" s="690"/>
      <c r="M1410" s="686">
        <v>1440</v>
      </c>
      <c r="N1410" s="1078">
        <v>1440</v>
      </c>
      <c r="O1410" s="758">
        <f t="shared" si="176"/>
        <v>100</v>
      </c>
      <c r="P1410" s="777"/>
      <c r="Q1410" s="686"/>
      <c r="R1410" s="758"/>
    </row>
    <row r="1411" spans="1:18" s="723" customFormat="1" ht="24">
      <c r="A1411" s="728">
        <v>4410</v>
      </c>
      <c r="B1411" s="995" t="s">
        <v>689</v>
      </c>
      <c r="C1411" s="666">
        <v>400</v>
      </c>
      <c r="D1411" s="643">
        <f>G1411+J1411+P1411+M1411</f>
        <v>400</v>
      </c>
      <c r="E1411" s="667">
        <f t="shared" si="177"/>
        <v>71</v>
      </c>
      <c r="F1411" s="1011">
        <f>E1411/D1411*100</f>
        <v>17.75</v>
      </c>
      <c r="G1411" s="666"/>
      <c r="H1411" s="667"/>
      <c r="I1411" s="1021"/>
      <c r="J1411" s="730"/>
      <c r="K1411" s="667"/>
      <c r="L1411" s="649"/>
      <c r="M1411" s="667">
        <v>400</v>
      </c>
      <c r="N1411" s="900">
        <f>72-1</f>
        <v>71</v>
      </c>
      <c r="O1411" s="492">
        <f t="shared" si="176"/>
        <v>17.75</v>
      </c>
      <c r="P1411" s="730"/>
      <c r="Q1411" s="667"/>
      <c r="R1411" s="492"/>
    </row>
    <row r="1412" spans="1:18" s="723" customFormat="1" ht="60">
      <c r="A1412" s="829">
        <v>4740</v>
      </c>
      <c r="B1412" s="850" t="s">
        <v>728</v>
      </c>
      <c r="C1412" s="666">
        <v>250</v>
      </c>
      <c r="D1412" s="643">
        <f>G1412+J1412+P1412+M1412</f>
        <v>250</v>
      </c>
      <c r="E1412" s="667">
        <f t="shared" si="177"/>
        <v>0</v>
      </c>
      <c r="F1412" s="1011">
        <f>E1412/D1412*100</f>
        <v>0</v>
      </c>
      <c r="G1412" s="666"/>
      <c r="H1412" s="667"/>
      <c r="I1412" s="1021"/>
      <c r="J1412" s="730"/>
      <c r="K1412" s="667"/>
      <c r="L1412" s="649"/>
      <c r="M1412" s="667">
        <v>250</v>
      </c>
      <c r="N1412" s="900"/>
      <c r="O1412" s="492">
        <f t="shared" si="176"/>
        <v>0</v>
      </c>
      <c r="P1412" s="730"/>
      <c r="Q1412" s="667"/>
      <c r="R1412" s="492"/>
    </row>
    <row r="1413" spans="1:18" s="723" customFormat="1" ht="36">
      <c r="A1413" s="829">
        <v>4750</v>
      </c>
      <c r="B1413" s="850" t="s">
        <v>814</v>
      </c>
      <c r="C1413" s="666">
        <v>250</v>
      </c>
      <c r="D1413" s="643">
        <f>G1413+J1413+P1413+M1413</f>
        <v>250</v>
      </c>
      <c r="E1413" s="667">
        <f t="shared" si="177"/>
        <v>0</v>
      </c>
      <c r="F1413" s="1011">
        <f>E1413/D1413*100</f>
        <v>0</v>
      </c>
      <c r="G1413" s="666"/>
      <c r="H1413" s="667"/>
      <c r="I1413" s="1021"/>
      <c r="J1413" s="730"/>
      <c r="K1413" s="667"/>
      <c r="L1413" s="649"/>
      <c r="M1413" s="667">
        <v>250</v>
      </c>
      <c r="N1413" s="900"/>
      <c r="O1413" s="492">
        <f t="shared" si="176"/>
        <v>0</v>
      </c>
      <c r="P1413" s="730"/>
      <c r="Q1413" s="667"/>
      <c r="R1413" s="492"/>
    </row>
    <row r="1414" spans="1:18" s="723" customFormat="1" ht="12.75">
      <c r="A1414" s="728">
        <v>4440</v>
      </c>
      <c r="B1414" s="818" t="s">
        <v>983</v>
      </c>
      <c r="C1414" s="666">
        <v>2340</v>
      </c>
      <c r="D1414" s="643">
        <f t="shared" si="175"/>
        <v>2340</v>
      </c>
      <c r="E1414" s="667">
        <f t="shared" si="177"/>
        <v>2340</v>
      </c>
      <c r="F1414" s="1011">
        <f t="shared" si="172"/>
        <v>100</v>
      </c>
      <c r="G1414" s="666"/>
      <c r="H1414" s="667"/>
      <c r="I1414" s="1021"/>
      <c r="J1414" s="730"/>
      <c r="K1414" s="667"/>
      <c r="L1414" s="649"/>
      <c r="M1414" s="667">
        <v>2340</v>
      </c>
      <c r="N1414" s="900">
        <v>2340</v>
      </c>
      <c r="O1414" s="492">
        <f>N1414/M1414*100</f>
        <v>100</v>
      </c>
      <c r="P1414" s="730"/>
      <c r="Q1414" s="667"/>
      <c r="R1414" s="492"/>
    </row>
    <row r="1415" spans="1:18" s="723" customFormat="1" ht="36" hidden="1">
      <c r="A1415" s="762">
        <v>6060</v>
      </c>
      <c r="B1415" s="1012" t="s">
        <v>856</v>
      </c>
      <c r="C1415" s="781"/>
      <c r="D1415" s="643">
        <f t="shared" si="175"/>
        <v>0</v>
      </c>
      <c r="E1415" s="667">
        <f t="shared" si="177"/>
        <v>0</v>
      </c>
      <c r="F1415" s="1011" t="e">
        <f t="shared" si="172"/>
        <v>#DIV/0!</v>
      </c>
      <c r="G1415" s="781"/>
      <c r="H1415" s="785"/>
      <c r="I1415" s="1022"/>
      <c r="J1415" s="782"/>
      <c r="K1415" s="785"/>
      <c r="L1415" s="768"/>
      <c r="M1415" s="785"/>
      <c r="N1415" s="920"/>
      <c r="O1415" s="707" t="e">
        <f>N1415/M1415*100</f>
        <v>#DIV/0!</v>
      </c>
      <c r="P1415" s="782"/>
      <c r="Q1415" s="785"/>
      <c r="R1415" s="766"/>
    </row>
    <row r="1416" spans="1:18" s="775" customFormat="1" ht="24" hidden="1">
      <c r="A1416" s="787">
        <v>85334</v>
      </c>
      <c r="B1416" s="1040" t="s">
        <v>105</v>
      </c>
      <c r="C1416" s="673"/>
      <c r="D1416" s="643">
        <f t="shared" si="175"/>
        <v>0</v>
      </c>
      <c r="E1416" s="667">
        <f t="shared" si="177"/>
        <v>0</v>
      </c>
      <c r="F1416" s="972" t="e">
        <f t="shared" si="172"/>
        <v>#DIV/0!</v>
      </c>
      <c r="G1416" s="673"/>
      <c r="H1416" s="674"/>
      <c r="I1416" s="1015"/>
      <c r="J1416" s="677"/>
      <c r="K1416" s="674"/>
      <c r="L1416" s="663"/>
      <c r="M1416" s="674"/>
      <c r="N1416" s="901"/>
      <c r="O1416" s="791"/>
      <c r="P1416" s="677">
        <f>SUM(P1417)</f>
        <v>0</v>
      </c>
      <c r="Q1416" s="674">
        <f>SUM(Q1417)</f>
        <v>0</v>
      </c>
      <c r="R1416" s="675" t="e">
        <f>Q1416/P1416*100</f>
        <v>#DIV/0!</v>
      </c>
    </row>
    <row r="1417" spans="1:18" s="723" customFormat="1" ht="12.75" hidden="1">
      <c r="A1417" s="728">
        <v>3110</v>
      </c>
      <c r="B1417" s="1038" t="s">
        <v>1024</v>
      </c>
      <c r="C1417" s="781"/>
      <c r="D1417" s="643">
        <f t="shared" si="175"/>
        <v>0</v>
      </c>
      <c r="E1417" s="667">
        <f t="shared" si="177"/>
        <v>0</v>
      </c>
      <c r="F1417" s="1011" t="e">
        <f t="shared" si="172"/>
        <v>#DIV/0!</v>
      </c>
      <c r="G1417" s="781"/>
      <c r="H1417" s="785"/>
      <c r="I1417" s="1022"/>
      <c r="J1417" s="782"/>
      <c r="K1417" s="785"/>
      <c r="L1417" s="768"/>
      <c r="M1417" s="785"/>
      <c r="N1417" s="920"/>
      <c r="O1417" s="707"/>
      <c r="P1417" s="782"/>
      <c r="Q1417" s="785"/>
      <c r="R1417" s="705" t="e">
        <f>Q1417/P1417*100</f>
        <v>#DIV/0!</v>
      </c>
    </row>
    <row r="1418" spans="1:18" s="775" customFormat="1" ht="12.75">
      <c r="A1418" s="787">
        <v>85395</v>
      </c>
      <c r="B1418" s="1040" t="s">
        <v>106</v>
      </c>
      <c r="C1418" s="673">
        <f>C1447</f>
        <v>0</v>
      </c>
      <c r="D1418" s="674">
        <f>G1418+J1418+P1418+M1418</f>
        <v>958312</v>
      </c>
      <c r="E1418" s="674">
        <f t="shared" si="177"/>
        <v>181040</v>
      </c>
      <c r="F1418" s="972">
        <f t="shared" si="172"/>
        <v>18.8915509771348</v>
      </c>
      <c r="G1418" s="673">
        <f>SUM(G1420:G1447)</f>
        <v>916394</v>
      </c>
      <c r="H1418" s="674">
        <f>SUM(H1420:H1447)</f>
        <v>181040</v>
      </c>
      <c r="I1418" s="1015">
        <f>H1418/G1418*100</f>
        <v>19.755694602976448</v>
      </c>
      <c r="J1418" s="677"/>
      <c r="K1418" s="674"/>
      <c r="L1418" s="663"/>
      <c r="M1418" s="674">
        <f>M1448</f>
        <v>41918</v>
      </c>
      <c r="N1418" s="901">
        <f>N1448</f>
        <v>0</v>
      </c>
      <c r="O1418" s="791"/>
      <c r="P1418" s="677"/>
      <c r="Q1418" s="674"/>
      <c r="R1418" s="675"/>
    </row>
    <row r="1419" spans="1:18" s="1062" customFormat="1" ht="40.5">
      <c r="A1419" s="1056"/>
      <c r="B1419" s="1079" t="s">
        <v>107</v>
      </c>
      <c r="C1419" s="860"/>
      <c r="D1419" s="861">
        <f t="shared" si="175"/>
        <v>916394</v>
      </c>
      <c r="E1419" s="861">
        <f t="shared" si="177"/>
        <v>181040</v>
      </c>
      <c r="F1419" s="519">
        <f t="shared" si="172"/>
        <v>19.755694602976448</v>
      </c>
      <c r="G1419" s="860">
        <f>SUM(G1420:G1447)</f>
        <v>916394</v>
      </c>
      <c r="H1419" s="861">
        <f>SUM(H1420:H1447)</f>
        <v>181040</v>
      </c>
      <c r="I1419" s="1080">
        <f>H1419/G1419*100</f>
        <v>19.755694602976448</v>
      </c>
      <c r="J1419" s="862"/>
      <c r="K1419" s="861"/>
      <c r="L1419" s="1065"/>
      <c r="M1419" s="861"/>
      <c r="N1419" s="1081"/>
      <c r="O1419" s="1060"/>
      <c r="P1419" s="862"/>
      <c r="Q1419" s="861"/>
      <c r="R1419" s="1059"/>
    </row>
    <row r="1420" spans="1:18" s="775" customFormat="1" ht="12.75">
      <c r="A1420" s="728">
        <v>3119</v>
      </c>
      <c r="B1420" s="995" t="s">
        <v>1024</v>
      </c>
      <c r="C1420" s="748"/>
      <c r="D1420" s="643">
        <f t="shared" si="175"/>
        <v>91640</v>
      </c>
      <c r="E1420" s="667">
        <f t="shared" si="177"/>
        <v>45883</v>
      </c>
      <c r="F1420" s="492">
        <f t="shared" si="172"/>
        <v>50.06874727193365</v>
      </c>
      <c r="G1420" s="697">
        <v>91640</v>
      </c>
      <c r="H1420" s="643">
        <v>45883</v>
      </c>
      <c r="I1420" s="1021">
        <f>H1420/G1420*100</f>
        <v>50.06874727193365</v>
      </c>
      <c r="J1420" s="750"/>
      <c r="K1420" s="749"/>
      <c r="L1420" s="751"/>
      <c r="M1420" s="643"/>
      <c r="N1420" s="948"/>
      <c r="O1420" s="647"/>
      <c r="P1420" s="750"/>
      <c r="Q1420" s="749"/>
      <c r="R1420" s="700"/>
    </row>
    <row r="1421" spans="1:18" s="775" customFormat="1" ht="24">
      <c r="A1421" s="728">
        <v>4018</v>
      </c>
      <c r="B1421" s="818" t="s">
        <v>697</v>
      </c>
      <c r="C1421" s="748"/>
      <c r="D1421" s="643">
        <f t="shared" si="175"/>
        <v>174358</v>
      </c>
      <c r="E1421" s="667">
        <f t="shared" si="177"/>
        <v>50520</v>
      </c>
      <c r="F1421" s="492">
        <f t="shared" si="172"/>
        <v>28.97486780073183</v>
      </c>
      <c r="G1421" s="697">
        <v>174358</v>
      </c>
      <c r="H1421" s="643">
        <v>50520</v>
      </c>
      <c r="I1421" s="1021">
        <f aca="true" t="shared" si="178" ref="I1421:I1463">H1421/G1421*100</f>
        <v>28.97486780073183</v>
      </c>
      <c r="J1421" s="750"/>
      <c r="K1421" s="749"/>
      <c r="L1421" s="751"/>
      <c r="M1421" s="643"/>
      <c r="N1421" s="948"/>
      <c r="O1421" s="647"/>
      <c r="P1421" s="750"/>
      <c r="Q1421" s="749"/>
      <c r="R1421" s="700"/>
    </row>
    <row r="1422" spans="1:18" s="775" customFormat="1" ht="24">
      <c r="A1422" s="728">
        <v>4019</v>
      </c>
      <c r="B1422" s="995" t="s">
        <v>697</v>
      </c>
      <c r="C1422" s="748"/>
      <c r="D1422" s="643">
        <f t="shared" si="175"/>
        <v>10227</v>
      </c>
      <c r="E1422" s="667">
        <f t="shared" si="177"/>
        <v>2974</v>
      </c>
      <c r="F1422" s="492">
        <f t="shared" si="172"/>
        <v>29.079886574753104</v>
      </c>
      <c r="G1422" s="697">
        <v>10227</v>
      </c>
      <c r="H1422" s="643">
        <v>2974</v>
      </c>
      <c r="I1422" s="1021">
        <f t="shared" si="178"/>
        <v>29.079886574753104</v>
      </c>
      <c r="J1422" s="750"/>
      <c r="K1422" s="749"/>
      <c r="L1422" s="751"/>
      <c r="M1422" s="643"/>
      <c r="N1422" s="948"/>
      <c r="O1422" s="647"/>
      <c r="P1422" s="750"/>
      <c r="Q1422" s="749"/>
      <c r="R1422" s="700"/>
    </row>
    <row r="1423" spans="1:18" s="775" customFormat="1" ht="24">
      <c r="A1423" s="728">
        <v>4118</v>
      </c>
      <c r="B1423" s="995" t="s">
        <v>703</v>
      </c>
      <c r="C1423" s="748"/>
      <c r="D1423" s="643">
        <f t="shared" si="175"/>
        <v>40245</v>
      </c>
      <c r="E1423" s="667">
        <f t="shared" si="177"/>
        <v>7853</v>
      </c>
      <c r="F1423" s="492">
        <f t="shared" si="172"/>
        <v>19.51298297925208</v>
      </c>
      <c r="G1423" s="697">
        <f>25325+14920</f>
        <v>40245</v>
      </c>
      <c r="H1423" s="643">
        <v>7853</v>
      </c>
      <c r="I1423" s="1021">
        <f t="shared" si="178"/>
        <v>19.51298297925208</v>
      </c>
      <c r="J1423" s="750"/>
      <c r="K1423" s="749"/>
      <c r="L1423" s="751"/>
      <c r="M1423" s="643"/>
      <c r="N1423" s="948"/>
      <c r="O1423" s="647"/>
      <c r="P1423" s="750"/>
      <c r="Q1423" s="749"/>
      <c r="R1423" s="700"/>
    </row>
    <row r="1424" spans="1:18" s="775" customFormat="1" ht="24">
      <c r="A1424" s="728">
        <v>4119</v>
      </c>
      <c r="B1424" s="995" t="s">
        <v>703</v>
      </c>
      <c r="C1424" s="748"/>
      <c r="D1424" s="643">
        <f t="shared" si="175"/>
        <v>2372</v>
      </c>
      <c r="E1424" s="667">
        <f t="shared" si="177"/>
        <v>462</v>
      </c>
      <c r="F1424" s="492">
        <f t="shared" si="172"/>
        <v>19.477234401349072</v>
      </c>
      <c r="G1424" s="697">
        <f>1491+881</f>
        <v>2372</v>
      </c>
      <c r="H1424" s="643">
        <v>462</v>
      </c>
      <c r="I1424" s="1021">
        <f t="shared" si="178"/>
        <v>19.477234401349072</v>
      </c>
      <c r="J1424" s="750"/>
      <c r="K1424" s="749"/>
      <c r="L1424" s="751"/>
      <c r="M1424" s="643"/>
      <c r="N1424" s="948"/>
      <c r="O1424" s="647"/>
      <c r="P1424" s="750"/>
      <c r="Q1424" s="749"/>
      <c r="R1424" s="700"/>
    </row>
    <row r="1425" spans="1:18" s="775" customFormat="1" ht="24">
      <c r="A1425" s="728">
        <v>4128</v>
      </c>
      <c r="B1425" s="995" t="s">
        <v>851</v>
      </c>
      <c r="C1425" s="748"/>
      <c r="D1425" s="643">
        <f t="shared" si="175"/>
        <v>11973</v>
      </c>
      <c r="E1425" s="667">
        <f t="shared" si="177"/>
        <v>1201</v>
      </c>
      <c r="F1425" s="492">
        <f t="shared" si="172"/>
        <v>10.030902864779085</v>
      </c>
      <c r="G1425" s="697">
        <f>3853+8120</f>
        <v>11973</v>
      </c>
      <c r="H1425" s="643">
        <v>1201</v>
      </c>
      <c r="I1425" s="1021">
        <f t="shared" si="178"/>
        <v>10.030902864779085</v>
      </c>
      <c r="J1425" s="750"/>
      <c r="K1425" s="749"/>
      <c r="L1425" s="751"/>
      <c r="M1425" s="643"/>
      <c r="N1425" s="948"/>
      <c r="O1425" s="647"/>
      <c r="P1425" s="750"/>
      <c r="Q1425" s="749"/>
      <c r="R1425" s="700"/>
    </row>
    <row r="1426" spans="1:18" s="775" customFormat="1" ht="24">
      <c r="A1426" s="728">
        <v>4129</v>
      </c>
      <c r="B1426" s="995" t="s">
        <v>851</v>
      </c>
      <c r="C1426" s="748"/>
      <c r="D1426" s="643">
        <f t="shared" si="175"/>
        <v>707</v>
      </c>
      <c r="E1426" s="667">
        <f t="shared" si="177"/>
        <v>71</v>
      </c>
      <c r="F1426" s="492">
        <f t="shared" si="172"/>
        <v>10.042432814710041</v>
      </c>
      <c r="G1426" s="697">
        <f>227+480</f>
        <v>707</v>
      </c>
      <c r="H1426" s="643">
        <v>71</v>
      </c>
      <c r="I1426" s="1021">
        <f t="shared" si="178"/>
        <v>10.042432814710041</v>
      </c>
      <c r="J1426" s="750"/>
      <c r="K1426" s="749"/>
      <c r="L1426" s="751"/>
      <c r="M1426" s="643"/>
      <c r="N1426" s="948"/>
      <c r="O1426" s="647"/>
      <c r="P1426" s="750"/>
      <c r="Q1426" s="749"/>
      <c r="R1426" s="700"/>
    </row>
    <row r="1427" spans="1:18" s="775" customFormat="1" ht="24">
      <c r="A1427" s="728">
        <v>4178</v>
      </c>
      <c r="B1427" s="995" t="s">
        <v>742</v>
      </c>
      <c r="C1427" s="748"/>
      <c r="D1427" s="643">
        <f t="shared" si="175"/>
        <v>112414</v>
      </c>
      <c r="E1427" s="667">
        <f t="shared" si="177"/>
        <v>26260</v>
      </c>
      <c r="F1427" s="492">
        <f t="shared" si="172"/>
        <v>23.360079705374776</v>
      </c>
      <c r="G1427" s="697">
        <f>20241+92173</f>
        <v>112414</v>
      </c>
      <c r="H1427" s="643">
        <v>26260</v>
      </c>
      <c r="I1427" s="1021">
        <f t="shared" si="178"/>
        <v>23.360079705374776</v>
      </c>
      <c r="J1427" s="750"/>
      <c r="K1427" s="749"/>
      <c r="L1427" s="751"/>
      <c r="M1427" s="643"/>
      <c r="N1427" s="948"/>
      <c r="O1427" s="647"/>
      <c r="P1427" s="750"/>
      <c r="Q1427" s="749"/>
      <c r="R1427" s="700"/>
    </row>
    <row r="1428" spans="1:18" s="775" customFormat="1" ht="24">
      <c r="A1428" s="728">
        <v>4179</v>
      </c>
      <c r="B1428" s="995" t="s">
        <v>742</v>
      </c>
      <c r="C1428" s="748"/>
      <c r="D1428" s="643">
        <f t="shared" si="175"/>
        <v>6618</v>
      </c>
      <c r="E1428" s="667">
        <f t="shared" si="177"/>
        <v>1940</v>
      </c>
      <c r="F1428" s="492">
        <f t="shared" si="172"/>
        <v>29.313992142641283</v>
      </c>
      <c r="G1428" s="697">
        <f>1192+5426</f>
        <v>6618</v>
      </c>
      <c r="H1428" s="643">
        <v>1940</v>
      </c>
      <c r="I1428" s="1021">
        <f t="shared" si="178"/>
        <v>29.313992142641283</v>
      </c>
      <c r="J1428" s="750"/>
      <c r="K1428" s="749"/>
      <c r="L1428" s="751"/>
      <c r="M1428" s="643"/>
      <c r="N1428" s="948"/>
      <c r="O1428" s="647"/>
      <c r="P1428" s="750"/>
      <c r="Q1428" s="749"/>
      <c r="R1428" s="700"/>
    </row>
    <row r="1429" spans="1:18" s="775" customFormat="1" ht="24">
      <c r="A1429" s="728">
        <v>4218</v>
      </c>
      <c r="B1429" s="995" t="s">
        <v>707</v>
      </c>
      <c r="C1429" s="748"/>
      <c r="D1429" s="643">
        <f t="shared" si="175"/>
        <v>64085</v>
      </c>
      <c r="E1429" s="667">
        <f t="shared" si="177"/>
        <v>20120</v>
      </c>
      <c r="F1429" s="492">
        <f t="shared" si="172"/>
        <v>31.395802449871262</v>
      </c>
      <c r="G1429" s="697">
        <v>64085</v>
      </c>
      <c r="H1429" s="643">
        <v>20120</v>
      </c>
      <c r="I1429" s="1021">
        <f t="shared" si="178"/>
        <v>31.395802449871262</v>
      </c>
      <c r="J1429" s="750"/>
      <c r="K1429" s="749"/>
      <c r="L1429" s="751"/>
      <c r="M1429" s="643"/>
      <c r="N1429" s="948"/>
      <c r="O1429" s="647"/>
      <c r="P1429" s="750"/>
      <c r="Q1429" s="749"/>
      <c r="R1429" s="700"/>
    </row>
    <row r="1430" spans="1:18" s="775" customFormat="1" ht="23.25" customHeight="1">
      <c r="A1430" s="728">
        <v>4219</v>
      </c>
      <c r="B1430" s="995" t="s">
        <v>707</v>
      </c>
      <c r="C1430" s="748"/>
      <c r="D1430" s="643">
        <f t="shared" si="175"/>
        <v>3773</v>
      </c>
      <c r="E1430" s="667">
        <f t="shared" si="177"/>
        <v>1184</v>
      </c>
      <c r="F1430" s="492">
        <f t="shared" si="172"/>
        <v>31.38086403392526</v>
      </c>
      <c r="G1430" s="697">
        <v>3773</v>
      </c>
      <c r="H1430" s="643">
        <f>1185-1</f>
        <v>1184</v>
      </c>
      <c r="I1430" s="1021">
        <f t="shared" si="178"/>
        <v>31.38086403392526</v>
      </c>
      <c r="J1430" s="750"/>
      <c r="K1430" s="749"/>
      <c r="L1430" s="751"/>
      <c r="M1430" s="643"/>
      <c r="N1430" s="948"/>
      <c r="O1430" s="647"/>
      <c r="P1430" s="750"/>
      <c r="Q1430" s="749"/>
      <c r="R1430" s="700"/>
    </row>
    <row r="1431" spans="1:18" s="775" customFormat="1" ht="24">
      <c r="A1431" s="709">
        <v>4288</v>
      </c>
      <c r="B1431" s="1005" t="s">
        <v>805</v>
      </c>
      <c r="C1431" s="1082"/>
      <c r="D1431" s="685">
        <f>G1431+J1431+P1431+M1431</f>
        <v>24556</v>
      </c>
      <c r="E1431" s="686">
        <f>SUM(H1431+K1431+N1431+Q1431)</f>
        <v>0</v>
      </c>
      <c r="F1431" s="758">
        <f>E1431/D1431*100</f>
        <v>0</v>
      </c>
      <c r="G1431" s="684">
        <v>24556</v>
      </c>
      <c r="H1431" s="685"/>
      <c r="I1431" s="1020">
        <f t="shared" si="178"/>
        <v>0</v>
      </c>
      <c r="J1431" s="1083"/>
      <c r="K1431" s="695"/>
      <c r="L1431" s="1018"/>
      <c r="M1431" s="685"/>
      <c r="N1431" s="906"/>
      <c r="O1431" s="652"/>
      <c r="P1431" s="1083"/>
      <c r="Q1431" s="695"/>
      <c r="R1431" s="687"/>
    </row>
    <row r="1432" spans="1:18" s="775" customFormat="1" ht="24">
      <c r="A1432" s="728">
        <v>4289</v>
      </c>
      <c r="B1432" s="995" t="s">
        <v>805</v>
      </c>
      <c r="C1432" s="748"/>
      <c r="D1432" s="643">
        <f>G1432+J1432+P1432+M1432</f>
        <v>1444</v>
      </c>
      <c r="E1432" s="667">
        <f>SUM(H1432+K1432+N1432+Q1432)</f>
        <v>0</v>
      </c>
      <c r="F1432" s="492">
        <f>E1432/D1432*100</f>
        <v>0</v>
      </c>
      <c r="G1432" s="697">
        <v>1444</v>
      </c>
      <c r="H1432" s="643"/>
      <c r="I1432" s="1021">
        <f t="shared" si="178"/>
        <v>0</v>
      </c>
      <c r="J1432" s="750"/>
      <c r="K1432" s="749"/>
      <c r="L1432" s="751"/>
      <c r="M1432" s="643"/>
      <c r="N1432" s="948"/>
      <c r="O1432" s="647"/>
      <c r="P1432" s="750"/>
      <c r="Q1432" s="749"/>
      <c r="R1432" s="700"/>
    </row>
    <row r="1433" spans="1:18" s="775" customFormat="1" ht="24">
      <c r="A1433" s="728">
        <v>4308</v>
      </c>
      <c r="B1433" s="995" t="s">
        <v>733</v>
      </c>
      <c r="C1433" s="748"/>
      <c r="D1433" s="643">
        <f t="shared" si="175"/>
        <v>317299</v>
      </c>
      <c r="E1433" s="667">
        <f t="shared" si="177"/>
        <v>18105</v>
      </c>
      <c r="F1433" s="492">
        <f t="shared" si="172"/>
        <v>5.70597449093757</v>
      </c>
      <c r="G1433" s="697">
        <f>468120-150821</f>
        <v>317299</v>
      </c>
      <c r="H1433" s="643">
        <v>18105</v>
      </c>
      <c r="I1433" s="1021">
        <f t="shared" si="178"/>
        <v>5.70597449093757</v>
      </c>
      <c r="J1433" s="750"/>
      <c r="K1433" s="749"/>
      <c r="L1433" s="751"/>
      <c r="M1433" s="643"/>
      <c r="N1433" s="948"/>
      <c r="O1433" s="647"/>
      <c r="P1433" s="750"/>
      <c r="Q1433" s="749"/>
      <c r="R1433" s="700"/>
    </row>
    <row r="1434" spans="1:18" s="775" customFormat="1" ht="24">
      <c r="A1434" s="728">
        <v>4309</v>
      </c>
      <c r="B1434" s="995" t="s">
        <v>733</v>
      </c>
      <c r="C1434" s="748"/>
      <c r="D1434" s="643">
        <f t="shared" si="175"/>
        <v>18681</v>
      </c>
      <c r="E1434" s="667">
        <f t="shared" si="177"/>
        <v>1066</v>
      </c>
      <c r="F1434" s="492">
        <f t="shared" si="172"/>
        <v>5.706332637439109</v>
      </c>
      <c r="G1434" s="697">
        <f>27560-8879</f>
        <v>18681</v>
      </c>
      <c r="H1434" s="643">
        <v>1066</v>
      </c>
      <c r="I1434" s="1021">
        <f t="shared" si="178"/>
        <v>5.706332637439109</v>
      </c>
      <c r="J1434" s="750"/>
      <c r="K1434" s="749"/>
      <c r="L1434" s="751"/>
      <c r="M1434" s="643"/>
      <c r="N1434" s="948"/>
      <c r="O1434" s="647"/>
      <c r="P1434" s="750"/>
      <c r="Q1434" s="749"/>
      <c r="R1434" s="700"/>
    </row>
    <row r="1435" spans="1:18" s="775" customFormat="1" ht="48">
      <c r="A1435" s="728">
        <v>4368</v>
      </c>
      <c r="B1435" s="850" t="s">
        <v>808</v>
      </c>
      <c r="C1435" s="748"/>
      <c r="D1435" s="643">
        <f t="shared" si="175"/>
        <v>3400</v>
      </c>
      <c r="E1435" s="667">
        <f t="shared" si="177"/>
        <v>0</v>
      </c>
      <c r="F1435" s="492">
        <f t="shared" si="172"/>
        <v>0</v>
      </c>
      <c r="G1435" s="697">
        <v>3400</v>
      </c>
      <c r="H1435" s="643"/>
      <c r="I1435" s="1021">
        <f t="shared" si="178"/>
        <v>0</v>
      </c>
      <c r="J1435" s="750"/>
      <c r="K1435" s="749"/>
      <c r="L1435" s="751"/>
      <c r="M1435" s="643"/>
      <c r="N1435" s="948"/>
      <c r="O1435" s="647"/>
      <c r="P1435" s="750"/>
      <c r="Q1435" s="749"/>
      <c r="R1435" s="700"/>
    </row>
    <row r="1436" spans="1:18" s="775" customFormat="1" ht="48">
      <c r="A1436" s="728">
        <v>4369</v>
      </c>
      <c r="B1436" s="850" t="s">
        <v>808</v>
      </c>
      <c r="C1436" s="748"/>
      <c r="D1436" s="643">
        <f t="shared" si="175"/>
        <v>200</v>
      </c>
      <c r="E1436" s="667">
        <f t="shared" si="177"/>
        <v>0</v>
      </c>
      <c r="F1436" s="492">
        <f t="shared" si="172"/>
        <v>0</v>
      </c>
      <c r="G1436" s="697">
        <v>200</v>
      </c>
      <c r="H1436" s="643"/>
      <c r="I1436" s="1021">
        <f t="shared" si="178"/>
        <v>0</v>
      </c>
      <c r="J1436" s="750"/>
      <c r="K1436" s="749"/>
      <c r="L1436" s="751"/>
      <c r="M1436" s="643"/>
      <c r="N1436" s="948"/>
      <c r="O1436" s="647"/>
      <c r="P1436" s="750"/>
      <c r="Q1436" s="749"/>
      <c r="R1436" s="700"/>
    </row>
    <row r="1437" spans="1:18" s="775" customFormat="1" ht="48">
      <c r="A1437" s="728">
        <v>4378</v>
      </c>
      <c r="B1437" s="850" t="s">
        <v>916</v>
      </c>
      <c r="C1437" s="748"/>
      <c r="D1437" s="643">
        <f t="shared" si="175"/>
        <v>5100</v>
      </c>
      <c r="E1437" s="667">
        <f t="shared" si="177"/>
        <v>0</v>
      </c>
      <c r="F1437" s="492">
        <f t="shared" si="172"/>
        <v>0</v>
      </c>
      <c r="G1437" s="697">
        <v>5100</v>
      </c>
      <c r="H1437" s="643"/>
      <c r="I1437" s="1021">
        <f t="shared" si="178"/>
        <v>0</v>
      </c>
      <c r="J1437" s="750"/>
      <c r="K1437" s="749"/>
      <c r="L1437" s="751"/>
      <c r="M1437" s="643"/>
      <c r="N1437" s="948"/>
      <c r="O1437" s="647"/>
      <c r="P1437" s="750"/>
      <c r="Q1437" s="749"/>
      <c r="R1437" s="700"/>
    </row>
    <row r="1438" spans="1:18" s="775" customFormat="1" ht="48">
      <c r="A1438" s="728">
        <v>4379</v>
      </c>
      <c r="B1438" s="850" t="s">
        <v>916</v>
      </c>
      <c r="C1438" s="748"/>
      <c r="D1438" s="643">
        <f t="shared" si="175"/>
        <v>300</v>
      </c>
      <c r="E1438" s="667">
        <f t="shared" si="177"/>
        <v>0</v>
      </c>
      <c r="F1438" s="492">
        <f t="shared" si="172"/>
        <v>0</v>
      </c>
      <c r="G1438" s="697">
        <v>300</v>
      </c>
      <c r="H1438" s="643"/>
      <c r="I1438" s="1021">
        <f t="shared" si="178"/>
        <v>0</v>
      </c>
      <c r="J1438" s="750"/>
      <c r="K1438" s="749"/>
      <c r="L1438" s="751"/>
      <c r="M1438" s="643"/>
      <c r="N1438" s="948"/>
      <c r="O1438" s="647"/>
      <c r="P1438" s="750"/>
      <c r="Q1438" s="749"/>
      <c r="R1438" s="700"/>
    </row>
    <row r="1439" spans="1:18" s="775" customFormat="1" ht="24">
      <c r="A1439" s="829">
        <v>4418</v>
      </c>
      <c r="B1439" s="850" t="s">
        <v>689</v>
      </c>
      <c r="C1439" s="748"/>
      <c r="D1439" s="643">
        <f t="shared" si="175"/>
        <v>2909</v>
      </c>
      <c r="E1439" s="667">
        <f t="shared" si="177"/>
        <v>340</v>
      </c>
      <c r="F1439" s="492">
        <f t="shared" si="172"/>
        <v>11.687865245788931</v>
      </c>
      <c r="G1439" s="697">
        <v>2909</v>
      </c>
      <c r="H1439" s="643">
        <v>340</v>
      </c>
      <c r="I1439" s="1021">
        <f t="shared" si="178"/>
        <v>11.687865245788931</v>
      </c>
      <c r="J1439" s="750"/>
      <c r="K1439" s="749"/>
      <c r="L1439" s="751"/>
      <c r="M1439" s="643"/>
      <c r="N1439" s="948"/>
      <c r="O1439" s="647"/>
      <c r="P1439" s="750"/>
      <c r="Q1439" s="749"/>
      <c r="R1439" s="700"/>
    </row>
    <row r="1440" spans="1:18" s="775" customFormat="1" ht="24">
      <c r="A1440" s="829">
        <v>4419</v>
      </c>
      <c r="B1440" s="850" t="s">
        <v>689</v>
      </c>
      <c r="C1440" s="748"/>
      <c r="D1440" s="643">
        <f t="shared" si="175"/>
        <v>171</v>
      </c>
      <c r="E1440" s="667">
        <f t="shared" si="177"/>
        <v>20</v>
      </c>
      <c r="F1440" s="492">
        <f t="shared" si="172"/>
        <v>11.695906432748536</v>
      </c>
      <c r="G1440" s="697">
        <v>171</v>
      </c>
      <c r="H1440" s="643">
        <v>20</v>
      </c>
      <c r="I1440" s="1021"/>
      <c r="J1440" s="750"/>
      <c r="K1440" s="749"/>
      <c r="L1440" s="751"/>
      <c r="M1440" s="643"/>
      <c r="N1440" s="948"/>
      <c r="O1440" s="647"/>
      <c r="P1440" s="750"/>
      <c r="Q1440" s="749"/>
      <c r="R1440" s="700"/>
    </row>
    <row r="1441" spans="1:18" s="775" customFormat="1" ht="12.75">
      <c r="A1441" s="829">
        <v>4438</v>
      </c>
      <c r="B1441" s="850" t="s">
        <v>717</v>
      </c>
      <c r="C1441" s="748"/>
      <c r="D1441" s="643">
        <f t="shared" si="175"/>
        <v>8143</v>
      </c>
      <c r="E1441" s="667">
        <f t="shared" si="177"/>
        <v>2863</v>
      </c>
      <c r="F1441" s="492">
        <f t="shared" si="172"/>
        <v>35.15903229767899</v>
      </c>
      <c r="G1441" s="697">
        <v>8143</v>
      </c>
      <c r="H1441" s="643">
        <v>2863</v>
      </c>
      <c r="I1441" s="1021">
        <f t="shared" si="178"/>
        <v>35.15903229767899</v>
      </c>
      <c r="J1441" s="750"/>
      <c r="K1441" s="749"/>
      <c r="L1441" s="751"/>
      <c r="M1441" s="643"/>
      <c r="N1441" s="948"/>
      <c r="O1441" s="647"/>
      <c r="P1441" s="750"/>
      <c r="Q1441" s="749"/>
      <c r="R1441" s="700"/>
    </row>
    <row r="1442" spans="1:18" s="775" customFormat="1" ht="12.75">
      <c r="A1442" s="829">
        <v>4439</v>
      </c>
      <c r="B1442" s="850" t="s">
        <v>717</v>
      </c>
      <c r="C1442" s="748"/>
      <c r="D1442" s="643">
        <f t="shared" si="175"/>
        <v>477</v>
      </c>
      <c r="E1442" s="667">
        <f t="shared" si="177"/>
        <v>169</v>
      </c>
      <c r="F1442" s="492">
        <f t="shared" si="172"/>
        <v>35.42976939203354</v>
      </c>
      <c r="G1442" s="697">
        <v>477</v>
      </c>
      <c r="H1442" s="643">
        <v>169</v>
      </c>
      <c r="I1442" s="1021">
        <f t="shared" si="178"/>
        <v>35.42976939203354</v>
      </c>
      <c r="J1442" s="750"/>
      <c r="K1442" s="749"/>
      <c r="L1442" s="751"/>
      <c r="M1442" s="643"/>
      <c r="N1442" s="948"/>
      <c r="O1442" s="647"/>
      <c r="P1442" s="750"/>
      <c r="Q1442" s="749"/>
      <c r="R1442" s="700"/>
    </row>
    <row r="1443" spans="1:18" s="775" customFormat="1" ht="60">
      <c r="A1443" s="728">
        <v>4748</v>
      </c>
      <c r="B1443" s="850" t="s">
        <v>728</v>
      </c>
      <c r="C1443" s="748"/>
      <c r="D1443" s="643">
        <f t="shared" si="175"/>
        <v>1655</v>
      </c>
      <c r="E1443" s="667">
        <f t="shared" si="177"/>
        <v>0</v>
      </c>
      <c r="F1443" s="492">
        <f t="shared" si="172"/>
        <v>0</v>
      </c>
      <c r="G1443" s="697">
        <v>1655</v>
      </c>
      <c r="H1443" s="643"/>
      <c r="I1443" s="1021">
        <f t="shared" si="178"/>
        <v>0</v>
      </c>
      <c r="J1443" s="750"/>
      <c r="K1443" s="749"/>
      <c r="L1443" s="751"/>
      <c r="M1443" s="643"/>
      <c r="N1443" s="948"/>
      <c r="O1443" s="647"/>
      <c r="P1443" s="750"/>
      <c r="Q1443" s="749"/>
      <c r="R1443" s="700"/>
    </row>
    <row r="1444" spans="1:18" s="775" customFormat="1" ht="60">
      <c r="A1444" s="762">
        <v>4749</v>
      </c>
      <c r="B1444" s="875" t="s">
        <v>728</v>
      </c>
      <c r="C1444" s="834"/>
      <c r="D1444" s="765">
        <f t="shared" si="175"/>
        <v>97</v>
      </c>
      <c r="E1444" s="785">
        <f t="shared" si="177"/>
        <v>0</v>
      </c>
      <c r="F1444" s="766">
        <f t="shared" si="172"/>
        <v>0</v>
      </c>
      <c r="G1444" s="764">
        <v>97</v>
      </c>
      <c r="H1444" s="765"/>
      <c r="I1444" s="1022">
        <f t="shared" si="178"/>
        <v>0</v>
      </c>
      <c r="J1444" s="835"/>
      <c r="K1444" s="727"/>
      <c r="L1444" s="873"/>
      <c r="M1444" s="765"/>
      <c r="N1444" s="992"/>
      <c r="O1444" s="707"/>
      <c r="P1444" s="835"/>
      <c r="Q1444" s="727"/>
      <c r="R1444" s="772"/>
    </row>
    <row r="1445" spans="1:18" s="775" customFormat="1" ht="36">
      <c r="A1445" s="728">
        <v>4758</v>
      </c>
      <c r="B1445" s="850" t="s">
        <v>814</v>
      </c>
      <c r="C1445" s="748"/>
      <c r="D1445" s="643">
        <f t="shared" si="175"/>
        <v>12797</v>
      </c>
      <c r="E1445" s="667">
        <f t="shared" si="177"/>
        <v>0</v>
      </c>
      <c r="F1445" s="492">
        <f>E1445/D1445*100</f>
        <v>0</v>
      </c>
      <c r="G1445" s="697">
        <v>12797</v>
      </c>
      <c r="H1445" s="643"/>
      <c r="I1445" s="1021">
        <f t="shared" si="178"/>
        <v>0</v>
      </c>
      <c r="J1445" s="750"/>
      <c r="K1445" s="749"/>
      <c r="L1445" s="751"/>
      <c r="M1445" s="643"/>
      <c r="N1445" s="948"/>
      <c r="O1445" s="647"/>
      <c r="P1445" s="750"/>
      <c r="Q1445" s="749"/>
      <c r="R1445" s="700"/>
    </row>
    <row r="1446" spans="1:18" s="775" customFormat="1" ht="12.75">
      <c r="A1446" s="728">
        <v>4990</v>
      </c>
      <c r="B1446" s="850" t="s">
        <v>85</v>
      </c>
      <c r="C1446" s="748"/>
      <c r="D1446" s="643"/>
      <c r="E1446" s="667">
        <f>SUM(H1446+K1446+N1446+Q1446)</f>
        <v>9</v>
      </c>
      <c r="F1446" s="492"/>
      <c r="G1446" s="697"/>
      <c r="H1446" s="643">
        <v>9</v>
      </c>
      <c r="I1446" s="1021"/>
      <c r="J1446" s="750"/>
      <c r="K1446" s="749"/>
      <c r="L1446" s="751"/>
      <c r="M1446" s="643"/>
      <c r="N1446" s="948"/>
      <c r="O1446" s="647"/>
      <c r="P1446" s="750"/>
      <c r="Q1446" s="749"/>
      <c r="R1446" s="700"/>
    </row>
    <row r="1447" spans="1:18" s="723" customFormat="1" ht="36">
      <c r="A1447" s="728">
        <v>4759</v>
      </c>
      <c r="B1447" s="850" t="s">
        <v>814</v>
      </c>
      <c r="C1447" s="666"/>
      <c r="D1447" s="643">
        <f t="shared" si="175"/>
        <v>753</v>
      </c>
      <c r="E1447" s="667">
        <f t="shared" si="177"/>
        <v>0</v>
      </c>
      <c r="F1447" s="492">
        <f aca="true" t="shared" si="179" ref="F1447:F1491">E1447/D1447*100</f>
        <v>0</v>
      </c>
      <c r="G1447" s="666">
        <v>753</v>
      </c>
      <c r="H1447" s="667"/>
      <c r="I1447" s="1021">
        <f t="shared" si="178"/>
        <v>0</v>
      </c>
      <c r="J1447" s="730"/>
      <c r="K1447" s="667"/>
      <c r="L1447" s="649"/>
      <c r="M1447" s="643"/>
      <c r="N1447" s="948"/>
      <c r="O1447" s="647"/>
      <c r="P1447" s="730"/>
      <c r="Q1447" s="667"/>
      <c r="R1447" s="644"/>
    </row>
    <row r="1448" spans="1:18" s="864" customFormat="1" ht="27">
      <c r="A1448" s="858"/>
      <c r="B1448" s="1064" t="s">
        <v>108</v>
      </c>
      <c r="C1448" s="860"/>
      <c r="D1448" s="861">
        <f>SUM(D1449:D1453)</f>
        <v>41918</v>
      </c>
      <c r="E1448" s="861">
        <f>SUM(E1449:E1453)</f>
        <v>0</v>
      </c>
      <c r="F1448" s="519">
        <f t="shared" si="179"/>
        <v>0</v>
      </c>
      <c r="G1448" s="1084"/>
      <c r="H1448" s="861"/>
      <c r="I1448" s="1080"/>
      <c r="J1448" s="862"/>
      <c r="K1448" s="861"/>
      <c r="L1448" s="751"/>
      <c r="M1448" s="1084">
        <f>SUM(M1449:M1453)</f>
        <v>41918</v>
      </c>
      <c r="N1448" s="861">
        <f>SUM(N1449:N1453)</f>
        <v>0</v>
      </c>
      <c r="O1448" s="1080"/>
      <c r="P1448" s="862"/>
      <c r="Q1448" s="861"/>
      <c r="R1448" s="700"/>
    </row>
    <row r="1449" spans="1:18" s="723" customFormat="1" ht="24">
      <c r="A1449" s="728">
        <v>4119</v>
      </c>
      <c r="B1449" s="865" t="s">
        <v>703</v>
      </c>
      <c r="C1449" s="666"/>
      <c r="D1449" s="643">
        <f t="shared" si="175"/>
        <v>4678</v>
      </c>
      <c r="E1449" s="667">
        <f t="shared" si="177"/>
        <v>0</v>
      </c>
      <c r="F1449" s="492"/>
      <c r="G1449" s="794"/>
      <c r="H1449" s="667"/>
      <c r="I1449" s="1021"/>
      <c r="J1449" s="730"/>
      <c r="K1449" s="667"/>
      <c r="L1449" s="649"/>
      <c r="M1449" s="794">
        <v>4678</v>
      </c>
      <c r="N1449" s="667"/>
      <c r="O1449" s="1021">
        <f aca="true" t="shared" si="180" ref="O1449:O1512">N1449/M1449*100</f>
        <v>0</v>
      </c>
      <c r="P1449" s="730"/>
      <c r="Q1449" s="667"/>
      <c r="R1449" s="644"/>
    </row>
    <row r="1450" spans="1:18" s="723" customFormat="1" ht="24">
      <c r="A1450" s="728">
        <v>4179</v>
      </c>
      <c r="B1450" s="865" t="s">
        <v>742</v>
      </c>
      <c r="C1450" s="666"/>
      <c r="D1450" s="643">
        <f t="shared" si="175"/>
        <v>30573</v>
      </c>
      <c r="E1450" s="667">
        <f t="shared" si="177"/>
        <v>0</v>
      </c>
      <c r="F1450" s="492"/>
      <c r="G1450" s="794"/>
      <c r="H1450" s="667"/>
      <c r="I1450" s="1021"/>
      <c r="J1450" s="730"/>
      <c r="K1450" s="667"/>
      <c r="L1450" s="649"/>
      <c r="M1450" s="794">
        <v>30573</v>
      </c>
      <c r="N1450" s="667"/>
      <c r="O1450" s="1021">
        <f t="shared" si="180"/>
        <v>0</v>
      </c>
      <c r="P1450" s="730"/>
      <c r="Q1450" s="667"/>
      <c r="R1450" s="644"/>
    </row>
    <row r="1451" spans="1:18" s="723" customFormat="1" ht="12.75">
      <c r="A1451" s="728">
        <v>4129</v>
      </c>
      <c r="B1451" s="865" t="s">
        <v>109</v>
      </c>
      <c r="C1451" s="666"/>
      <c r="D1451" s="643">
        <f t="shared" si="175"/>
        <v>749</v>
      </c>
      <c r="E1451" s="667">
        <f t="shared" si="177"/>
        <v>0</v>
      </c>
      <c r="F1451" s="492"/>
      <c r="G1451" s="794"/>
      <c r="H1451" s="667"/>
      <c r="I1451" s="1021"/>
      <c r="J1451" s="730"/>
      <c r="K1451" s="667"/>
      <c r="L1451" s="649"/>
      <c r="M1451" s="794">
        <v>749</v>
      </c>
      <c r="N1451" s="667"/>
      <c r="O1451" s="1021">
        <f t="shared" si="180"/>
        <v>0</v>
      </c>
      <c r="P1451" s="730"/>
      <c r="Q1451" s="667"/>
      <c r="R1451" s="644"/>
    </row>
    <row r="1452" spans="1:18" s="723" customFormat="1" ht="24">
      <c r="A1452" s="728">
        <v>4219</v>
      </c>
      <c r="B1452" s="865" t="s">
        <v>110</v>
      </c>
      <c r="C1452" s="666"/>
      <c r="D1452" s="643">
        <f t="shared" si="175"/>
        <v>2618</v>
      </c>
      <c r="E1452" s="667">
        <f t="shared" si="177"/>
        <v>0</v>
      </c>
      <c r="F1452" s="492"/>
      <c r="G1452" s="794"/>
      <c r="H1452" s="667"/>
      <c r="I1452" s="1021"/>
      <c r="J1452" s="730"/>
      <c r="K1452" s="667"/>
      <c r="L1452" s="649"/>
      <c r="M1452" s="794">
        <v>2618</v>
      </c>
      <c r="N1452" s="667"/>
      <c r="O1452" s="1021">
        <f t="shared" si="180"/>
        <v>0</v>
      </c>
      <c r="P1452" s="730"/>
      <c r="Q1452" s="667"/>
      <c r="R1452" s="644"/>
    </row>
    <row r="1453" spans="1:18" s="723" customFormat="1" ht="36.75" thickBot="1">
      <c r="A1453" s="728">
        <v>4750</v>
      </c>
      <c r="B1453" s="850" t="s">
        <v>814</v>
      </c>
      <c r="C1453" s="666"/>
      <c r="D1453" s="643">
        <f t="shared" si="175"/>
        <v>3300</v>
      </c>
      <c r="E1453" s="667">
        <f t="shared" si="177"/>
        <v>0</v>
      </c>
      <c r="F1453" s="492"/>
      <c r="G1453" s="794"/>
      <c r="H1453" s="667"/>
      <c r="I1453" s="1021"/>
      <c r="J1453" s="730"/>
      <c r="K1453" s="667"/>
      <c r="L1453" s="649"/>
      <c r="M1453" s="794">
        <v>3300</v>
      </c>
      <c r="N1453" s="667"/>
      <c r="O1453" s="1021">
        <f t="shared" si="180"/>
        <v>0</v>
      </c>
      <c r="P1453" s="730"/>
      <c r="Q1453" s="667"/>
      <c r="R1453" s="644"/>
    </row>
    <row r="1454" spans="1:18" s="938" customFormat="1" ht="25.5" customHeight="1" thickBot="1" thickTop="1">
      <c r="A1454" s="1085">
        <v>854</v>
      </c>
      <c r="B1454" s="1086" t="s">
        <v>111</v>
      </c>
      <c r="C1454" s="720">
        <f>C1455+C1471+C1498+C1534+C1558+C1604+C1585+C1627+C1632+C1625</f>
        <v>8643400</v>
      </c>
      <c r="D1454" s="618">
        <f t="shared" si="175"/>
        <v>10089076</v>
      </c>
      <c r="E1454" s="618">
        <f>H1454+K1454+Q1454+N1454</f>
        <v>8076265</v>
      </c>
      <c r="F1454" s="742">
        <f t="shared" si="179"/>
        <v>80.04960018142395</v>
      </c>
      <c r="G1454" s="904">
        <f>G1455+G1471+G1498+G1534+G1558+G1585+G1604+G1627+G1632+G1625</f>
        <v>2103535</v>
      </c>
      <c r="H1454" s="623">
        <f>H1455+H1471+H1498+H1534+H1558+H1585+H1604+H1627+H1632+H1625</f>
        <v>1641454</v>
      </c>
      <c r="I1454" s="619">
        <f t="shared" si="178"/>
        <v>78.03312043773933</v>
      </c>
      <c r="J1454" s="622"/>
      <c r="K1454" s="623"/>
      <c r="L1454" s="721"/>
      <c r="M1454" s="623">
        <f>M1455+M1471+M1498+M1534+M1558+M1583+M1585+M1604+M1627+M1632+M1625</f>
        <v>7985541</v>
      </c>
      <c r="N1454" s="623">
        <f>N1455+N1471+N1498+N1534+N1558+N1583+N1585+N1604+N1627+N1632+N1625</f>
        <v>6434811</v>
      </c>
      <c r="O1454" s="742">
        <f t="shared" si="180"/>
        <v>80.58077718215961</v>
      </c>
      <c r="P1454" s="623"/>
      <c r="Q1454" s="623"/>
      <c r="R1454" s="1087"/>
    </row>
    <row r="1455" spans="1:18" s="723" customFormat="1" ht="15.75" customHeight="1" thickTop="1">
      <c r="A1455" s="867">
        <v>85401</v>
      </c>
      <c r="B1455" s="1041" t="s">
        <v>112</v>
      </c>
      <c r="C1455" s="869">
        <f>SUM(C1456:C1470)</f>
        <v>1372800</v>
      </c>
      <c r="D1455" s="727">
        <f t="shared" si="175"/>
        <v>1400090</v>
      </c>
      <c r="E1455" s="871">
        <f>H1455+K1455+Q1455+N1455</f>
        <v>1136615</v>
      </c>
      <c r="F1455" s="1013">
        <f t="shared" si="179"/>
        <v>81.18156689927076</v>
      </c>
      <c r="G1455" s="869">
        <f>SUM(G1456:G1470)</f>
        <v>1161500</v>
      </c>
      <c r="H1455" s="871">
        <f>SUM(H1456:H1470)</f>
        <v>935829</v>
      </c>
      <c r="I1455" s="705">
        <f t="shared" si="178"/>
        <v>80.57072750753336</v>
      </c>
      <c r="J1455" s="872"/>
      <c r="K1455" s="871"/>
      <c r="L1455" s="873"/>
      <c r="M1455" s="871">
        <f>SUM(M1456:M1470)</f>
        <v>238590</v>
      </c>
      <c r="N1455" s="871">
        <f>SUM(N1456:N1470)</f>
        <v>200786</v>
      </c>
      <c r="O1455" s="766">
        <f t="shared" si="180"/>
        <v>84.15524540005867</v>
      </c>
      <c r="P1455" s="871"/>
      <c r="Q1455" s="871"/>
      <c r="R1455" s="299"/>
    </row>
    <row r="1456" spans="1:18" s="882" customFormat="1" ht="36">
      <c r="A1456" s="709">
        <v>3020</v>
      </c>
      <c r="B1456" s="1005" t="s">
        <v>1020</v>
      </c>
      <c r="C1456" s="670">
        <v>3000</v>
      </c>
      <c r="D1456" s="685">
        <f t="shared" si="175"/>
        <v>3000</v>
      </c>
      <c r="E1456" s="686">
        <f aca="true" t="shared" si="181" ref="E1456:E1470">SUM(H1456+K1456+N1456+Q1456)</f>
        <v>816</v>
      </c>
      <c r="F1456" s="1002">
        <f t="shared" si="179"/>
        <v>27.200000000000003</v>
      </c>
      <c r="G1456" s="670">
        <v>2700</v>
      </c>
      <c r="H1456" s="686">
        <v>616</v>
      </c>
      <c r="I1456" s="668">
        <f t="shared" si="178"/>
        <v>22.814814814814817</v>
      </c>
      <c r="J1456" s="777"/>
      <c r="K1456" s="686"/>
      <c r="L1456" s="690"/>
      <c r="M1456" s="686">
        <v>300</v>
      </c>
      <c r="N1456" s="686">
        <f>200+1-1</f>
        <v>200</v>
      </c>
      <c r="O1456" s="758">
        <f t="shared" si="180"/>
        <v>66.66666666666666</v>
      </c>
      <c r="P1456" s="686"/>
      <c r="Q1456" s="686"/>
      <c r="R1456" s="1020"/>
    </row>
    <row r="1457" spans="1:18" s="882" customFormat="1" ht="27" customHeight="1">
      <c r="A1457" s="728">
        <v>4010</v>
      </c>
      <c r="B1457" s="818" t="s">
        <v>697</v>
      </c>
      <c r="C1457" s="666">
        <v>970600</v>
      </c>
      <c r="D1457" s="643">
        <f t="shared" si="175"/>
        <v>994600</v>
      </c>
      <c r="E1457" s="667">
        <f t="shared" si="181"/>
        <v>814922</v>
      </c>
      <c r="F1457" s="644">
        <f t="shared" si="179"/>
        <v>81.93464709430927</v>
      </c>
      <c r="G1457" s="730">
        <f>799600+24000</f>
        <v>823600</v>
      </c>
      <c r="H1457" s="730">
        <v>667665</v>
      </c>
      <c r="I1457" s="492">
        <f t="shared" si="178"/>
        <v>81.06665857212238</v>
      </c>
      <c r="J1457" s="730"/>
      <c r="K1457" s="667"/>
      <c r="L1457" s="649"/>
      <c r="M1457" s="667">
        <v>171000</v>
      </c>
      <c r="N1457" s="667">
        <v>147257</v>
      </c>
      <c r="O1457" s="492">
        <f t="shared" si="180"/>
        <v>86.11520467836257</v>
      </c>
      <c r="P1457" s="667"/>
      <c r="Q1457" s="667"/>
      <c r="R1457" s="1021"/>
    </row>
    <row r="1458" spans="1:18" s="882" customFormat="1" ht="24.75" customHeight="1">
      <c r="A1458" s="728">
        <v>4040</v>
      </c>
      <c r="B1458" s="995" t="s">
        <v>801</v>
      </c>
      <c r="C1458" s="666">
        <v>77300</v>
      </c>
      <c r="D1458" s="643">
        <f t="shared" si="175"/>
        <v>69770</v>
      </c>
      <c r="E1458" s="667">
        <f t="shared" si="181"/>
        <v>69633</v>
      </c>
      <c r="F1458" s="644">
        <f t="shared" si="179"/>
        <v>99.80364053318044</v>
      </c>
      <c r="G1458" s="667">
        <f>67000-7120</f>
        <v>59880</v>
      </c>
      <c r="H1458" s="730">
        <f>59744+1</f>
        <v>59745</v>
      </c>
      <c r="I1458" s="492">
        <f t="shared" si="178"/>
        <v>99.7745490981964</v>
      </c>
      <c r="J1458" s="730"/>
      <c r="K1458" s="667"/>
      <c r="L1458" s="649"/>
      <c r="M1458" s="667">
        <f>10300-410</f>
        <v>9890</v>
      </c>
      <c r="N1458" s="667">
        <v>9888</v>
      </c>
      <c r="O1458" s="492">
        <f t="shared" si="180"/>
        <v>99.97977755308392</v>
      </c>
      <c r="P1458" s="667"/>
      <c r="Q1458" s="667"/>
      <c r="R1458" s="737"/>
    </row>
    <row r="1459" spans="1:18" s="882" customFormat="1" ht="24">
      <c r="A1459" s="728">
        <v>4110</v>
      </c>
      <c r="B1459" s="995" t="s">
        <v>703</v>
      </c>
      <c r="C1459" s="666">
        <v>179600</v>
      </c>
      <c r="D1459" s="643">
        <f t="shared" si="175"/>
        <v>181700</v>
      </c>
      <c r="E1459" s="667">
        <f t="shared" si="181"/>
        <v>133840</v>
      </c>
      <c r="F1459" s="644">
        <f t="shared" si="179"/>
        <v>73.65987892129885</v>
      </c>
      <c r="G1459" s="667">
        <f>149900+2100</f>
        <v>152000</v>
      </c>
      <c r="H1459" s="730">
        <v>110212</v>
      </c>
      <c r="I1459" s="492">
        <f t="shared" si="178"/>
        <v>72.5078947368421</v>
      </c>
      <c r="J1459" s="730"/>
      <c r="K1459" s="667"/>
      <c r="L1459" s="649"/>
      <c r="M1459" s="667">
        <v>29700</v>
      </c>
      <c r="N1459" s="667">
        <v>23628</v>
      </c>
      <c r="O1459" s="492">
        <f t="shared" si="180"/>
        <v>79.55555555555556</v>
      </c>
      <c r="P1459" s="667"/>
      <c r="Q1459" s="667"/>
      <c r="R1459" s="737"/>
    </row>
    <row r="1460" spans="1:18" s="882" customFormat="1" ht="12.75">
      <c r="A1460" s="728">
        <v>4120</v>
      </c>
      <c r="B1460" s="995" t="s">
        <v>847</v>
      </c>
      <c r="C1460" s="666">
        <v>26000</v>
      </c>
      <c r="D1460" s="643">
        <f t="shared" si="175"/>
        <v>26500</v>
      </c>
      <c r="E1460" s="667">
        <f t="shared" si="181"/>
        <v>20728</v>
      </c>
      <c r="F1460" s="644">
        <f t="shared" si="179"/>
        <v>78.2188679245283</v>
      </c>
      <c r="G1460" s="667">
        <f>21700+500</f>
        <v>22200</v>
      </c>
      <c r="H1460" s="730">
        <v>17021</v>
      </c>
      <c r="I1460" s="492">
        <f t="shared" si="178"/>
        <v>76.67117117117117</v>
      </c>
      <c r="J1460" s="730"/>
      <c r="K1460" s="667"/>
      <c r="L1460" s="649"/>
      <c r="M1460" s="667">
        <v>4300</v>
      </c>
      <c r="N1460" s="667">
        <v>3707</v>
      </c>
      <c r="O1460" s="492">
        <f t="shared" si="180"/>
        <v>86.20930232558139</v>
      </c>
      <c r="P1460" s="667"/>
      <c r="Q1460" s="667"/>
      <c r="R1460" s="737"/>
    </row>
    <row r="1461" spans="1:18" s="882" customFormat="1" ht="12.75">
      <c r="A1461" s="728">
        <v>4140</v>
      </c>
      <c r="B1461" s="995" t="s">
        <v>804</v>
      </c>
      <c r="C1461" s="666">
        <v>2700</v>
      </c>
      <c r="D1461" s="643">
        <f t="shared" si="175"/>
        <v>2700</v>
      </c>
      <c r="E1461" s="667">
        <f t="shared" si="181"/>
        <v>2043</v>
      </c>
      <c r="F1461" s="644">
        <f t="shared" si="179"/>
        <v>75.66666666666667</v>
      </c>
      <c r="G1461" s="667">
        <v>2700</v>
      </c>
      <c r="H1461" s="730">
        <v>2043</v>
      </c>
      <c r="I1461" s="492">
        <f t="shared" si="178"/>
        <v>75.66666666666667</v>
      </c>
      <c r="J1461" s="730"/>
      <c r="K1461" s="667"/>
      <c r="L1461" s="649"/>
      <c r="M1461" s="667"/>
      <c r="N1461" s="667"/>
      <c r="O1461" s="647"/>
      <c r="P1461" s="667"/>
      <c r="Q1461" s="667"/>
      <c r="R1461" s="737"/>
    </row>
    <row r="1462" spans="1:18" s="882" customFormat="1" ht="24">
      <c r="A1462" s="728">
        <v>4210</v>
      </c>
      <c r="B1462" s="995" t="s">
        <v>707</v>
      </c>
      <c r="C1462" s="666">
        <v>19600</v>
      </c>
      <c r="D1462" s="643">
        <f t="shared" si="175"/>
        <v>20700</v>
      </c>
      <c r="E1462" s="667">
        <f t="shared" si="181"/>
        <v>8953</v>
      </c>
      <c r="F1462" s="644">
        <f t="shared" si="179"/>
        <v>43.2512077294686</v>
      </c>
      <c r="G1462" s="667">
        <f>17200+1100</f>
        <v>18300</v>
      </c>
      <c r="H1462" s="730">
        <v>8520</v>
      </c>
      <c r="I1462" s="492">
        <f t="shared" si="178"/>
        <v>46.557377049180324</v>
      </c>
      <c r="J1462" s="730"/>
      <c r="K1462" s="667"/>
      <c r="L1462" s="649"/>
      <c r="M1462" s="667">
        <v>2400</v>
      </c>
      <c r="N1462" s="667">
        <v>433</v>
      </c>
      <c r="O1462" s="492">
        <f t="shared" si="180"/>
        <v>18.041666666666668</v>
      </c>
      <c r="P1462" s="667"/>
      <c r="Q1462" s="667"/>
      <c r="R1462" s="737"/>
    </row>
    <row r="1463" spans="1:18" s="882" customFormat="1" ht="36">
      <c r="A1463" s="728">
        <v>4240</v>
      </c>
      <c r="B1463" s="995" t="s">
        <v>1021</v>
      </c>
      <c r="C1463" s="666">
        <v>14400</v>
      </c>
      <c r="D1463" s="643">
        <f t="shared" si="175"/>
        <v>13300</v>
      </c>
      <c r="E1463" s="667">
        <f t="shared" si="181"/>
        <v>2713</v>
      </c>
      <c r="F1463" s="644">
        <f t="shared" si="179"/>
        <v>20.398496240601503</v>
      </c>
      <c r="G1463" s="667">
        <f>13900-1100</f>
        <v>12800</v>
      </c>
      <c r="H1463" s="730">
        <v>2687</v>
      </c>
      <c r="I1463" s="492">
        <f t="shared" si="178"/>
        <v>20.9921875</v>
      </c>
      <c r="J1463" s="730"/>
      <c r="K1463" s="667"/>
      <c r="L1463" s="649"/>
      <c r="M1463" s="667">
        <v>500</v>
      </c>
      <c r="N1463" s="667">
        <v>26</v>
      </c>
      <c r="O1463" s="492">
        <f t="shared" si="180"/>
        <v>5.2</v>
      </c>
      <c r="P1463" s="667"/>
      <c r="Q1463" s="667"/>
      <c r="R1463" s="737"/>
    </row>
    <row r="1464" spans="1:18" s="882" customFormat="1" ht="15" customHeight="1">
      <c r="A1464" s="762">
        <v>4260</v>
      </c>
      <c r="B1464" s="1012" t="s">
        <v>711</v>
      </c>
      <c r="C1464" s="781">
        <v>3000</v>
      </c>
      <c r="D1464" s="765">
        <f t="shared" si="175"/>
        <v>3000</v>
      </c>
      <c r="E1464" s="785">
        <f t="shared" si="181"/>
        <v>3000</v>
      </c>
      <c r="F1464" s="705">
        <f t="shared" si="179"/>
        <v>100</v>
      </c>
      <c r="G1464" s="785"/>
      <c r="H1464" s="782"/>
      <c r="I1464" s="766"/>
      <c r="J1464" s="782"/>
      <c r="K1464" s="785"/>
      <c r="L1464" s="768"/>
      <c r="M1464" s="785">
        <v>3000</v>
      </c>
      <c r="N1464" s="785">
        <v>3000</v>
      </c>
      <c r="O1464" s="766">
        <f t="shared" si="180"/>
        <v>100</v>
      </c>
      <c r="P1464" s="785"/>
      <c r="Q1464" s="785"/>
      <c r="R1464" s="770"/>
    </row>
    <row r="1465" spans="1:18" s="882" customFormat="1" ht="24">
      <c r="A1465" s="728">
        <v>4270</v>
      </c>
      <c r="B1465" s="995" t="s">
        <v>713</v>
      </c>
      <c r="C1465" s="666">
        <v>300</v>
      </c>
      <c r="D1465" s="643">
        <f t="shared" si="175"/>
        <v>300</v>
      </c>
      <c r="E1465" s="667">
        <f t="shared" si="181"/>
        <v>300</v>
      </c>
      <c r="F1465" s="644">
        <f t="shared" si="179"/>
        <v>100</v>
      </c>
      <c r="G1465" s="667"/>
      <c r="H1465" s="730"/>
      <c r="I1465" s="492"/>
      <c r="J1465" s="730"/>
      <c r="K1465" s="667"/>
      <c r="L1465" s="649"/>
      <c r="M1465" s="667">
        <v>300</v>
      </c>
      <c r="N1465" s="667">
        <v>300</v>
      </c>
      <c r="O1465" s="492">
        <f t="shared" si="180"/>
        <v>100</v>
      </c>
      <c r="P1465" s="666"/>
      <c r="Q1465" s="667"/>
      <c r="R1465" s="737"/>
    </row>
    <row r="1466" spans="1:18" s="882" customFormat="1" ht="15.75" customHeight="1">
      <c r="A1466" s="728">
        <v>4280</v>
      </c>
      <c r="B1466" s="995" t="s">
        <v>805</v>
      </c>
      <c r="C1466" s="666">
        <v>100</v>
      </c>
      <c r="D1466" s="643">
        <f t="shared" si="175"/>
        <v>100</v>
      </c>
      <c r="E1466" s="667">
        <f t="shared" si="181"/>
        <v>0</v>
      </c>
      <c r="F1466" s="644">
        <f t="shared" si="179"/>
        <v>0</v>
      </c>
      <c r="G1466" s="667"/>
      <c r="H1466" s="730"/>
      <c r="I1466" s="492"/>
      <c r="J1466" s="730"/>
      <c r="K1466" s="667"/>
      <c r="L1466" s="649"/>
      <c r="M1466" s="667">
        <v>100</v>
      </c>
      <c r="N1466" s="667"/>
      <c r="O1466" s="492">
        <f t="shared" si="180"/>
        <v>0</v>
      </c>
      <c r="P1466" s="667"/>
      <c r="Q1466" s="667"/>
      <c r="R1466" s="737"/>
    </row>
    <row r="1467" spans="1:18" s="882" customFormat="1" ht="15.75" customHeight="1">
      <c r="A1467" s="728">
        <v>4300</v>
      </c>
      <c r="B1467" s="995" t="s">
        <v>715</v>
      </c>
      <c r="C1467" s="666">
        <v>5600</v>
      </c>
      <c r="D1467" s="643">
        <f t="shared" si="175"/>
        <v>5600</v>
      </c>
      <c r="E1467" s="643">
        <f>H1467+K1467+Q1467+N1467</f>
        <v>1247</v>
      </c>
      <c r="F1467" s="644">
        <f t="shared" si="179"/>
        <v>22.267857142857142</v>
      </c>
      <c r="G1467" s="667"/>
      <c r="H1467" s="730"/>
      <c r="I1467" s="492"/>
      <c r="J1467" s="730"/>
      <c r="K1467" s="667"/>
      <c r="L1467" s="649"/>
      <c r="M1467" s="667">
        <v>5600</v>
      </c>
      <c r="N1467" s="667">
        <v>1247</v>
      </c>
      <c r="O1467" s="492">
        <f t="shared" si="180"/>
        <v>22.267857142857142</v>
      </c>
      <c r="P1467" s="667"/>
      <c r="Q1467" s="667"/>
      <c r="R1467" s="737"/>
    </row>
    <row r="1468" spans="1:18" s="882" customFormat="1" ht="48">
      <c r="A1468" s="829">
        <v>4370</v>
      </c>
      <c r="B1468" s="850" t="s">
        <v>916</v>
      </c>
      <c r="C1468" s="666">
        <v>200</v>
      </c>
      <c r="D1468" s="643">
        <f>G1468+J1468+P1468+M1468</f>
        <v>200</v>
      </c>
      <c r="E1468" s="643">
        <f>H1468+K1468+Q1468+N1468</f>
        <v>0</v>
      </c>
      <c r="F1468" s="644">
        <f>E1468/D1468*100</f>
        <v>0</v>
      </c>
      <c r="G1468" s="667"/>
      <c r="H1468" s="730"/>
      <c r="I1468" s="492"/>
      <c r="J1468" s="730"/>
      <c r="K1468" s="667"/>
      <c r="L1468" s="649"/>
      <c r="M1468" s="667">
        <v>200</v>
      </c>
      <c r="N1468" s="667"/>
      <c r="O1468" s="492">
        <f t="shared" si="180"/>
        <v>0</v>
      </c>
      <c r="P1468" s="667"/>
      <c r="Q1468" s="667"/>
      <c r="R1468" s="737"/>
    </row>
    <row r="1469" spans="1:18" s="882" customFormat="1" ht="15.75" customHeight="1">
      <c r="A1469" s="728">
        <v>4440</v>
      </c>
      <c r="B1469" s="818" t="s">
        <v>983</v>
      </c>
      <c r="C1469" s="666">
        <v>70200</v>
      </c>
      <c r="D1469" s="643">
        <f>G1469+J1469+P1469+M1469</f>
        <v>78420</v>
      </c>
      <c r="E1469" s="643">
        <f>H1469+K1469+Q1469+N1469</f>
        <v>78420</v>
      </c>
      <c r="F1469" s="644">
        <f>E1469/D1469*100</f>
        <v>100</v>
      </c>
      <c r="G1469" s="667">
        <f>60200+7120</f>
        <v>67320</v>
      </c>
      <c r="H1469" s="730">
        <v>67320</v>
      </c>
      <c r="I1469" s="492">
        <f>H1469/G1469*100</f>
        <v>100</v>
      </c>
      <c r="J1469" s="730"/>
      <c r="K1469" s="667"/>
      <c r="L1469" s="649"/>
      <c r="M1469" s="667">
        <f>10000+410+690</f>
        <v>11100</v>
      </c>
      <c r="N1469" s="667">
        <v>11100</v>
      </c>
      <c r="O1469" s="492">
        <f t="shared" si="180"/>
        <v>100</v>
      </c>
      <c r="P1469" s="667"/>
      <c r="Q1469" s="667"/>
      <c r="R1469" s="737"/>
    </row>
    <row r="1470" spans="1:18" s="882" customFormat="1" ht="36">
      <c r="A1470" s="829">
        <v>4700</v>
      </c>
      <c r="B1470" s="850" t="s">
        <v>813</v>
      </c>
      <c r="C1470" s="781">
        <v>200</v>
      </c>
      <c r="D1470" s="765">
        <f t="shared" si="175"/>
        <v>200</v>
      </c>
      <c r="E1470" s="785">
        <f t="shared" si="181"/>
        <v>0</v>
      </c>
      <c r="F1470" s="705">
        <f t="shared" si="179"/>
        <v>0</v>
      </c>
      <c r="G1470" s="785"/>
      <c r="H1470" s="782"/>
      <c r="I1470" s="707"/>
      <c r="J1470" s="782"/>
      <c r="K1470" s="785"/>
      <c r="L1470" s="768"/>
      <c r="M1470" s="785">
        <v>200</v>
      </c>
      <c r="N1470" s="785"/>
      <c r="O1470" s="492">
        <f t="shared" si="180"/>
        <v>0</v>
      </c>
      <c r="P1470" s="785"/>
      <c r="Q1470" s="785"/>
      <c r="R1470" s="770"/>
    </row>
    <row r="1471" spans="1:18" s="882" customFormat="1" ht="22.5" customHeight="1">
      <c r="A1471" s="724">
        <v>85403</v>
      </c>
      <c r="B1471" s="994" t="s">
        <v>113</v>
      </c>
      <c r="C1471" s="726">
        <f>SUM(C1472:C1497)</f>
        <v>1257800</v>
      </c>
      <c r="D1471" s="674">
        <f t="shared" si="175"/>
        <v>1274800</v>
      </c>
      <c r="E1471" s="657">
        <f>H1471+K1471+Q1471+N1471</f>
        <v>1025593</v>
      </c>
      <c r="F1471" s="658">
        <f t="shared" si="179"/>
        <v>80.45128647631002</v>
      </c>
      <c r="G1471" s="657"/>
      <c r="H1471" s="662"/>
      <c r="I1471" s="317"/>
      <c r="J1471" s="662"/>
      <c r="K1471" s="657"/>
      <c r="L1471" s="663"/>
      <c r="M1471" s="657">
        <f>SUM(M1472:M1497)</f>
        <v>1274800</v>
      </c>
      <c r="N1471" s="657">
        <f>SUM(N1472:N1497)</f>
        <v>1025593</v>
      </c>
      <c r="O1471" s="890">
        <f t="shared" si="180"/>
        <v>80.45128647631002</v>
      </c>
      <c r="P1471" s="657"/>
      <c r="Q1471" s="657"/>
      <c r="R1471" s="842"/>
    </row>
    <row r="1472" spans="1:18" s="882" customFormat="1" ht="36">
      <c r="A1472" s="709">
        <v>3020</v>
      </c>
      <c r="B1472" s="995" t="s">
        <v>1020</v>
      </c>
      <c r="C1472" s="670">
        <v>3700</v>
      </c>
      <c r="D1472" s="685">
        <f t="shared" si="175"/>
        <v>3700</v>
      </c>
      <c r="E1472" s="686">
        <f aca="true" t="shared" si="182" ref="E1472:E1497">SUM(H1472+K1472+N1472+Q1472)</f>
        <v>2223</v>
      </c>
      <c r="F1472" s="668">
        <f t="shared" si="179"/>
        <v>60.08108108108108</v>
      </c>
      <c r="G1472" s="686"/>
      <c r="H1472" s="777"/>
      <c r="I1472" s="779"/>
      <c r="J1472" s="777"/>
      <c r="K1472" s="686"/>
      <c r="L1472" s="690"/>
      <c r="M1472" s="670">
        <v>3700</v>
      </c>
      <c r="N1472" s="686">
        <v>2223</v>
      </c>
      <c r="O1472" s="758">
        <f t="shared" si="180"/>
        <v>60.08108108108108</v>
      </c>
      <c r="P1472" s="686"/>
      <c r="Q1472" s="686"/>
      <c r="R1472" s="760"/>
    </row>
    <row r="1473" spans="1:18" s="882" customFormat="1" ht="12.75" hidden="1">
      <c r="A1473" s="728">
        <v>3110</v>
      </c>
      <c r="B1473" s="995" t="s">
        <v>1024</v>
      </c>
      <c r="C1473" s="666"/>
      <c r="D1473" s="643">
        <f t="shared" si="175"/>
        <v>0</v>
      </c>
      <c r="E1473" s="667">
        <f t="shared" si="182"/>
        <v>0</v>
      </c>
      <c r="F1473" s="644" t="e">
        <f t="shared" si="179"/>
        <v>#DIV/0!</v>
      </c>
      <c r="G1473" s="667"/>
      <c r="H1473" s="730"/>
      <c r="I1473" s="731"/>
      <c r="J1473" s="730"/>
      <c r="K1473" s="667"/>
      <c r="L1473" s="649"/>
      <c r="M1473" s="666"/>
      <c r="N1473" s="667"/>
      <c r="O1473" s="492" t="e">
        <f t="shared" si="180"/>
        <v>#DIV/0!</v>
      </c>
      <c r="P1473" s="667"/>
      <c r="Q1473" s="667"/>
      <c r="R1473" s="737"/>
    </row>
    <row r="1474" spans="1:18" s="882" customFormat="1" ht="24">
      <c r="A1474" s="728">
        <v>4010</v>
      </c>
      <c r="B1474" s="995" t="s">
        <v>697</v>
      </c>
      <c r="C1474" s="666">
        <v>780000</v>
      </c>
      <c r="D1474" s="643">
        <f t="shared" si="175"/>
        <v>780000</v>
      </c>
      <c r="E1474" s="667">
        <f t="shared" si="182"/>
        <v>641351</v>
      </c>
      <c r="F1474" s="644">
        <f t="shared" si="179"/>
        <v>82.22448717948718</v>
      </c>
      <c r="G1474" s="667"/>
      <c r="H1474" s="730"/>
      <c r="I1474" s="731"/>
      <c r="J1474" s="730"/>
      <c r="K1474" s="667"/>
      <c r="L1474" s="649"/>
      <c r="M1474" s="666">
        <v>780000</v>
      </c>
      <c r="N1474" s="667">
        <v>641351</v>
      </c>
      <c r="O1474" s="492">
        <f t="shared" si="180"/>
        <v>82.22448717948718</v>
      </c>
      <c r="P1474" s="667"/>
      <c r="Q1474" s="667"/>
      <c r="R1474" s="737"/>
    </row>
    <row r="1475" spans="1:18" s="882" customFormat="1" ht="24">
      <c r="A1475" s="728">
        <v>4040</v>
      </c>
      <c r="B1475" s="995" t="s">
        <v>701</v>
      </c>
      <c r="C1475" s="666">
        <v>62800</v>
      </c>
      <c r="D1475" s="643">
        <f t="shared" si="175"/>
        <v>62800</v>
      </c>
      <c r="E1475" s="667">
        <f t="shared" si="182"/>
        <v>62800</v>
      </c>
      <c r="F1475" s="644">
        <f t="shared" si="179"/>
        <v>100</v>
      </c>
      <c r="G1475" s="667"/>
      <c r="H1475" s="730"/>
      <c r="I1475" s="731"/>
      <c r="J1475" s="730"/>
      <c r="K1475" s="667"/>
      <c r="L1475" s="649"/>
      <c r="M1475" s="666">
        <v>62800</v>
      </c>
      <c r="N1475" s="667">
        <v>62800</v>
      </c>
      <c r="O1475" s="492">
        <f t="shared" si="180"/>
        <v>100</v>
      </c>
      <c r="P1475" s="667"/>
      <c r="Q1475" s="667"/>
      <c r="R1475" s="737"/>
    </row>
    <row r="1476" spans="1:18" s="882" customFormat="1" ht="24">
      <c r="A1476" s="728">
        <v>4110</v>
      </c>
      <c r="B1476" s="995" t="s">
        <v>703</v>
      </c>
      <c r="C1476" s="666">
        <v>148000</v>
      </c>
      <c r="D1476" s="643">
        <f t="shared" si="175"/>
        <v>148000</v>
      </c>
      <c r="E1476" s="667">
        <f t="shared" si="182"/>
        <v>108954</v>
      </c>
      <c r="F1476" s="644">
        <f t="shared" si="179"/>
        <v>73.61756756756756</v>
      </c>
      <c r="G1476" s="667"/>
      <c r="H1476" s="730"/>
      <c r="I1476" s="731"/>
      <c r="J1476" s="730"/>
      <c r="K1476" s="667"/>
      <c r="L1476" s="649"/>
      <c r="M1476" s="666">
        <v>148000</v>
      </c>
      <c r="N1476" s="667">
        <v>108954</v>
      </c>
      <c r="O1476" s="492">
        <f t="shared" si="180"/>
        <v>73.61756756756756</v>
      </c>
      <c r="P1476" s="667"/>
      <c r="Q1476" s="667"/>
      <c r="R1476" s="737"/>
    </row>
    <row r="1477" spans="1:18" s="882" customFormat="1" ht="12.75">
      <c r="A1477" s="728">
        <v>4120</v>
      </c>
      <c r="B1477" s="995" t="s">
        <v>847</v>
      </c>
      <c r="C1477" s="666">
        <v>20600</v>
      </c>
      <c r="D1477" s="643">
        <f t="shared" si="175"/>
        <v>20600</v>
      </c>
      <c r="E1477" s="667">
        <f t="shared" si="182"/>
        <v>16487</v>
      </c>
      <c r="F1477" s="644">
        <f t="shared" si="179"/>
        <v>80.03398058252426</v>
      </c>
      <c r="G1477" s="667"/>
      <c r="H1477" s="730"/>
      <c r="I1477" s="731"/>
      <c r="J1477" s="730"/>
      <c r="K1477" s="667"/>
      <c r="L1477" s="649"/>
      <c r="M1477" s="666">
        <v>20600</v>
      </c>
      <c r="N1477" s="667">
        <v>16487</v>
      </c>
      <c r="O1477" s="492">
        <f t="shared" si="180"/>
        <v>80.03398058252426</v>
      </c>
      <c r="P1477" s="667"/>
      <c r="Q1477" s="667"/>
      <c r="R1477" s="737"/>
    </row>
    <row r="1478" spans="1:18" s="882" customFormat="1" ht="24" hidden="1">
      <c r="A1478" s="728">
        <v>4130</v>
      </c>
      <c r="B1478" s="995" t="s">
        <v>1025</v>
      </c>
      <c r="C1478" s="666"/>
      <c r="D1478" s="643">
        <f t="shared" si="175"/>
        <v>0</v>
      </c>
      <c r="E1478" s="667">
        <f>H1478+K1478+Q1478+N1478</f>
        <v>0</v>
      </c>
      <c r="F1478" s="644" t="e">
        <f t="shared" si="179"/>
        <v>#DIV/0!</v>
      </c>
      <c r="G1478" s="667"/>
      <c r="H1478" s="730"/>
      <c r="I1478" s="731"/>
      <c r="J1478" s="730"/>
      <c r="K1478" s="667"/>
      <c r="L1478" s="649"/>
      <c r="M1478" s="666"/>
      <c r="N1478" s="667"/>
      <c r="O1478" s="492" t="e">
        <f t="shared" si="180"/>
        <v>#DIV/0!</v>
      </c>
      <c r="P1478" s="667"/>
      <c r="Q1478" s="667"/>
      <c r="R1478" s="737"/>
    </row>
    <row r="1479" spans="1:18" s="882" customFormat="1" ht="24">
      <c r="A1479" s="728">
        <v>4170</v>
      </c>
      <c r="B1479" s="995" t="s">
        <v>742</v>
      </c>
      <c r="C1479" s="666">
        <v>1000</v>
      </c>
      <c r="D1479" s="643">
        <f t="shared" si="175"/>
        <v>1000</v>
      </c>
      <c r="E1479" s="667">
        <f>H1479+K1479+Q1479+N1479</f>
        <v>185</v>
      </c>
      <c r="F1479" s="644">
        <f t="shared" si="179"/>
        <v>18.5</v>
      </c>
      <c r="G1479" s="667"/>
      <c r="H1479" s="730"/>
      <c r="I1479" s="731"/>
      <c r="J1479" s="730"/>
      <c r="K1479" s="667"/>
      <c r="L1479" s="649"/>
      <c r="M1479" s="666">
        <v>1000</v>
      </c>
      <c r="N1479" s="667">
        <v>185</v>
      </c>
      <c r="O1479" s="492">
        <f t="shared" si="180"/>
        <v>18.5</v>
      </c>
      <c r="P1479" s="667"/>
      <c r="Q1479" s="667"/>
      <c r="R1479" s="737"/>
    </row>
    <row r="1480" spans="1:18" s="882" customFormat="1" ht="24">
      <c r="A1480" s="728">
        <v>4210</v>
      </c>
      <c r="B1480" s="995" t="s">
        <v>707</v>
      </c>
      <c r="C1480" s="666">
        <v>50000</v>
      </c>
      <c r="D1480" s="643">
        <f t="shared" si="175"/>
        <v>54400</v>
      </c>
      <c r="E1480" s="667">
        <f t="shared" si="182"/>
        <v>36383</v>
      </c>
      <c r="F1480" s="644">
        <f t="shared" si="179"/>
        <v>66.88051470588235</v>
      </c>
      <c r="G1480" s="667"/>
      <c r="H1480" s="730"/>
      <c r="I1480" s="731"/>
      <c r="J1480" s="730"/>
      <c r="K1480" s="667"/>
      <c r="L1480" s="649"/>
      <c r="M1480" s="666">
        <f>50000+4400</f>
        <v>54400</v>
      </c>
      <c r="N1480" s="667">
        <v>36383</v>
      </c>
      <c r="O1480" s="492">
        <f t="shared" si="180"/>
        <v>66.88051470588235</v>
      </c>
      <c r="P1480" s="667"/>
      <c r="Q1480" s="667"/>
      <c r="R1480" s="737"/>
    </row>
    <row r="1481" spans="1:18" s="882" customFormat="1" ht="24">
      <c r="A1481" s="728">
        <v>4220</v>
      </c>
      <c r="B1481" s="995" t="s">
        <v>980</v>
      </c>
      <c r="C1481" s="666">
        <v>60000</v>
      </c>
      <c r="D1481" s="643">
        <f t="shared" si="175"/>
        <v>60000</v>
      </c>
      <c r="E1481" s="667">
        <f t="shared" si="182"/>
        <v>37312</v>
      </c>
      <c r="F1481" s="644">
        <f t="shared" si="179"/>
        <v>62.18666666666667</v>
      </c>
      <c r="G1481" s="667"/>
      <c r="H1481" s="730"/>
      <c r="I1481" s="731"/>
      <c r="J1481" s="730"/>
      <c r="K1481" s="667"/>
      <c r="L1481" s="649"/>
      <c r="M1481" s="666">
        <v>60000</v>
      </c>
      <c r="N1481" s="667">
        <v>37312</v>
      </c>
      <c r="O1481" s="492">
        <f t="shared" si="180"/>
        <v>62.18666666666667</v>
      </c>
      <c r="P1481" s="667"/>
      <c r="Q1481" s="667"/>
      <c r="R1481" s="737"/>
    </row>
    <row r="1482" spans="1:18" s="882" customFormat="1" ht="36">
      <c r="A1482" s="728">
        <v>4240</v>
      </c>
      <c r="B1482" s="995" t="s">
        <v>114</v>
      </c>
      <c r="C1482" s="666">
        <v>4000</v>
      </c>
      <c r="D1482" s="643">
        <f t="shared" si="175"/>
        <v>4000</v>
      </c>
      <c r="E1482" s="667">
        <f t="shared" si="182"/>
        <v>3124</v>
      </c>
      <c r="F1482" s="644">
        <f t="shared" si="179"/>
        <v>78.10000000000001</v>
      </c>
      <c r="G1482" s="667"/>
      <c r="H1482" s="730"/>
      <c r="I1482" s="731"/>
      <c r="J1482" s="730"/>
      <c r="K1482" s="667"/>
      <c r="L1482" s="649"/>
      <c r="M1482" s="666">
        <v>4000</v>
      </c>
      <c r="N1482" s="667">
        <v>3124</v>
      </c>
      <c r="O1482" s="492">
        <f t="shared" si="180"/>
        <v>78.10000000000001</v>
      </c>
      <c r="P1482" s="667"/>
      <c r="Q1482" s="667"/>
      <c r="R1482" s="737"/>
    </row>
    <row r="1483" spans="1:18" s="882" customFormat="1" ht="12.75">
      <c r="A1483" s="728">
        <v>4260</v>
      </c>
      <c r="B1483" s="995" t="s">
        <v>711</v>
      </c>
      <c r="C1483" s="666">
        <v>40000</v>
      </c>
      <c r="D1483" s="643">
        <f t="shared" si="175"/>
        <v>40000</v>
      </c>
      <c r="E1483" s="667">
        <f t="shared" si="182"/>
        <v>30589</v>
      </c>
      <c r="F1483" s="644">
        <f t="shared" si="179"/>
        <v>76.4725</v>
      </c>
      <c r="G1483" s="667"/>
      <c r="H1483" s="730"/>
      <c r="I1483" s="731"/>
      <c r="J1483" s="730"/>
      <c r="K1483" s="667"/>
      <c r="L1483" s="649"/>
      <c r="M1483" s="666">
        <v>40000</v>
      </c>
      <c r="N1483" s="667">
        <v>30589</v>
      </c>
      <c r="O1483" s="492">
        <f t="shared" si="180"/>
        <v>76.4725</v>
      </c>
      <c r="P1483" s="667"/>
      <c r="Q1483" s="667"/>
      <c r="R1483" s="737"/>
    </row>
    <row r="1484" spans="1:18" s="882" customFormat="1" ht="24">
      <c r="A1484" s="728">
        <v>4270</v>
      </c>
      <c r="B1484" s="995" t="s">
        <v>713</v>
      </c>
      <c r="C1484" s="666">
        <v>8000</v>
      </c>
      <c r="D1484" s="643">
        <f t="shared" si="175"/>
        <v>8000</v>
      </c>
      <c r="E1484" s="667">
        <f t="shared" si="182"/>
        <v>5933</v>
      </c>
      <c r="F1484" s="644">
        <f t="shared" si="179"/>
        <v>74.1625</v>
      </c>
      <c r="G1484" s="667"/>
      <c r="H1484" s="730"/>
      <c r="I1484" s="731"/>
      <c r="J1484" s="730"/>
      <c r="K1484" s="667"/>
      <c r="L1484" s="649"/>
      <c r="M1484" s="666">
        <v>8000</v>
      </c>
      <c r="N1484" s="667">
        <v>5933</v>
      </c>
      <c r="O1484" s="492">
        <f t="shared" si="180"/>
        <v>74.1625</v>
      </c>
      <c r="P1484" s="667"/>
      <c r="Q1484" s="667"/>
      <c r="R1484" s="737"/>
    </row>
    <row r="1485" spans="1:18" s="882" customFormat="1" ht="24">
      <c r="A1485" s="728">
        <v>4280</v>
      </c>
      <c r="B1485" s="995" t="s">
        <v>805</v>
      </c>
      <c r="C1485" s="666">
        <v>1600</v>
      </c>
      <c r="D1485" s="643">
        <f t="shared" si="175"/>
        <v>1600</v>
      </c>
      <c r="E1485" s="667">
        <f t="shared" si="182"/>
        <v>335</v>
      </c>
      <c r="F1485" s="644">
        <f t="shared" si="179"/>
        <v>20.9375</v>
      </c>
      <c r="G1485" s="667"/>
      <c r="H1485" s="730"/>
      <c r="I1485" s="731"/>
      <c r="J1485" s="730"/>
      <c r="K1485" s="667"/>
      <c r="L1485" s="649"/>
      <c r="M1485" s="666">
        <v>1600</v>
      </c>
      <c r="N1485" s="667">
        <v>335</v>
      </c>
      <c r="O1485" s="492">
        <f t="shared" si="180"/>
        <v>20.9375</v>
      </c>
      <c r="P1485" s="667"/>
      <c r="Q1485" s="667"/>
      <c r="R1485" s="737"/>
    </row>
    <row r="1486" spans="1:18" s="882" customFormat="1" ht="24">
      <c r="A1486" s="762">
        <v>4300</v>
      </c>
      <c r="B1486" s="1012" t="s">
        <v>715</v>
      </c>
      <c r="C1486" s="781">
        <v>15000</v>
      </c>
      <c r="D1486" s="765">
        <f t="shared" si="175"/>
        <v>15000</v>
      </c>
      <c r="E1486" s="785">
        <f t="shared" si="182"/>
        <v>9639</v>
      </c>
      <c r="F1486" s="705">
        <f t="shared" si="179"/>
        <v>64.25999999999999</v>
      </c>
      <c r="G1486" s="785"/>
      <c r="H1486" s="782"/>
      <c r="I1486" s="786"/>
      <c r="J1486" s="782"/>
      <c r="K1486" s="785"/>
      <c r="L1486" s="768"/>
      <c r="M1486" s="781">
        <v>15000</v>
      </c>
      <c r="N1486" s="785">
        <v>9639</v>
      </c>
      <c r="O1486" s="766">
        <f t="shared" si="180"/>
        <v>64.25999999999999</v>
      </c>
      <c r="P1486" s="785"/>
      <c r="Q1486" s="785"/>
      <c r="R1486" s="770"/>
    </row>
    <row r="1487" spans="1:18" s="882" customFormat="1" ht="24">
      <c r="A1487" s="728">
        <v>4350</v>
      </c>
      <c r="B1487" s="995" t="s">
        <v>807</v>
      </c>
      <c r="C1487" s="666">
        <v>600</v>
      </c>
      <c r="D1487" s="643">
        <f t="shared" si="175"/>
        <v>600</v>
      </c>
      <c r="E1487" s="667">
        <f t="shared" si="182"/>
        <v>532</v>
      </c>
      <c r="F1487" s="644">
        <f t="shared" si="179"/>
        <v>88.66666666666667</v>
      </c>
      <c r="G1487" s="667"/>
      <c r="H1487" s="730"/>
      <c r="I1487" s="731"/>
      <c r="J1487" s="730"/>
      <c r="K1487" s="667"/>
      <c r="L1487" s="649"/>
      <c r="M1487" s="666">
        <v>600</v>
      </c>
      <c r="N1487" s="667">
        <v>532</v>
      </c>
      <c r="O1487" s="492">
        <f t="shared" si="180"/>
        <v>88.66666666666667</v>
      </c>
      <c r="P1487" s="667"/>
      <c r="Q1487" s="667"/>
      <c r="R1487" s="737"/>
    </row>
    <row r="1488" spans="1:18" s="882" customFormat="1" ht="48">
      <c r="A1488" s="829">
        <v>4360</v>
      </c>
      <c r="B1488" s="850" t="s">
        <v>982</v>
      </c>
      <c r="C1488" s="666">
        <v>1000</v>
      </c>
      <c r="D1488" s="643">
        <f>G1488+J1488+P1488+M1488</f>
        <v>1000</v>
      </c>
      <c r="E1488" s="667">
        <f>SUM(H1488+K1488+N1488+Q1488)</f>
        <v>830</v>
      </c>
      <c r="F1488" s="644">
        <f>E1488/D1488*100</f>
        <v>83</v>
      </c>
      <c r="G1488" s="667"/>
      <c r="H1488" s="730"/>
      <c r="I1488" s="731"/>
      <c r="J1488" s="730"/>
      <c r="K1488" s="667"/>
      <c r="L1488" s="649"/>
      <c r="M1488" s="666">
        <v>1000</v>
      </c>
      <c r="N1488" s="667">
        <v>830</v>
      </c>
      <c r="O1488" s="492">
        <f t="shared" si="180"/>
        <v>83</v>
      </c>
      <c r="P1488" s="667"/>
      <c r="Q1488" s="667"/>
      <c r="R1488" s="737"/>
    </row>
    <row r="1489" spans="1:18" s="882" customFormat="1" ht="48">
      <c r="A1489" s="829">
        <v>4370</v>
      </c>
      <c r="B1489" s="850" t="s">
        <v>916</v>
      </c>
      <c r="C1489" s="666">
        <v>2200</v>
      </c>
      <c r="D1489" s="643">
        <f>G1489+J1489+P1489+M1489</f>
        <v>2200</v>
      </c>
      <c r="E1489" s="667">
        <f>SUM(H1489+K1489+N1489+Q1489)</f>
        <v>1770</v>
      </c>
      <c r="F1489" s="644">
        <f>E1489/D1489*100</f>
        <v>80.45454545454545</v>
      </c>
      <c r="G1489" s="667"/>
      <c r="H1489" s="730"/>
      <c r="I1489" s="731"/>
      <c r="J1489" s="730"/>
      <c r="K1489" s="667"/>
      <c r="L1489" s="649"/>
      <c r="M1489" s="666">
        <v>2200</v>
      </c>
      <c r="N1489" s="667">
        <v>1770</v>
      </c>
      <c r="O1489" s="492">
        <f t="shared" si="180"/>
        <v>80.45454545454545</v>
      </c>
      <c r="P1489" s="667"/>
      <c r="Q1489" s="667"/>
      <c r="R1489" s="737"/>
    </row>
    <row r="1490" spans="1:18" s="882" customFormat="1" ht="36">
      <c r="A1490" s="728">
        <v>4390</v>
      </c>
      <c r="B1490" s="865" t="s">
        <v>743</v>
      </c>
      <c r="C1490" s="666">
        <v>1000</v>
      </c>
      <c r="D1490" s="643">
        <f>G1490+J1490+P1490+M1490</f>
        <v>1000</v>
      </c>
      <c r="E1490" s="667">
        <f>SUM(H1490+K1490+N1490+Q1490)</f>
        <v>0</v>
      </c>
      <c r="F1490" s="644">
        <f>E1490/D1490*100</f>
        <v>0</v>
      </c>
      <c r="G1490" s="667"/>
      <c r="H1490" s="730"/>
      <c r="I1490" s="731"/>
      <c r="J1490" s="730"/>
      <c r="K1490" s="667"/>
      <c r="L1490" s="649"/>
      <c r="M1490" s="666">
        <v>1000</v>
      </c>
      <c r="N1490" s="667"/>
      <c r="O1490" s="492">
        <f t="shared" si="180"/>
        <v>0</v>
      </c>
      <c r="P1490" s="667"/>
      <c r="Q1490" s="667"/>
      <c r="R1490" s="737"/>
    </row>
    <row r="1491" spans="1:18" s="882" customFormat="1" ht="24">
      <c r="A1491" s="728">
        <v>4410</v>
      </c>
      <c r="B1491" s="995" t="s">
        <v>689</v>
      </c>
      <c r="C1491" s="666">
        <v>300</v>
      </c>
      <c r="D1491" s="643">
        <f t="shared" si="175"/>
        <v>300</v>
      </c>
      <c r="E1491" s="667">
        <f t="shared" si="182"/>
        <v>29</v>
      </c>
      <c r="F1491" s="644">
        <f t="shared" si="179"/>
        <v>9.666666666666666</v>
      </c>
      <c r="G1491" s="667"/>
      <c r="H1491" s="730"/>
      <c r="I1491" s="731"/>
      <c r="J1491" s="730"/>
      <c r="K1491" s="667"/>
      <c r="L1491" s="649"/>
      <c r="M1491" s="666">
        <v>300</v>
      </c>
      <c r="N1491" s="667">
        <v>29</v>
      </c>
      <c r="O1491" s="492">
        <f t="shared" si="180"/>
        <v>9.666666666666666</v>
      </c>
      <c r="P1491" s="667"/>
      <c r="Q1491" s="667"/>
      <c r="R1491" s="737"/>
    </row>
    <row r="1492" spans="1:18" s="882" customFormat="1" ht="12.75">
      <c r="A1492" s="728">
        <v>4440</v>
      </c>
      <c r="B1492" s="818" t="s">
        <v>719</v>
      </c>
      <c r="C1492" s="666">
        <v>42500</v>
      </c>
      <c r="D1492" s="643">
        <f t="shared" si="175"/>
        <v>48100</v>
      </c>
      <c r="E1492" s="667">
        <f t="shared" si="182"/>
        <v>48100</v>
      </c>
      <c r="F1492" s="644">
        <f>E1492/D1492*100</f>
        <v>100</v>
      </c>
      <c r="G1492" s="667"/>
      <c r="H1492" s="730"/>
      <c r="I1492" s="731"/>
      <c r="J1492" s="730"/>
      <c r="K1492" s="667"/>
      <c r="L1492" s="649"/>
      <c r="M1492" s="666">
        <f>42500+5600</f>
        <v>48100</v>
      </c>
      <c r="N1492" s="667">
        <v>48100</v>
      </c>
      <c r="O1492" s="492">
        <f t="shared" si="180"/>
        <v>100</v>
      </c>
      <c r="P1492" s="667"/>
      <c r="Q1492" s="667"/>
      <c r="R1492" s="737"/>
    </row>
    <row r="1493" spans="1:18" s="882" customFormat="1" ht="36">
      <c r="A1493" s="829">
        <v>4700</v>
      </c>
      <c r="B1493" s="850" t="s">
        <v>813</v>
      </c>
      <c r="C1493" s="666">
        <v>3000</v>
      </c>
      <c r="D1493" s="643">
        <f aca="true" t="shared" si="183" ref="D1493:D1559">G1493+J1493+P1493+M1493</f>
        <v>3000</v>
      </c>
      <c r="E1493" s="667">
        <f t="shared" si="182"/>
        <v>1699</v>
      </c>
      <c r="F1493" s="644">
        <f>E1493/D1493*100</f>
        <v>56.63333333333333</v>
      </c>
      <c r="G1493" s="667"/>
      <c r="H1493" s="730"/>
      <c r="I1493" s="731"/>
      <c r="J1493" s="730"/>
      <c r="K1493" s="667"/>
      <c r="L1493" s="649"/>
      <c r="M1493" s="666">
        <v>3000</v>
      </c>
      <c r="N1493" s="667">
        <v>1699</v>
      </c>
      <c r="O1493" s="492">
        <f t="shared" si="180"/>
        <v>56.63333333333333</v>
      </c>
      <c r="P1493" s="667"/>
      <c r="Q1493" s="667"/>
      <c r="R1493" s="737"/>
    </row>
    <row r="1494" spans="1:18" s="882" customFormat="1" ht="60">
      <c r="A1494" s="829">
        <v>4740</v>
      </c>
      <c r="B1494" s="850" t="s">
        <v>728</v>
      </c>
      <c r="C1494" s="666">
        <v>1500</v>
      </c>
      <c r="D1494" s="643">
        <f t="shared" si="183"/>
        <v>1500</v>
      </c>
      <c r="E1494" s="667">
        <f>SUM(H1494+K1494+N1494+Q1494)</f>
        <v>204</v>
      </c>
      <c r="F1494" s="644">
        <f>E1494/D1494*100</f>
        <v>13.600000000000001</v>
      </c>
      <c r="G1494" s="667"/>
      <c r="H1494" s="730"/>
      <c r="I1494" s="731"/>
      <c r="J1494" s="730"/>
      <c r="K1494" s="667"/>
      <c r="L1494" s="649"/>
      <c r="M1494" s="666">
        <v>1500</v>
      </c>
      <c r="N1494" s="667">
        <v>204</v>
      </c>
      <c r="O1494" s="492">
        <f t="shared" si="180"/>
        <v>13.600000000000001</v>
      </c>
      <c r="P1494" s="667"/>
      <c r="Q1494" s="667"/>
      <c r="R1494" s="737"/>
    </row>
    <row r="1495" spans="1:18" s="882" customFormat="1" ht="36">
      <c r="A1495" s="829">
        <v>4750</v>
      </c>
      <c r="B1495" s="850" t="s">
        <v>814</v>
      </c>
      <c r="C1495" s="666">
        <v>2000</v>
      </c>
      <c r="D1495" s="643">
        <f t="shared" si="183"/>
        <v>2000</v>
      </c>
      <c r="E1495" s="667">
        <f>SUM(H1495+K1495+N1495+Q1495)</f>
        <v>1449</v>
      </c>
      <c r="F1495" s="644">
        <f>E1495/D1495*100</f>
        <v>72.45</v>
      </c>
      <c r="G1495" s="667"/>
      <c r="H1495" s="730"/>
      <c r="I1495" s="731"/>
      <c r="J1495" s="730"/>
      <c r="K1495" s="667"/>
      <c r="L1495" s="649"/>
      <c r="M1495" s="666">
        <v>2000</v>
      </c>
      <c r="N1495" s="667">
        <v>1449</v>
      </c>
      <c r="O1495" s="492">
        <f t="shared" si="180"/>
        <v>72.45</v>
      </c>
      <c r="P1495" s="667"/>
      <c r="Q1495" s="667"/>
      <c r="R1495" s="737"/>
    </row>
    <row r="1496" spans="1:18" s="882" customFormat="1" ht="24">
      <c r="A1496" s="829">
        <v>6050</v>
      </c>
      <c r="B1496" s="850" t="s">
        <v>739</v>
      </c>
      <c r="C1496" s="666"/>
      <c r="D1496" s="643">
        <f t="shared" si="183"/>
        <v>7000</v>
      </c>
      <c r="E1496" s="667">
        <f>SUM(H1496+K1496+N1496+Q1496)</f>
        <v>6665</v>
      </c>
      <c r="F1496" s="644">
        <f>E1496/D1496*100</f>
        <v>95.21428571428572</v>
      </c>
      <c r="G1496" s="667"/>
      <c r="H1496" s="730"/>
      <c r="I1496" s="731"/>
      <c r="J1496" s="730"/>
      <c r="K1496" s="667"/>
      <c r="L1496" s="649"/>
      <c r="M1496" s="666">
        <v>7000</v>
      </c>
      <c r="N1496" s="667">
        <v>6665</v>
      </c>
      <c r="O1496" s="492">
        <f t="shared" si="180"/>
        <v>95.21428571428572</v>
      </c>
      <c r="P1496" s="667"/>
      <c r="Q1496" s="667"/>
      <c r="R1496" s="737"/>
    </row>
    <row r="1497" spans="1:18" s="882" customFormat="1" ht="36">
      <c r="A1497" s="829">
        <v>6060</v>
      </c>
      <c r="B1497" s="850" t="s">
        <v>856</v>
      </c>
      <c r="C1497" s="781">
        <v>9000</v>
      </c>
      <c r="D1497" s="765">
        <f t="shared" si="183"/>
        <v>9000</v>
      </c>
      <c r="E1497" s="785">
        <f t="shared" si="182"/>
        <v>9000</v>
      </c>
      <c r="F1497" s="705">
        <f aca="true" t="shared" si="184" ref="F1497:F1518">E1497/D1497*100</f>
        <v>100</v>
      </c>
      <c r="G1497" s="785"/>
      <c r="H1497" s="782"/>
      <c r="I1497" s="786"/>
      <c r="J1497" s="782"/>
      <c r="K1497" s="785"/>
      <c r="L1497" s="768"/>
      <c r="M1497" s="781">
        <v>9000</v>
      </c>
      <c r="N1497" s="785">
        <v>9000</v>
      </c>
      <c r="O1497" s="492">
        <f t="shared" si="180"/>
        <v>100</v>
      </c>
      <c r="P1497" s="785"/>
      <c r="Q1497" s="785"/>
      <c r="R1497" s="770"/>
    </row>
    <row r="1498" spans="1:18" s="723" customFormat="1" ht="60">
      <c r="A1498" s="724">
        <v>85406</v>
      </c>
      <c r="B1498" s="994" t="s">
        <v>115</v>
      </c>
      <c r="C1498" s="726">
        <f>SUM(C1499:C1521)</f>
        <v>1308000</v>
      </c>
      <c r="D1498" s="674">
        <f t="shared" si="183"/>
        <v>1319029</v>
      </c>
      <c r="E1498" s="657">
        <f>H1498+K1498+Q1498+N1498</f>
        <v>1047292</v>
      </c>
      <c r="F1498" s="658">
        <f t="shared" si="184"/>
        <v>79.39870920199633</v>
      </c>
      <c r="G1498" s="895"/>
      <c r="H1498" s="896"/>
      <c r="I1498" s="317"/>
      <c r="J1498" s="896"/>
      <c r="K1498" s="895"/>
      <c r="L1498" s="897"/>
      <c r="M1498" s="657">
        <f>SUM(M1499:M1522)+M1528</f>
        <v>1319029</v>
      </c>
      <c r="N1498" s="657">
        <f>SUM(N1499:N1522)+N1528</f>
        <v>1047292</v>
      </c>
      <c r="O1498" s="890">
        <f t="shared" si="180"/>
        <v>79.39870920199633</v>
      </c>
      <c r="P1498" s="657"/>
      <c r="Q1498" s="657"/>
      <c r="R1498" s="842"/>
    </row>
    <row r="1499" spans="1:18" s="723" customFormat="1" ht="36">
      <c r="A1499" s="728">
        <v>3020</v>
      </c>
      <c r="B1499" s="995" t="s">
        <v>1020</v>
      </c>
      <c r="C1499" s="666">
        <v>3500</v>
      </c>
      <c r="D1499" s="643">
        <f t="shared" si="183"/>
        <v>2000</v>
      </c>
      <c r="E1499" s="667">
        <f aca="true" t="shared" si="185" ref="E1499:E1518">SUM(H1499+K1499+N1499+Q1499)</f>
        <v>172</v>
      </c>
      <c r="F1499" s="644">
        <f t="shared" si="184"/>
        <v>8.6</v>
      </c>
      <c r="G1499" s="667"/>
      <c r="H1499" s="730"/>
      <c r="I1499" s="731"/>
      <c r="J1499" s="730"/>
      <c r="K1499" s="667"/>
      <c r="L1499" s="649"/>
      <c r="M1499" s="666">
        <f>3500-1500</f>
        <v>2000</v>
      </c>
      <c r="N1499" s="667">
        <v>172</v>
      </c>
      <c r="O1499" s="492">
        <f t="shared" si="180"/>
        <v>8.6</v>
      </c>
      <c r="P1499" s="667"/>
      <c r="Q1499" s="667"/>
      <c r="R1499" s="737"/>
    </row>
    <row r="1500" spans="1:18" s="723" customFormat="1" ht="24">
      <c r="A1500" s="728">
        <v>4010</v>
      </c>
      <c r="B1500" s="995" t="s">
        <v>697</v>
      </c>
      <c r="C1500" s="666">
        <v>890000</v>
      </c>
      <c r="D1500" s="643">
        <f t="shared" si="183"/>
        <v>890000</v>
      </c>
      <c r="E1500" s="667">
        <f t="shared" si="185"/>
        <v>709358</v>
      </c>
      <c r="F1500" s="644">
        <f t="shared" si="184"/>
        <v>79.70314606741573</v>
      </c>
      <c r="G1500" s="667"/>
      <c r="H1500" s="730"/>
      <c r="I1500" s="731"/>
      <c r="J1500" s="730"/>
      <c r="K1500" s="667"/>
      <c r="L1500" s="649"/>
      <c r="M1500" s="666">
        <v>890000</v>
      </c>
      <c r="N1500" s="667">
        <v>709358</v>
      </c>
      <c r="O1500" s="492">
        <f t="shared" si="180"/>
        <v>79.70314606741573</v>
      </c>
      <c r="P1500" s="667"/>
      <c r="Q1500" s="667"/>
      <c r="R1500" s="737"/>
    </row>
    <row r="1501" spans="1:18" s="723" customFormat="1" ht="24">
      <c r="A1501" s="709">
        <v>4040</v>
      </c>
      <c r="B1501" s="1005" t="s">
        <v>701</v>
      </c>
      <c r="C1501" s="670">
        <v>70000</v>
      </c>
      <c r="D1501" s="685">
        <f t="shared" si="183"/>
        <v>71267</v>
      </c>
      <c r="E1501" s="686">
        <f t="shared" si="185"/>
        <v>71266</v>
      </c>
      <c r="F1501" s="668">
        <f t="shared" si="184"/>
        <v>99.99859682602046</v>
      </c>
      <c r="G1501" s="686"/>
      <c r="H1501" s="777"/>
      <c r="I1501" s="779"/>
      <c r="J1501" s="777"/>
      <c r="K1501" s="686"/>
      <c r="L1501" s="690"/>
      <c r="M1501" s="670">
        <f>70000+1267</f>
        <v>71267</v>
      </c>
      <c r="N1501" s="686">
        <v>71266</v>
      </c>
      <c r="O1501" s="758">
        <f t="shared" si="180"/>
        <v>99.99859682602046</v>
      </c>
      <c r="P1501" s="686"/>
      <c r="Q1501" s="686"/>
      <c r="R1501" s="760"/>
    </row>
    <row r="1502" spans="1:18" s="723" customFormat="1" ht="24">
      <c r="A1502" s="728">
        <v>4110</v>
      </c>
      <c r="B1502" s="995" t="s">
        <v>703</v>
      </c>
      <c r="C1502" s="666">
        <v>168000</v>
      </c>
      <c r="D1502" s="643">
        <f t="shared" si="183"/>
        <v>166733</v>
      </c>
      <c r="E1502" s="667">
        <f t="shared" si="185"/>
        <v>115291</v>
      </c>
      <c r="F1502" s="644">
        <f t="shared" si="184"/>
        <v>69.14707946237397</v>
      </c>
      <c r="G1502" s="667"/>
      <c r="H1502" s="730"/>
      <c r="I1502" s="731"/>
      <c r="J1502" s="730"/>
      <c r="K1502" s="667"/>
      <c r="L1502" s="649"/>
      <c r="M1502" s="666">
        <f>168000-1267</f>
        <v>166733</v>
      </c>
      <c r="N1502" s="667">
        <v>115291</v>
      </c>
      <c r="O1502" s="492">
        <f t="shared" si="180"/>
        <v>69.14707946237397</v>
      </c>
      <c r="P1502" s="667"/>
      <c r="Q1502" s="667"/>
      <c r="R1502" s="737"/>
    </row>
    <row r="1503" spans="1:18" s="723" customFormat="1" ht="12.75">
      <c r="A1503" s="728">
        <v>4120</v>
      </c>
      <c r="B1503" s="995" t="s">
        <v>847</v>
      </c>
      <c r="C1503" s="666">
        <v>23500</v>
      </c>
      <c r="D1503" s="643">
        <f t="shared" si="183"/>
        <v>23500</v>
      </c>
      <c r="E1503" s="667">
        <f>SUM(H1503+K1503+N1503+Q1503)</f>
        <v>17877</v>
      </c>
      <c r="F1503" s="644">
        <f>E1503/D1503*100</f>
        <v>76.07234042553192</v>
      </c>
      <c r="G1503" s="667"/>
      <c r="H1503" s="730"/>
      <c r="I1503" s="731"/>
      <c r="J1503" s="730"/>
      <c r="K1503" s="667"/>
      <c r="L1503" s="649"/>
      <c r="M1503" s="666">
        <v>23500</v>
      </c>
      <c r="N1503" s="667">
        <v>17877</v>
      </c>
      <c r="O1503" s="492">
        <f t="shared" si="180"/>
        <v>76.07234042553192</v>
      </c>
      <c r="P1503" s="667"/>
      <c r="Q1503" s="667"/>
      <c r="R1503" s="737"/>
    </row>
    <row r="1504" spans="1:18" s="723" customFormat="1" ht="12.75">
      <c r="A1504" s="728">
        <v>4140</v>
      </c>
      <c r="B1504" s="995" t="s">
        <v>804</v>
      </c>
      <c r="C1504" s="666">
        <v>23300</v>
      </c>
      <c r="D1504" s="643">
        <f t="shared" si="183"/>
        <v>24800</v>
      </c>
      <c r="E1504" s="667">
        <f t="shared" si="185"/>
        <v>18105</v>
      </c>
      <c r="F1504" s="644">
        <f t="shared" si="184"/>
        <v>73.00403225806451</v>
      </c>
      <c r="G1504" s="667"/>
      <c r="H1504" s="730"/>
      <c r="I1504" s="731"/>
      <c r="J1504" s="730"/>
      <c r="K1504" s="667"/>
      <c r="L1504" s="649"/>
      <c r="M1504" s="666">
        <f>23300+1500</f>
        <v>24800</v>
      </c>
      <c r="N1504" s="667">
        <v>18105</v>
      </c>
      <c r="O1504" s="492">
        <f t="shared" si="180"/>
        <v>73.00403225806451</v>
      </c>
      <c r="P1504" s="667"/>
      <c r="Q1504" s="667"/>
      <c r="R1504" s="737"/>
    </row>
    <row r="1505" spans="1:18" s="723" customFormat="1" ht="24">
      <c r="A1505" s="728">
        <v>4170</v>
      </c>
      <c r="B1505" s="995" t="s">
        <v>742</v>
      </c>
      <c r="C1505" s="666">
        <v>8000</v>
      </c>
      <c r="D1505" s="643">
        <f t="shared" si="183"/>
        <v>8000</v>
      </c>
      <c r="E1505" s="667">
        <f>SUM(H1505+K1505+N1505+Q1505)</f>
        <v>5490</v>
      </c>
      <c r="F1505" s="644">
        <f>E1505/D1505*100</f>
        <v>68.625</v>
      </c>
      <c r="G1505" s="667"/>
      <c r="H1505" s="730"/>
      <c r="I1505" s="731"/>
      <c r="J1505" s="730"/>
      <c r="K1505" s="667"/>
      <c r="L1505" s="649"/>
      <c r="M1505" s="666">
        <v>8000</v>
      </c>
      <c r="N1505" s="667">
        <v>5490</v>
      </c>
      <c r="O1505" s="492">
        <f t="shared" si="180"/>
        <v>68.625</v>
      </c>
      <c r="P1505" s="667"/>
      <c r="Q1505" s="667"/>
      <c r="R1505" s="737"/>
    </row>
    <row r="1506" spans="1:18" s="723" customFormat="1" ht="24">
      <c r="A1506" s="728">
        <v>4210</v>
      </c>
      <c r="B1506" s="995" t="s">
        <v>707</v>
      </c>
      <c r="C1506" s="666">
        <v>16000</v>
      </c>
      <c r="D1506" s="643">
        <f t="shared" si="183"/>
        <v>11000</v>
      </c>
      <c r="E1506" s="667">
        <f t="shared" si="185"/>
        <v>8051</v>
      </c>
      <c r="F1506" s="644">
        <f t="shared" si="184"/>
        <v>73.1909090909091</v>
      </c>
      <c r="G1506" s="667"/>
      <c r="H1506" s="730"/>
      <c r="I1506" s="731"/>
      <c r="J1506" s="730"/>
      <c r="K1506" s="667"/>
      <c r="L1506" s="649"/>
      <c r="M1506" s="666">
        <f>16000-2000-3000</f>
        <v>11000</v>
      </c>
      <c r="N1506" s="667">
        <v>8051</v>
      </c>
      <c r="O1506" s="492">
        <f t="shared" si="180"/>
        <v>73.1909090909091</v>
      </c>
      <c r="P1506" s="667"/>
      <c r="Q1506" s="667"/>
      <c r="R1506" s="737"/>
    </row>
    <row r="1507" spans="1:18" s="723" customFormat="1" ht="36">
      <c r="A1507" s="728">
        <v>4240</v>
      </c>
      <c r="B1507" s="995" t="s">
        <v>116</v>
      </c>
      <c r="C1507" s="666">
        <v>4000</v>
      </c>
      <c r="D1507" s="643">
        <f t="shared" si="183"/>
        <v>1500</v>
      </c>
      <c r="E1507" s="667">
        <f t="shared" si="185"/>
        <v>784</v>
      </c>
      <c r="F1507" s="644">
        <f t="shared" si="184"/>
        <v>52.26666666666666</v>
      </c>
      <c r="G1507" s="667"/>
      <c r="H1507" s="730"/>
      <c r="I1507" s="731"/>
      <c r="J1507" s="730"/>
      <c r="K1507" s="667"/>
      <c r="L1507" s="649"/>
      <c r="M1507" s="666">
        <f>4000-2500</f>
        <v>1500</v>
      </c>
      <c r="N1507" s="667">
        <v>784</v>
      </c>
      <c r="O1507" s="492">
        <f t="shared" si="180"/>
        <v>52.26666666666666</v>
      </c>
      <c r="P1507" s="667"/>
      <c r="Q1507" s="667"/>
      <c r="R1507" s="737"/>
    </row>
    <row r="1508" spans="1:18" s="723" customFormat="1" ht="12.75">
      <c r="A1508" s="728">
        <v>4260</v>
      </c>
      <c r="B1508" s="995" t="s">
        <v>711</v>
      </c>
      <c r="C1508" s="666">
        <v>20000</v>
      </c>
      <c r="D1508" s="643">
        <f t="shared" si="183"/>
        <v>20720</v>
      </c>
      <c r="E1508" s="667">
        <f t="shared" si="185"/>
        <v>15897</v>
      </c>
      <c r="F1508" s="644">
        <f t="shared" si="184"/>
        <v>76.72297297297297</v>
      </c>
      <c r="G1508" s="667"/>
      <c r="H1508" s="730"/>
      <c r="I1508" s="731"/>
      <c r="J1508" s="730"/>
      <c r="K1508" s="667"/>
      <c r="L1508" s="649"/>
      <c r="M1508" s="666">
        <f>20000+720</f>
        <v>20720</v>
      </c>
      <c r="N1508" s="667">
        <v>15897</v>
      </c>
      <c r="O1508" s="492">
        <f t="shared" si="180"/>
        <v>76.72297297297297</v>
      </c>
      <c r="P1508" s="667"/>
      <c r="Q1508" s="667"/>
      <c r="R1508" s="737"/>
    </row>
    <row r="1509" spans="1:18" s="723" customFormat="1" ht="24">
      <c r="A1509" s="728">
        <v>4270</v>
      </c>
      <c r="B1509" s="995" t="s">
        <v>713</v>
      </c>
      <c r="C1509" s="666"/>
      <c r="D1509" s="643">
        <f t="shared" si="183"/>
        <v>1000</v>
      </c>
      <c r="E1509" s="667">
        <f>SUM(H1509+K1509+N1509+Q1509)</f>
        <v>915</v>
      </c>
      <c r="F1509" s="644">
        <f>E1509/D1509*100</f>
        <v>91.5</v>
      </c>
      <c r="G1509" s="667"/>
      <c r="H1509" s="730"/>
      <c r="I1509" s="731"/>
      <c r="J1509" s="730"/>
      <c r="K1509" s="667"/>
      <c r="L1509" s="649"/>
      <c r="M1509" s="666">
        <f>1500-500</f>
        <v>1000</v>
      </c>
      <c r="N1509" s="667">
        <v>915</v>
      </c>
      <c r="O1509" s="492">
        <f t="shared" si="180"/>
        <v>91.5</v>
      </c>
      <c r="P1509" s="667"/>
      <c r="Q1509" s="667"/>
      <c r="R1509" s="737"/>
    </row>
    <row r="1510" spans="1:18" s="723" customFormat="1" ht="24">
      <c r="A1510" s="728">
        <v>4280</v>
      </c>
      <c r="B1510" s="995" t="s">
        <v>805</v>
      </c>
      <c r="C1510" s="666">
        <v>700</v>
      </c>
      <c r="D1510" s="643">
        <f t="shared" si="183"/>
        <v>700</v>
      </c>
      <c r="E1510" s="667">
        <f t="shared" si="185"/>
        <v>172</v>
      </c>
      <c r="F1510" s="644">
        <f t="shared" si="184"/>
        <v>24.571428571428573</v>
      </c>
      <c r="G1510" s="667"/>
      <c r="H1510" s="730"/>
      <c r="I1510" s="731"/>
      <c r="J1510" s="730"/>
      <c r="K1510" s="667"/>
      <c r="L1510" s="649"/>
      <c r="M1510" s="666">
        <v>700</v>
      </c>
      <c r="N1510" s="667">
        <v>172</v>
      </c>
      <c r="O1510" s="492">
        <f t="shared" si="180"/>
        <v>24.571428571428573</v>
      </c>
      <c r="P1510" s="667"/>
      <c r="Q1510" s="667"/>
      <c r="R1510" s="737"/>
    </row>
    <row r="1511" spans="1:18" s="723" customFormat="1" ht="24">
      <c r="A1511" s="728">
        <v>4300</v>
      </c>
      <c r="B1511" s="995" t="s">
        <v>715</v>
      </c>
      <c r="C1511" s="666">
        <v>10000</v>
      </c>
      <c r="D1511" s="643">
        <f t="shared" si="183"/>
        <v>21500</v>
      </c>
      <c r="E1511" s="667">
        <f t="shared" si="185"/>
        <v>13037</v>
      </c>
      <c r="F1511" s="644">
        <f t="shared" si="184"/>
        <v>60.63720930232558</v>
      </c>
      <c r="G1511" s="667"/>
      <c r="H1511" s="730"/>
      <c r="I1511" s="731"/>
      <c r="J1511" s="730"/>
      <c r="K1511" s="667"/>
      <c r="L1511" s="649"/>
      <c r="M1511" s="666">
        <f>10000+5000+6500</f>
        <v>21500</v>
      </c>
      <c r="N1511" s="667">
        <v>13037</v>
      </c>
      <c r="O1511" s="492">
        <f t="shared" si="180"/>
        <v>60.63720930232558</v>
      </c>
      <c r="P1511" s="667"/>
      <c r="Q1511" s="667"/>
      <c r="R1511" s="737"/>
    </row>
    <row r="1512" spans="1:18" s="723" customFormat="1" ht="24">
      <c r="A1512" s="728">
        <v>4350</v>
      </c>
      <c r="B1512" s="995" t="s">
        <v>807</v>
      </c>
      <c r="C1512" s="666">
        <v>1700</v>
      </c>
      <c r="D1512" s="643">
        <f t="shared" si="183"/>
        <v>1700</v>
      </c>
      <c r="E1512" s="667">
        <f t="shared" si="185"/>
        <v>1264</v>
      </c>
      <c r="F1512" s="644">
        <f t="shared" si="184"/>
        <v>74.3529411764706</v>
      </c>
      <c r="G1512" s="667"/>
      <c r="H1512" s="730"/>
      <c r="I1512" s="731"/>
      <c r="J1512" s="730"/>
      <c r="K1512" s="667"/>
      <c r="L1512" s="649"/>
      <c r="M1512" s="666">
        <v>1700</v>
      </c>
      <c r="N1512" s="667">
        <v>1264</v>
      </c>
      <c r="O1512" s="492">
        <f t="shared" si="180"/>
        <v>74.3529411764706</v>
      </c>
      <c r="P1512" s="667"/>
      <c r="Q1512" s="667"/>
      <c r="R1512" s="737"/>
    </row>
    <row r="1513" spans="1:18" s="723" customFormat="1" ht="48">
      <c r="A1513" s="728">
        <v>4360</v>
      </c>
      <c r="B1513" s="850" t="s">
        <v>982</v>
      </c>
      <c r="C1513" s="666">
        <v>3600</v>
      </c>
      <c r="D1513" s="643">
        <f t="shared" si="183"/>
        <v>4800</v>
      </c>
      <c r="E1513" s="667">
        <f>SUM(H1513+K1513+N1513+Q1513)</f>
        <v>3561</v>
      </c>
      <c r="F1513" s="644">
        <f>E1513/D1513*100</f>
        <v>74.1875</v>
      </c>
      <c r="G1513" s="667"/>
      <c r="H1513" s="730"/>
      <c r="I1513" s="731"/>
      <c r="J1513" s="730"/>
      <c r="K1513" s="667"/>
      <c r="L1513" s="649"/>
      <c r="M1513" s="666">
        <f>3600+1200</f>
        <v>4800</v>
      </c>
      <c r="N1513" s="667">
        <v>3561</v>
      </c>
      <c r="O1513" s="492">
        <f aca="true" t="shared" si="186" ref="O1513:O1575">N1513/M1513*100</f>
        <v>74.1875</v>
      </c>
      <c r="P1513" s="667"/>
      <c r="Q1513" s="667"/>
      <c r="R1513" s="737"/>
    </row>
    <row r="1514" spans="1:18" s="723" customFormat="1" ht="48">
      <c r="A1514" s="829">
        <v>4370</v>
      </c>
      <c r="B1514" s="850" t="s">
        <v>916</v>
      </c>
      <c r="C1514" s="666">
        <v>5400</v>
      </c>
      <c r="D1514" s="643">
        <f>G1514+J1514+P1514+M1514</f>
        <v>3900</v>
      </c>
      <c r="E1514" s="667">
        <f>SUM(H1514+K1514+N1514+Q1514)</f>
        <v>2541</v>
      </c>
      <c r="F1514" s="644">
        <f>E1514/D1514*100</f>
        <v>65.15384615384615</v>
      </c>
      <c r="G1514" s="667"/>
      <c r="H1514" s="730"/>
      <c r="I1514" s="731"/>
      <c r="J1514" s="730"/>
      <c r="K1514" s="667"/>
      <c r="L1514" s="649"/>
      <c r="M1514" s="666">
        <f>5400-500-1000</f>
        <v>3900</v>
      </c>
      <c r="N1514" s="667">
        <v>2541</v>
      </c>
      <c r="O1514" s="492">
        <f t="shared" si="186"/>
        <v>65.15384615384615</v>
      </c>
      <c r="P1514" s="667"/>
      <c r="Q1514" s="667"/>
      <c r="R1514" s="737"/>
    </row>
    <row r="1515" spans="1:18" s="723" customFormat="1" ht="36">
      <c r="A1515" s="728">
        <v>4390</v>
      </c>
      <c r="B1515" s="865" t="s">
        <v>743</v>
      </c>
      <c r="C1515" s="666"/>
      <c r="D1515" s="643">
        <f>G1515+J1515+P1515+M1515</f>
        <v>1940</v>
      </c>
      <c r="E1515" s="667">
        <f>SUM(H1515+K1515+N1515+Q1515)</f>
        <v>1934</v>
      </c>
      <c r="F1515" s="644">
        <f>E1515/D1515*100</f>
        <v>99.69072164948454</v>
      </c>
      <c r="G1515" s="667"/>
      <c r="H1515" s="730"/>
      <c r="I1515" s="731"/>
      <c r="J1515" s="730"/>
      <c r="K1515" s="667"/>
      <c r="L1515" s="649"/>
      <c r="M1515" s="666">
        <f>3000-1060</f>
        <v>1940</v>
      </c>
      <c r="N1515" s="667">
        <v>1934</v>
      </c>
      <c r="O1515" s="492">
        <f t="shared" si="186"/>
        <v>99.69072164948454</v>
      </c>
      <c r="P1515" s="667"/>
      <c r="Q1515" s="667"/>
      <c r="R1515" s="737"/>
    </row>
    <row r="1516" spans="1:18" s="723" customFormat="1" ht="24">
      <c r="A1516" s="728">
        <v>4410</v>
      </c>
      <c r="B1516" s="995" t="s">
        <v>689</v>
      </c>
      <c r="C1516" s="666">
        <v>400</v>
      </c>
      <c r="D1516" s="643">
        <f>G1516+J1516+P1516+M1516</f>
        <v>540</v>
      </c>
      <c r="E1516" s="667">
        <f>SUM(H1516+K1516+N1516+Q1516)</f>
        <v>290</v>
      </c>
      <c r="F1516" s="644">
        <f>E1516/D1516*100</f>
        <v>53.70370370370371</v>
      </c>
      <c r="G1516" s="667"/>
      <c r="H1516" s="730"/>
      <c r="I1516" s="731"/>
      <c r="J1516" s="730"/>
      <c r="K1516" s="667"/>
      <c r="L1516" s="649"/>
      <c r="M1516" s="666">
        <f>400+140</f>
        <v>540</v>
      </c>
      <c r="N1516" s="667">
        <v>290</v>
      </c>
      <c r="O1516" s="492">
        <f t="shared" si="186"/>
        <v>53.70370370370371</v>
      </c>
      <c r="P1516" s="667"/>
      <c r="Q1516" s="667"/>
      <c r="R1516" s="737"/>
    </row>
    <row r="1517" spans="1:18" s="723" customFormat="1" ht="12.75">
      <c r="A1517" s="728">
        <v>4440</v>
      </c>
      <c r="B1517" s="995" t="s">
        <v>719</v>
      </c>
      <c r="C1517" s="666">
        <v>53700</v>
      </c>
      <c r="D1517" s="643">
        <f t="shared" si="183"/>
        <v>59729</v>
      </c>
      <c r="E1517" s="667">
        <f t="shared" si="185"/>
        <v>58679</v>
      </c>
      <c r="F1517" s="644">
        <f t="shared" si="184"/>
        <v>98.24205997086843</v>
      </c>
      <c r="G1517" s="667"/>
      <c r="H1517" s="730"/>
      <c r="I1517" s="731"/>
      <c r="J1517" s="730"/>
      <c r="K1517" s="667"/>
      <c r="L1517" s="649"/>
      <c r="M1517" s="666">
        <f>53700+6029</f>
        <v>59729</v>
      </c>
      <c r="N1517" s="667">
        <v>58679</v>
      </c>
      <c r="O1517" s="492">
        <f t="shared" si="186"/>
        <v>98.24205997086843</v>
      </c>
      <c r="P1517" s="667"/>
      <c r="Q1517" s="667"/>
      <c r="R1517" s="737"/>
    </row>
    <row r="1518" spans="1:18" s="723" customFormat="1" ht="36">
      <c r="A1518" s="874">
        <v>4700</v>
      </c>
      <c r="B1518" s="875" t="s">
        <v>813</v>
      </c>
      <c r="C1518" s="781">
        <v>1000</v>
      </c>
      <c r="D1518" s="765">
        <f t="shared" si="183"/>
        <v>500</v>
      </c>
      <c r="E1518" s="785">
        <f t="shared" si="185"/>
        <v>220</v>
      </c>
      <c r="F1518" s="705">
        <f t="shared" si="184"/>
        <v>44</v>
      </c>
      <c r="G1518" s="785"/>
      <c r="H1518" s="782"/>
      <c r="I1518" s="786"/>
      <c r="J1518" s="782"/>
      <c r="K1518" s="785"/>
      <c r="L1518" s="768"/>
      <c r="M1518" s="781">
        <f>1000-500</f>
        <v>500</v>
      </c>
      <c r="N1518" s="785">
        <v>220</v>
      </c>
      <c r="O1518" s="766">
        <f t="shared" si="186"/>
        <v>44</v>
      </c>
      <c r="P1518" s="785"/>
      <c r="Q1518" s="785"/>
      <c r="R1518" s="770"/>
    </row>
    <row r="1519" spans="1:18" s="723" customFormat="1" ht="60">
      <c r="A1519" s="829">
        <v>4740</v>
      </c>
      <c r="B1519" s="850" t="s">
        <v>728</v>
      </c>
      <c r="C1519" s="666">
        <v>1200</v>
      </c>
      <c r="D1519" s="643">
        <f>G1519+J1519+P1519+M1519</f>
        <v>1200</v>
      </c>
      <c r="E1519" s="667">
        <f>SUM(H1519+K1519+N1519+Q1519)</f>
        <v>628</v>
      </c>
      <c r="F1519" s="644">
        <f>E1519/D1519*100</f>
        <v>52.33333333333333</v>
      </c>
      <c r="G1519" s="667"/>
      <c r="H1519" s="730"/>
      <c r="I1519" s="731"/>
      <c r="J1519" s="730"/>
      <c r="K1519" s="667"/>
      <c r="L1519" s="649"/>
      <c r="M1519" s="666">
        <v>1200</v>
      </c>
      <c r="N1519" s="667">
        <v>628</v>
      </c>
      <c r="O1519" s="492">
        <f t="shared" si="186"/>
        <v>52.33333333333333</v>
      </c>
      <c r="P1519" s="667"/>
      <c r="Q1519" s="667"/>
      <c r="R1519" s="737"/>
    </row>
    <row r="1520" spans="1:18" s="723" customFormat="1" ht="24" hidden="1">
      <c r="A1520" s="829">
        <v>6050</v>
      </c>
      <c r="B1520" s="850" t="s">
        <v>739</v>
      </c>
      <c r="C1520" s="666"/>
      <c r="D1520" s="643">
        <f>G1520+J1520+P1520+M1520</f>
        <v>0</v>
      </c>
      <c r="E1520" s="667">
        <f>SUM(H1520+K1520+N1520+Q1520)</f>
        <v>0</v>
      </c>
      <c r="F1520" s="644" t="e">
        <f>E1520/D1520*100</f>
        <v>#DIV/0!</v>
      </c>
      <c r="G1520" s="667"/>
      <c r="H1520" s="730"/>
      <c r="I1520" s="731"/>
      <c r="J1520" s="730"/>
      <c r="K1520" s="667"/>
      <c r="L1520" s="649"/>
      <c r="M1520" s="666"/>
      <c r="N1520" s="667"/>
      <c r="O1520" s="492" t="e">
        <f t="shared" si="186"/>
        <v>#DIV/0!</v>
      </c>
      <c r="P1520" s="667"/>
      <c r="Q1520" s="667"/>
      <c r="R1520" s="737"/>
    </row>
    <row r="1521" spans="1:18" s="723" customFormat="1" ht="36">
      <c r="A1521" s="829">
        <v>4750</v>
      </c>
      <c r="B1521" s="850" t="s">
        <v>814</v>
      </c>
      <c r="C1521" s="666">
        <v>4000</v>
      </c>
      <c r="D1521" s="643">
        <f t="shared" si="183"/>
        <v>2000</v>
      </c>
      <c r="E1521" s="667">
        <f>SUM(H1521+K1521+N1521+Q1521)</f>
        <v>1760</v>
      </c>
      <c r="F1521" s="644">
        <f>E1521/D1521*100</f>
        <v>88</v>
      </c>
      <c r="G1521" s="667"/>
      <c r="H1521" s="730"/>
      <c r="I1521" s="731"/>
      <c r="J1521" s="730"/>
      <c r="K1521" s="667"/>
      <c r="L1521" s="649"/>
      <c r="M1521" s="666">
        <f>4000-500-1500</f>
        <v>2000</v>
      </c>
      <c r="N1521" s="667">
        <v>1760</v>
      </c>
      <c r="O1521" s="492">
        <f t="shared" si="186"/>
        <v>88</v>
      </c>
      <c r="P1521" s="667"/>
      <c r="Q1521" s="667"/>
      <c r="R1521" s="737"/>
    </row>
    <row r="1522" spans="1:18" s="775" customFormat="1" ht="24" hidden="1">
      <c r="A1522" s="746"/>
      <c r="B1522" s="926" t="s">
        <v>117</v>
      </c>
      <c r="C1522" s="748"/>
      <c r="D1522" s="749">
        <f t="shared" si="183"/>
        <v>0</v>
      </c>
      <c r="E1522" s="749">
        <f aca="true" t="shared" si="187" ref="E1522:E1533">SUM(H1522+K1522+N1522+Q1522)</f>
        <v>0</v>
      </c>
      <c r="F1522" s="700" t="e">
        <f aca="true" t="shared" si="188" ref="F1522:F1581">E1522/D1522*100</f>
        <v>#DIV/0!</v>
      </c>
      <c r="G1522" s="749"/>
      <c r="H1522" s="750"/>
      <c r="I1522" s="774"/>
      <c r="J1522" s="750"/>
      <c r="K1522" s="749"/>
      <c r="L1522" s="751"/>
      <c r="M1522" s="750">
        <f>SUM(M1523:M1527)</f>
        <v>0</v>
      </c>
      <c r="N1522" s="750">
        <f>SUM(N1523:N1527)</f>
        <v>0</v>
      </c>
      <c r="O1522" s="492" t="e">
        <f t="shared" si="186"/>
        <v>#DIV/0!</v>
      </c>
      <c r="P1522" s="749"/>
      <c r="Q1522" s="749"/>
      <c r="R1522" s="755"/>
    </row>
    <row r="1523" spans="1:18" s="723" customFormat="1" ht="24" hidden="1">
      <c r="A1523" s="728">
        <v>4010</v>
      </c>
      <c r="B1523" s="735" t="s">
        <v>697</v>
      </c>
      <c r="C1523" s="666"/>
      <c r="D1523" s="643">
        <f t="shared" si="183"/>
        <v>0</v>
      </c>
      <c r="E1523" s="667">
        <f t="shared" si="187"/>
        <v>0</v>
      </c>
      <c r="F1523" s="644" t="e">
        <f t="shared" si="188"/>
        <v>#DIV/0!</v>
      </c>
      <c r="G1523" s="667"/>
      <c r="H1523" s="730"/>
      <c r="I1523" s="731"/>
      <c r="J1523" s="730"/>
      <c r="K1523" s="667"/>
      <c r="L1523" s="649"/>
      <c r="M1523" s="730"/>
      <c r="N1523" s="730"/>
      <c r="O1523" s="492" t="e">
        <f t="shared" si="186"/>
        <v>#DIV/0!</v>
      </c>
      <c r="P1523" s="667"/>
      <c r="Q1523" s="667"/>
      <c r="R1523" s="737"/>
    </row>
    <row r="1524" spans="1:18" s="723" customFormat="1" ht="24" hidden="1">
      <c r="A1524" s="728">
        <v>4110</v>
      </c>
      <c r="B1524" s="735" t="s">
        <v>703</v>
      </c>
      <c r="C1524" s="666"/>
      <c r="D1524" s="643">
        <f t="shared" si="183"/>
        <v>0</v>
      </c>
      <c r="E1524" s="667">
        <f t="shared" si="187"/>
        <v>0</v>
      </c>
      <c r="F1524" s="644" t="e">
        <f t="shared" si="188"/>
        <v>#DIV/0!</v>
      </c>
      <c r="G1524" s="667"/>
      <c r="H1524" s="730"/>
      <c r="I1524" s="731"/>
      <c r="J1524" s="730"/>
      <c r="K1524" s="667"/>
      <c r="L1524" s="649"/>
      <c r="M1524" s="730"/>
      <c r="N1524" s="730"/>
      <c r="O1524" s="492" t="e">
        <f t="shared" si="186"/>
        <v>#DIV/0!</v>
      </c>
      <c r="P1524" s="667"/>
      <c r="Q1524" s="667"/>
      <c r="R1524" s="737"/>
    </row>
    <row r="1525" spans="1:18" s="723" customFormat="1" ht="12.75" hidden="1">
      <c r="A1525" s="728">
        <v>4120</v>
      </c>
      <c r="B1525" s="735" t="s">
        <v>847</v>
      </c>
      <c r="C1525" s="666"/>
      <c r="D1525" s="643">
        <f t="shared" si="183"/>
        <v>0</v>
      </c>
      <c r="E1525" s="667">
        <f t="shared" si="187"/>
        <v>0</v>
      </c>
      <c r="F1525" s="644" t="e">
        <f t="shared" si="188"/>
        <v>#DIV/0!</v>
      </c>
      <c r="G1525" s="667"/>
      <c r="H1525" s="730"/>
      <c r="I1525" s="731"/>
      <c r="J1525" s="730"/>
      <c r="K1525" s="667"/>
      <c r="L1525" s="649"/>
      <c r="M1525" s="730"/>
      <c r="N1525" s="730"/>
      <c r="O1525" s="492" t="e">
        <f t="shared" si="186"/>
        <v>#DIV/0!</v>
      </c>
      <c r="P1525" s="667"/>
      <c r="Q1525" s="667"/>
      <c r="R1525" s="737"/>
    </row>
    <row r="1526" spans="1:18" s="723" customFormat="1" ht="24" hidden="1">
      <c r="A1526" s="728">
        <v>4210</v>
      </c>
      <c r="B1526" s="735" t="s">
        <v>707</v>
      </c>
      <c r="C1526" s="666"/>
      <c r="D1526" s="643">
        <f t="shared" si="183"/>
        <v>0</v>
      </c>
      <c r="E1526" s="667">
        <f t="shared" si="187"/>
        <v>0</v>
      </c>
      <c r="F1526" s="644" t="e">
        <f t="shared" si="188"/>
        <v>#DIV/0!</v>
      </c>
      <c r="G1526" s="667"/>
      <c r="H1526" s="730"/>
      <c r="I1526" s="731"/>
      <c r="J1526" s="730"/>
      <c r="K1526" s="667"/>
      <c r="L1526" s="649"/>
      <c r="M1526" s="730"/>
      <c r="N1526" s="730"/>
      <c r="O1526" s="492" t="e">
        <f t="shared" si="186"/>
        <v>#DIV/0!</v>
      </c>
      <c r="P1526" s="667"/>
      <c r="Q1526" s="667"/>
      <c r="R1526" s="737"/>
    </row>
    <row r="1527" spans="1:18" s="723" customFormat="1" ht="24" hidden="1">
      <c r="A1527" s="728">
        <v>4300</v>
      </c>
      <c r="B1527" s="735" t="s">
        <v>715</v>
      </c>
      <c r="C1527" s="666"/>
      <c r="D1527" s="643">
        <f t="shared" si="183"/>
        <v>0</v>
      </c>
      <c r="E1527" s="667">
        <f t="shared" si="187"/>
        <v>0</v>
      </c>
      <c r="F1527" s="644" t="e">
        <f t="shared" si="188"/>
        <v>#DIV/0!</v>
      </c>
      <c r="G1527" s="667"/>
      <c r="H1527" s="730"/>
      <c r="I1527" s="731"/>
      <c r="J1527" s="730"/>
      <c r="K1527" s="667"/>
      <c r="L1527" s="649"/>
      <c r="M1527" s="730"/>
      <c r="N1527" s="730"/>
      <c r="O1527" s="492" t="e">
        <f t="shared" si="186"/>
        <v>#DIV/0!</v>
      </c>
      <c r="P1527" s="667"/>
      <c r="Q1527" s="667"/>
      <c r="R1527" s="737"/>
    </row>
    <row r="1528" spans="1:18" s="775" customFormat="1" ht="48" hidden="1">
      <c r="A1528" s="746"/>
      <c r="B1528" s="926" t="s">
        <v>118</v>
      </c>
      <c r="C1528" s="748"/>
      <c r="D1528" s="749">
        <f t="shared" si="183"/>
        <v>0</v>
      </c>
      <c r="E1528" s="749">
        <f t="shared" si="187"/>
        <v>0</v>
      </c>
      <c r="F1528" s="700" t="e">
        <f t="shared" si="188"/>
        <v>#DIV/0!</v>
      </c>
      <c r="G1528" s="749"/>
      <c r="H1528" s="750"/>
      <c r="I1528" s="774"/>
      <c r="J1528" s="750"/>
      <c r="K1528" s="749"/>
      <c r="L1528" s="751"/>
      <c r="M1528" s="750">
        <f>SUM(M1529:M1533)</f>
        <v>0</v>
      </c>
      <c r="N1528" s="750">
        <f>SUM(N1529:N1533)</f>
        <v>0</v>
      </c>
      <c r="O1528" s="519" t="e">
        <f t="shared" si="186"/>
        <v>#DIV/0!</v>
      </c>
      <c r="P1528" s="749"/>
      <c r="Q1528" s="749"/>
      <c r="R1528" s="755"/>
    </row>
    <row r="1529" spans="1:18" s="723" customFormat="1" ht="24" hidden="1">
      <c r="A1529" s="728">
        <v>4010</v>
      </c>
      <c r="B1529" s="735" t="s">
        <v>697</v>
      </c>
      <c r="C1529" s="666"/>
      <c r="D1529" s="643">
        <f t="shared" si="183"/>
        <v>0</v>
      </c>
      <c r="E1529" s="667">
        <f t="shared" si="187"/>
        <v>0</v>
      </c>
      <c r="F1529" s="644" t="e">
        <f t="shared" si="188"/>
        <v>#DIV/0!</v>
      </c>
      <c r="G1529" s="667"/>
      <c r="H1529" s="730"/>
      <c r="I1529" s="731"/>
      <c r="J1529" s="730"/>
      <c r="K1529" s="667"/>
      <c r="L1529" s="649"/>
      <c r="M1529" s="730">
        <f>2900-2900</f>
        <v>0</v>
      </c>
      <c r="N1529" s="730"/>
      <c r="O1529" s="492" t="e">
        <f t="shared" si="186"/>
        <v>#DIV/0!</v>
      </c>
      <c r="P1529" s="667"/>
      <c r="Q1529" s="667"/>
      <c r="R1529" s="737"/>
    </row>
    <row r="1530" spans="1:18" s="723" customFormat="1" ht="24" hidden="1">
      <c r="A1530" s="728">
        <v>4110</v>
      </c>
      <c r="B1530" s="735" t="s">
        <v>703</v>
      </c>
      <c r="C1530" s="666"/>
      <c r="D1530" s="643">
        <f t="shared" si="183"/>
        <v>0</v>
      </c>
      <c r="E1530" s="667">
        <f t="shared" si="187"/>
        <v>0</v>
      </c>
      <c r="F1530" s="644" t="e">
        <f t="shared" si="188"/>
        <v>#DIV/0!</v>
      </c>
      <c r="G1530" s="667"/>
      <c r="H1530" s="730"/>
      <c r="I1530" s="731"/>
      <c r="J1530" s="730"/>
      <c r="K1530" s="667"/>
      <c r="L1530" s="649"/>
      <c r="M1530" s="730">
        <f>520-520</f>
        <v>0</v>
      </c>
      <c r="N1530" s="730"/>
      <c r="O1530" s="492" t="e">
        <f t="shared" si="186"/>
        <v>#DIV/0!</v>
      </c>
      <c r="P1530" s="667"/>
      <c r="Q1530" s="667"/>
      <c r="R1530" s="737"/>
    </row>
    <row r="1531" spans="1:18" s="723" customFormat="1" ht="12.75" hidden="1">
      <c r="A1531" s="728">
        <v>4120</v>
      </c>
      <c r="B1531" s="735" t="s">
        <v>847</v>
      </c>
      <c r="C1531" s="666"/>
      <c r="D1531" s="643">
        <f>G1531+J1531+P1531+M1531</f>
        <v>0</v>
      </c>
      <c r="E1531" s="667">
        <f>SUM(H1531+K1531+N1531+Q1531)</f>
        <v>0</v>
      </c>
      <c r="F1531" s="644" t="e">
        <f>E1531/D1531*100</f>
        <v>#DIV/0!</v>
      </c>
      <c r="G1531" s="667"/>
      <c r="H1531" s="730"/>
      <c r="I1531" s="731"/>
      <c r="J1531" s="730"/>
      <c r="K1531" s="667"/>
      <c r="L1531" s="649"/>
      <c r="M1531" s="730">
        <f>80-80</f>
        <v>0</v>
      </c>
      <c r="N1531" s="730"/>
      <c r="O1531" s="492" t="e">
        <f t="shared" si="186"/>
        <v>#DIV/0!</v>
      </c>
      <c r="P1531" s="667"/>
      <c r="Q1531" s="667"/>
      <c r="R1531" s="737"/>
    </row>
    <row r="1532" spans="1:18" s="723" customFormat="1" ht="36" hidden="1">
      <c r="A1532" s="728">
        <v>4240</v>
      </c>
      <c r="B1532" s="735" t="s">
        <v>832</v>
      </c>
      <c r="C1532" s="666"/>
      <c r="D1532" s="643">
        <f>G1532+J1532+P1532+M1532</f>
        <v>0</v>
      </c>
      <c r="E1532" s="667">
        <f>SUM(H1532+K1532+N1532+Q1532)</f>
        <v>0</v>
      </c>
      <c r="F1532" s="644" t="e">
        <f>E1532/D1532*100</f>
        <v>#DIV/0!</v>
      </c>
      <c r="G1532" s="667"/>
      <c r="H1532" s="730"/>
      <c r="I1532" s="731"/>
      <c r="J1532" s="730"/>
      <c r="K1532" s="667"/>
      <c r="L1532" s="649"/>
      <c r="M1532" s="730"/>
      <c r="N1532" s="730"/>
      <c r="O1532" s="492" t="e">
        <f t="shared" si="186"/>
        <v>#DIV/0!</v>
      </c>
      <c r="P1532" s="667"/>
      <c r="Q1532" s="667"/>
      <c r="R1532" s="737"/>
    </row>
    <row r="1533" spans="1:18" s="723" customFormat="1" ht="36" hidden="1">
      <c r="A1533" s="829">
        <v>4700</v>
      </c>
      <c r="B1533" s="850" t="s">
        <v>813</v>
      </c>
      <c r="C1533" s="666"/>
      <c r="D1533" s="643">
        <f t="shared" si="183"/>
        <v>0</v>
      </c>
      <c r="E1533" s="667">
        <f t="shared" si="187"/>
        <v>0</v>
      </c>
      <c r="F1533" s="644" t="e">
        <f t="shared" si="188"/>
        <v>#DIV/0!</v>
      </c>
      <c r="G1533" s="667"/>
      <c r="H1533" s="730"/>
      <c r="I1533" s="731"/>
      <c r="J1533" s="730"/>
      <c r="K1533" s="667"/>
      <c r="L1533" s="649"/>
      <c r="M1533" s="730"/>
      <c r="N1533" s="730"/>
      <c r="O1533" s="492" t="e">
        <f t="shared" si="186"/>
        <v>#DIV/0!</v>
      </c>
      <c r="P1533" s="667"/>
      <c r="Q1533" s="667"/>
      <c r="R1533" s="737"/>
    </row>
    <row r="1534" spans="1:18" s="775" customFormat="1" ht="24">
      <c r="A1534" s="787">
        <v>85407</v>
      </c>
      <c r="B1534" s="1040" t="s">
        <v>119</v>
      </c>
      <c r="C1534" s="673">
        <f>SUM(C1535:C1557)</f>
        <v>1401400</v>
      </c>
      <c r="D1534" s="674">
        <f t="shared" si="183"/>
        <v>1414270</v>
      </c>
      <c r="E1534" s="674">
        <f>H1534+K1534+Q1534+N1534</f>
        <v>1142741</v>
      </c>
      <c r="F1534" s="658">
        <f t="shared" si="188"/>
        <v>80.80076647316284</v>
      </c>
      <c r="G1534" s="674"/>
      <c r="H1534" s="674"/>
      <c r="I1534" s="317"/>
      <c r="J1534" s="677"/>
      <c r="K1534" s="674"/>
      <c r="L1534" s="663"/>
      <c r="M1534" s="677">
        <f>SUM(M1535:M1557)</f>
        <v>1414270</v>
      </c>
      <c r="N1534" s="677">
        <f>SUM(N1535:N1557)</f>
        <v>1142741</v>
      </c>
      <c r="O1534" s="890">
        <f t="shared" si="186"/>
        <v>80.80076647316284</v>
      </c>
      <c r="P1534" s="674"/>
      <c r="Q1534" s="674"/>
      <c r="R1534" s="828"/>
    </row>
    <row r="1535" spans="1:18" s="723" customFormat="1" ht="36">
      <c r="A1535" s="728">
        <v>3020</v>
      </c>
      <c r="B1535" s="995" t="s">
        <v>1020</v>
      </c>
      <c r="C1535" s="666">
        <v>5700</v>
      </c>
      <c r="D1535" s="643">
        <f t="shared" si="183"/>
        <v>5700</v>
      </c>
      <c r="E1535" s="667">
        <f aca="true" t="shared" si="189" ref="E1535:E1557">SUM(H1535+K1535+N1535+Q1535)</f>
        <v>1211</v>
      </c>
      <c r="F1535" s="644">
        <f t="shared" si="188"/>
        <v>21.24561403508772</v>
      </c>
      <c r="G1535" s="667"/>
      <c r="H1535" s="730"/>
      <c r="I1535" s="731"/>
      <c r="J1535" s="730"/>
      <c r="K1535" s="667"/>
      <c r="L1535" s="649"/>
      <c r="M1535" s="666">
        <v>5700</v>
      </c>
      <c r="N1535" s="643">
        <v>1211</v>
      </c>
      <c r="O1535" s="492">
        <f t="shared" si="186"/>
        <v>21.24561403508772</v>
      </c>
      <c r="P1535" s="667"/>
      <c r="Q1535" s="667"/>
      <c r="R1535" s="737"/>
    </row>
    <row r="1536" spans="1:18" s="723" customFormat="1" ht="24">
      <c r="A1536" s="728">
        <v>4010</v>
      </c>
      <c r="B1536" s="735" t="s">
        <v>697</v>
      </c>
      <c r="C1536" s="666">
        <v>940000</v>
      </c>
      <c r="D1536" s="643">
        <f t="shared" si="183"/>
        <v>940000</v>
      </c>
      <c r="E1536" s="667">
        <f t="shared" si="189"/>
        <v>759443</v>
      </c>
      <c r="F1536" s="644">
        <f t="shared" si="188"/>
        <v>80.79180851063829</v>
      </c>
      <c r="G1536" s="667"/>
      <c r="H1536" s="730"/>
      <c r="I1536" s="731"/>
      <c r="J1536" s="730"/>
      <c r="K1536" s="667"/>
      <c r="L1536" s="649"/>
      <c r="M1536" s="666">
        <v>940000</v>
      </c>
      <c r="N1536" s="667">
        <v>759443</v>
      </c>
      <c r="O1536" s="492">
        <f t="shared" si="186"/>
        <v>80.79180851063829</v>
      </c>
      <c r="P1536" s="667"/>
      <c r="Q1536" s="667"/>
      <c r="R1536" s="737"/>
    </row>
    <row r="1537" spans="1:18" s="723" customFormat="1" ht="24">
      <c r="A1537" s="728">
        <v>4040</v>
      </c>
      <c r="B1537" s="735" t="s">
        <v>701</v>
      </c>
      <c r="C1537" s="666">
        <v>61500</v>
      </c>
      <c r="D1537" s="643">
        <f t="shared" si="183"/>
        <v>64270</v>
      </c>
      <c r="E1537" s="667">
        <f t="shared" si="189"/>
        <v>64260</v>
      </c>
      <c r="F1537" s="644">
        <f t="shared" si="188"/>
        <v>99.9844406410456</v>
      </c>
      <c r="G1537" s="117"/>
      <c r="H1537" s="730"/>
      <c r="I1537" s="731"/>
      <c r="J1537" s="730"/>
      <c r="K1537" s="667"/>
      <c r="L1537" s="649"/>
      <c r="M1537" s="666">
        <f>61500+1715+1055</f>
        <v>64270</v>
      </c>
      <c r="N1537" s="667">
        <v>64260</v>
      </c>
      <c r="O1537" s="492">
        <f t="shared" si="186"/>
        <v>99.9844406410456</v>
      </c>
      <c r="P1537" s="667"/>
      <c r="Q1537" s="667"/>
      <c r="R1537" s="737"/>
    </row>
    <row r="1538" spans="1:18" s="723" customFormat="1" ht="24">
      <c r="A1538" s="728">
        <v>4110</v>
      </c>
      <c r="B1538" s="735" t="s">
        <v>703</v>
      </c>
      <c r="C1538" s="666">
        <v>155000</v>
      </c>
      <c r="D1538" s="643">
        <f t="shared" si="183"/>
        <v>155000</v>
      </c>
      <c r="E1538" s="667">
        <f t="shared" si="189"/>
        <v>125189</v>
      </c>
      <c r="F1538" s="644">
        <f t="shared" si="188"/>
        <v>80.76709677419355</v>
      </c>
      <c r="G1538" s="667"/>
      <c r="H1538" s="730"/>
      <c r="I1538" s="731"/>
      <c r="J1538" s="730"/>
      <c r="K1538" s="667"/>
      <c r="L1538" s="649"/>
      <c r="M1538" s="666">
        <v>155000</v>
      </c>
      <c r="N1538" s="667">
        <f>125190-1</f>
        <v>125189</v>
      </c>
      <c r="O1538" s="492">
        <f t="shared" si="186"/>
        <v>80.76709677419355</v>
      </c>
      <c r="P1538" s="666"/>
      <c r="Q1538" s="667"/>
      <c r="R1538" s="737"/>
    </row>
    <row r="1539" spans="1:18" s="723" customFormat="1" ht="12.75">
      <c r="A1539" s="728">
        <v>4120</v>
      </c>
      <c r="B1539" s="735" t="s">
        <v>847</v>
      </c>
      <c r="C1539" s="666">
        <v>24000</v>
      </c>
      <c r="D1539" s="643">
        <f t="shared" si="183"/>
        <v>24000</v>
      </c>
      <c r="E1539" s="667">
        <f t="shared" si="189"/>
        <v>19235</v>
      </c>
      <c r="F1539" s="644">
        <f t="shared" si="188"/>
        <v>80.14583333333334</v>
      </c>
      <c r="G1539" s="667"/>
      <c r="H1539" s="730"/>
      <c r="I1539" s="731"/>
      <c r="J1539" s="730"/>
      <c r="K1539" s="667"/>
      <c r="L1539" s="649"/>
      <c r="M1539" s="666">
        <v>24000</v>
      </c>
      <c r="N1539" s="667">
        <v>19235</v>
      </c>
      <c r="O1539" s="492">
        <f t="shared" si="186"/>
        <v>80.14583333333334</v>
      </c>
      <c r="P1539" s="667"/>
      <c r="Q1539" s="667"/>
      <c r="R1539" s="737"/>
    </row>
    <row r="1540" spans="1:18" s="723" customFormat="1" ht="12.75">
      <c r="A1540" s="728">
        <v>4140</v>
      </c>
      <c r="B1540" s="995" t="s">
        <v>804</v>
      </c>
      <c r="C1540" s="666">
        <v>15600</v>
      </c>
      <c r="D1540" s="643">
        <f t="shared" si="183"/>
        <v>15600</v>
      </c>
      <c r="E1540" s="667">
        <f t="shared" si="189"/>
        <v>12119</v>
      </c>
      <c r="F1540" s="644">
        <f t="shared" si="188"/>
        <v>77.68589743589743</v>
      </c>
      <c r="G1540" s="667"/>
      <c r="H1540" s="730"/>
      <c r="I1540" s="731"/>
      <c r="J1540" s="730"/>
      <c r="K1540" s="667"/>
      <c r="L1540" s="649"/>
      <c r="M1540" s="666">
        <v>15600</v>
      </c>
      <c r="N1540" s="667">
        <v>12119</v>
      </c>
      <c r="O1540" s="492">
        <f t="shared" si="186"/>
        <v>77.68589743589743</v>
      </c>
      <c r="P1540" s="667"/>
      <c r="Q1540" s="667"/>
      <c r="R1540" s="737"/>
    </row>
    <row r="1541" spans="1:18" s="723" customFormat="1" ht="24" hidden="1">
      <c r="A1541" s="728">
        <v>4170</v>
      </c>
      <c r="B1541" s="735" t="s">
        <v>742</v>
      </c>
      <c r="C1541" s="666"/>
      <c r="D1541" s="643">
        <f t="shared" si="183"/>
        <v>0</v>
      </c>
      <c r="E1541" s="667">
        <f t="shared" si="189"/>
        <v>0</v>
      </c>
      <c r="F1541" s="644" t="e">
        <f t="shared" si="188"/>
        <v>#DIV/0!</v>
      </c>
      <c r="G1541" s="667"/>
      <c r="H1541" s="730"/>
      <c r="I1541" s="731"/>
      <c r="J1541" s="730"/>
      <c r="K1541" s="667"/>
      <c r="L1541" s="649"/>
      <c r="M1541" s="666"/>
      <c r="N1541" s="667"/>
      <c r="O1541" s="492" t="e">
        <f t="shared" si="186"/>
        <v>#DIV/0!</v>
      </c>
      <c r="P1541" s="667"/>
      <c r="Q1541" s="667"/>
      <c r="R1541" s="737"/>
    </row>
    <row r="1542" spans="1:18" s="723" customFormat="1" ht="24">
      <c r="A1542" s="728">
        <v>4210</v>
      </c>
      <c r="B1542" s="735" t="s">
        <v>707</v>
      </c>
      <c r="C1542" s="666">
        <v>23000</v>
      </c>
      <c r="D1542" s="643">
        <f t="shared" si="183"/>
        <v>24800</v>
      </c>
      <c r="E1542" s="667">
        <f t="shared" si="189"/>
        <v>12323</v>
      </c>
      <c r="F1542" s="644">
        <f t="shared" si="188"/>
        <v>49.689516129032256</v>
      </c>
      <c r="G1542" s="667"/>
      <c r="H1542" s="730"/>
      <c r="I1542" s="731"/>
      <c r="J1542" s="730"/>
      <c r="K1542" s="667"/>
      <c r="L1542" s="649"/>
      <c r="M1542" s="666">
        <f>23000+1800</f>
        <v>24800</v>
      </c>
      <c r="N1542" s="667">
        <v>12323</v>
      </c>
      <c r="O1542" s="492">
        <f t="shared" si="186"/>
        <v>49.689516129032256</v>
      </c>
      <c r="P1542" s="667"/>
      <c r="Q1542" s="667"/>
      <c r="R1542" s="737"/>
    </row>
    <row r="1543" spans="1:18" s="723" customFormat="1" ht="36">
      <c r="A1543" s="728">
        <v>4240</v>
      </c>
      <c r="B1543" s="735" t="s">
        <v>832</v>
      </c>
      <c r="C1543" s="666">
        <v>9000</v>
      </c>
      <c r="D1543" s="643">
        <f t="shared" si="183"/>
        <v>9000</v>
      </c>
      <c r="E1543" s="667">
        <f t="shared" si="189"/>
        <v>7223</v>
      </c>
      <c r="F1543" s="644">
        <f t="shared" si="188"/>
        <v>80.25555555555556</v>
      </c>
      <c r="G1543" s="667"/>
      <c r="H1543" s="730"/>
      <c r="I1543" s="731"/>
      <c r="J1543" s="730"/>
      <c r="K1543" s="667"/>
      <c r="L1543" s="649"/>
      <c r="M1543" s="666">
        <v>9000</v>
      </c>
      <c r="N1543" s="667">
        <v>7223</v>
      </c>
      <c r="O1543" s="492">
        <f t="shared" si="186"/>
        <v>80.25555555555556</v>
      </c>
      <c r="P1543" s="667"/>
      <c r="Q1543" s="667"/>
      <c r="R1543" s="737"/>
    </row>
    <row r="1544" spans="1:18" s="723" customFormat="1" ht="12.75">
      <c r="A1544" s="728">
        <v>4260</v>
      </c>
      <c r="B1544" s="735" t="s">
        <v>711</v>
      </c>
      <c r="C1544" s="666">
        <v>54000</v>
      </c>
      <c r="D1544" s="643">
        <f t="shared" si="183"/>
        <v>54000</v>
      </c>
      <c r="E1544" s="667">
        <f t="shared" si="189"/>
        <v>44116</v>
      </c>
      <c r="F1544" s="644">
        <f t="shared" si="188"/>
        <v>81.6962962962963</v>
      </c>
      <c r="G1544" s="667"/>
      <c r="H1544" s="730"/>
      <c r="I1544" s="731"/>
      <c r="J1544" s="730"/>
      <c r="K1544" s="667"/>
      <c r="L1544" s="649"/>
      <c r="M1544" s="666">
        <v>54000</v>
      </c>
      <c r="N1544" s="667">
        <v>44116</v>
      </c>
      <c r="O1544" s="492">
        <f t="shared" si="186"/>
        <v>81.6962962962963</v>
      </c>
      <c r="P1544" s="667"/>
      <c r="Q1544" s="667"/>
      <c r="R1544" s="737"/>
    </row>
    <row r="1545" spans="1:18" s="723" customFormat="1" ht="24">
      <c r="A1545" s="728">
        <v>4270</v>
      </c>
      <c r="B1545" s="735" t="s">
        <v>713</v>
      </c>
      <c r="C1545" s="666">
        <v>4000</v>
      </c>
      <c r="D1545" s="643">
        <f>G1545+J1545+P1545+M1545</f>
        <v>4000</v>
      </c>
      <c r="E1545" s="667">
        <f>SUM(H1545+K1545+N1545+Q1545)</f>
        <v>2404</v>
      </c>
      <c r="F1545" s="644">
        <f>E1545/D1545*100</f>
        <v>60.099999999999994</v>
      </c>
      <c r="G1545" s="667"/>
      <c r="H1545" s="730"/>
      <c r="I1545" s="731"/>
      <c r="J1545" s="730"/>
      <c r="K1545" s="667"/>
      <c r="L1545" s="649"/>
      <c r="M1545" s="666">
        <v>4000</v>
      </c>
      <c r="N1545" s="667">
        <v>2404</v>
      </c>
      <c r="O1545" s="492">
        <f t="shared" si="186"/>
        <v>60.099999999999994</v>
      </c>
      <c r="P1545" s="667"/>
      <c r="Q1545" s="667"/>
      <c r="R1545" s="737"/>
    </row>
    <row r="1546" spans="1:18" s="723" customFormat="1" ht="24">
      <c r="A1546" s="728">
        <v>4280</v>
      </c>
      <c r="B1546" s="735" t="s">
        <v>805</v>
      </c>
      <c r="C1546" s="666">
        <v>1200</v>
      </c>
      <c r="D1546" s="643">
        <f t="shared" si="183"/>
        <v>1200</v>
      </c>
      <c r="E1546" s="667">
        <f t="shared" si="189"/>
        <v>695</v>
      </c>
      <c r="F1546" s="644">
        <f t="shared" si="188"/>
        <v>57.91666666666667</v>
      </c>
      <c r="G1546" s="667"/>
      <c r="H1546" s="730"/>
      <c r="I1546" s="731"/>
      <c r="J1546" s="730"/>
      <c r="K1546" s="667"/>
      <c r="L1546" s="649"/>
      <c r="M1546" s="666">
        <v>1200</v>
      </c>
      <c r="N1546" s="667">
        <v>695</v>
      </c>
      <c r="O1546" s="492">
        <f t="shared" si="186"/>
        <v>57.91666666666667</v>
      </c>
      <c r="P1546" s="667"/>
      <c r="Q1546" s="667"/>
      <c r="R1546" s="737"/>
    </row>
    <row r="1547" spans="1:18" s="723" customFormat="1" ht="24">
      <c r="A1547" s="728">
        <v>4300</v>
      </c>
      <c r="B1547" s="735" t="s">
        <v>715</v>
      </c>
      <c r="C1547" s="666">
        <v>15000</v>
      </c>
      <c r="D1547" s="643">
        <f t="shared" si="183"/>
        <v>15000</v>
      </c>
      <c r="E1547" s="667">
        <f t="shared" si="189"/>
        <v>11358</v>
      </c>
      <c r="F1547" s="644">
        <f t="shared" si="188"/>
        <v>75.72</v>
      </c>
      <c r="G1547" s="667"/>
      <c r="H1547" s="730"/>
      <c r="I1547" s="731"/>
      <c r="J1547" s="730"/>
      <c r="K1547" s="667"/>
      <c r="L1547" s="649"/>
      <c r="M1547" s="666">
        <v>15000</v>
      </c>
      <c r="N1547" s="667">
        <v>11358</v>
      </c>
      <c r="O1547" s="492">
        <f t="shared" si="186"/>
        <v>75.72</v>
      </c>
      <c r="P1547" s="667"/>
      <c r="Q1547" s="667"/>
      <c r="R1547" s="737"/>
    </row>
    <row r="1548" spans="1:18" s="723" customFormat="1" ht="24">
      <c r="A1548" s="728">
        <v>4350</v>
      </c>
      <c r="B1548" s="735" t="s">
        <v>807</v>
      </c>
      <c r="C1548" s="666">
        <v>2000</v>
      </c>
      <c r="D1548" s="643">
        <f t="shared" si="183"/>
        <v>2700</v>
      </c>
      <c r="E1548" s="667">
        <f t="shared" si="189"/>
        <v>1848</v>
      </c>
      <c r="F1548" s="644">
        <f t="shared" si="188"/>
        <v>68.44444444444444</v>
      </c>
      <c r="G1548" s="667"/>
      <c r="H1548" s="730"/>
      <c r="I1548" s="731"/>
      <c r="J1548" s="730"/>
      <c r="K1548" s="667"/>
      <c r="L1548" s="649"/>
      <c r="M1548" s="666">
        <f>2000+1000-300</f>
        <v>2700</v>
      </c>
      <c r="N1548" s="667">
        <f>1849-1</f>
        <v>1848</v>
      </c>
      <c r="O1548" s="492">
        <f t="shared" si="186"/>
        <v>68.44444444444444</v>
      </c>
      <c r="P1548" s="667"/>
      <c r="Q1548" s="667"/>
      <c r="R1548" s="737"/>
    </row>
    <row r="1549" spans="1:18" s="723" customFormat="1" ht="48">
      <c r="A1549" s="829">
        <v>4370</v>
      </c>
      <c r="B1549" s="850" t="s">
        <v>916</v>
      </c>
      <c r="C1549" s="666">
        <v>8400</v>
      </c>
      <c r="D1549" s="643">
        <f>G1549+J1549+P1549+M1549</f>
        <v>8400</v>
      </c>
      <c r="E1549" s="667">
        <f>SUM(H1549+K1549+N1549+Q1549)</f>
        <v>5853</v>
      </c>
      <c r="F1549" s="644">
        <f>E1549/D1549*100</f>
        <v>69.67857142857142</v>
      </c>
      <c r="G1549" s="667"/>
      <c r="H1549" s="730"/>
      <c r="I1549" s="731"/>
      <c r="J1549" s="730"/>
      <c r="K1549" s="667"/>
      <c r="L1549" s="649"/>
      <c r="M1549" s="666">
        <f>8400+2000-2000</f>
        <v>8400</v>
      </c>
      <c r="N1549" s="667">
        <v>5853</v>
      </c>
      <c r="O1549" s="492">
        <f t="shared" si="186"/>
        <v>69.67857142857142</v>
      </c>
      <c r="P1549" s="667"/>
      <c r="Q1549" s="667"/>
      <c r="R1549" s="737"/>
    </row>
    <row r="1550" spans="1:18" s="723" customFormat="1" ht="36">
      <c r="A1550" s="762">
        <v>4390</v>
      </c>
      <c r="B1550" s="959" t="s">
        <v>743</v>
      </c>
      <c r="C1550" s="781">
        <v>3000</v>
      </c>
      <c r="D1550" s="765">
        <f>G1550+J1550+P1550+M1550</f>
        <v>5000</v>
      </c>
      <c r="E1550" s="785">
        <f>SUM(H1550+K1550+N1550+Q1550)</f>
        <v>1204</v>
      </c>
      <c r="F1550" s="705">
        <f>E1550/D1550*100</f>
        <v>24.08</v>
      </c>
      <c r="G1550" s="785"/>
      <c r="H1550" s="782"/>
      <c r="I1550" s="786"/>
      <c r="J1550" s="782"/>
      <c r="K1550" s="785"/>
      <c r="L1550" s="768"/>
      <c r="M1550" s="781">
        <f>3000+2000</f>
        <v>5000</v>
      </c>
      <c r="N1550" s="785">
        <v>1204</v>
      </c>
      <c r="O1550" s="766">
        <f t="shared" si="186"/>
        <v>24.08</v>
      </c>
      <c r="P1550" s="785"/>
      <c r="Q1550" s="785"/>
      <c r="R1550" s="770"/>
    </row>
    <row r="1551" spans="1:18" s="723" customFormat="1" ht="24">
      <c r="A1551" s="728">
        <v>4410</v>
      </c>
      <c r="B1551" s="735" t="s">
        <v>689</v>
      </c>
      <c r="C1551" s="666">
        <v>4200</v>
      </c>
      <c r="D1551" s="643">
        <f t="shared" si="183"/>
        <v>3900</v>
      </c>
      <c r="E1551" s="667">
        <f t="shared" si="189"/>
        <v>2083</v>
      </c>
      <c r="F1551" s="644">
        <f t="shared" si="188"/>
        <v>53.41025641025641</v>
      </c>
      <c r="G1551" s="667"/>
      <c r="H1551" s="730"/>
      <c r="I1551" s="731"/>
      <c r="J1551" s="730"/>
      <c r="K1551" s="667"/>
      <c r="L1551" s="649"/>
      <c r="M1551" s="666">
        <f>4200-300</f>
        <v>3900</v>
      </c>
      <c r="N1551" s="667">
        <v>2083</v>
      </c>
      <c r="O1551" s="492">
        <f t="shared" si="186"/>
        <v>53.41025641025641</v>
      </c>
      <c r="P1551" s="667"/>
      <c r="Q1551" s="667"/>
      <c r="R1551" s="737"/>
    </row>
    <row r="1552" spans="1:18" s="723" customFormat="1" ht="24">
      <c r="A1552" s="728">
        <v>4420</v>
      </c>
      <c r="B1552" s="735" t="s">
        <v>823</v>
      </c>
      <c r="C1552" s="666"/>
      <c r="D1552" s="643">
        <f>G1552+J1552+P1552+M1552</f>
        <v>300</v>
      </c>
      <c r="E1552" s="667">
        <f>SUM(H1552+K1552+N1552+Q1552)</f>
        <v>294</v>
      </c>
      <c r="F1552" s="644">
        <f>E1552/D1552*100</f>
        <v>98</v>
      </c>
      <c r="G1552" s="667"/>
      <c r="H1552" s="730"/>
      <c r="I1552" s="731"/>
      <c r="J1552" s="730"/>
      <c r="K1552" s="667"/>
      <c r="L1552" s="649"/>
      <c r="M1552" s="666">
        <v>300</v>
      </c>
      <c r="N1552" s="667">
        <v>294</v>
      </c>
      <c r="O1552" s="492">
        <f t="shared" si="186"/>
        <v>98</v>
      </c>
      <c r="P1552" s="667"/>
      <c r="Q1552" s="667"/>
      <c r="R1552" s="737"/>
    </row>
    <row r="1553" spans="1:18" s="723" customFormat="1" ht="12.75">
      <c r="A1553" s="728">
        <v>4440</v>
      </c>
      <c r="B1553" s="735" t="s">
        <v>719</v>
      </c>
      <c r="C1553" s="666">
        <v>62800</v>
      </c>
      <c r="D1553" s="643">
        <f>G1553+J1553+P1553+M1553</f>
        <v>68100</v>
      </c>
      <c r="E1553" s="667">
        <f>SUM(H1553+K1553+N1553+Q1553)</f>
        <v>68100</v>
      </c>
      <c r="F1553" s="644">
        <f>E1553/D1553*100</f>
        <v>100</v>
      </c>
      <c r="G1553" s="667"/>
      <c r="H1553" s="730"/>
      <c r="I1553" s="731"/>
      <c r="J1553" s="730"/>
      <c r="K1553" s="667"/>
      <c r="L1553" s="649"/>
      <c r="M1553" s="666">
        <f>62800+5300</f>
        <v>68100</v>
      </c>
      <c r="N1553" s="667">
        <v>68100</v>
      </c>
      <c r="O1553" s="492">
        <f t="shared" si="186"/>
        <v>100</v>
      </c>
      <c r="P1553" s="667"/>
      <c r="Q1553" s="667"/>
      <c r="R1553" s="737"/>
    </row>
    <row r="1554" spans="1:18" s="723" customFormat="1" ht="36">
      <c r="A1554" s="829">
        <v>4700</v>
      </c>
      <c r="B1554" s="850" t="s">
        <v>813</v>
      </c>
      <c r="C1554" s="666">
        <v>2500</v>
      </c>
      <c r="D1554" s="643">
        <f t="shared" si="183"/>
        <v>2500</v>
      </c>
      <c r="E1554" s="667">
        <f t="shared" si="189"/>
        <v>1800</v>
      </c>
      <c r="F1554" s="644">
        <f t="shared" si="188"/>
        <v>72</v>
      </c>
      <c r="G1554" s="667"/>
      <c r="H1554" s="730"/>
      <c r="I1554" s="731"/>
      <c r="J1554" s="730"/>
      <c r="K1554" s="667"/>
      <c r="L1554" s="649"/>
      <c r="M1554" s="666">
        <v>2500</v>
      </c>
      <c r="N1554" s="667">
        <v>1800</v>
      </c>
      <c r="O1554" s="492">
        <f t="shared" si="186"/>
        <v>72</v>
      </c>
      <c r="P1554" s="667"/>
      <c r="Q1554" s="667"/>
      <c r="R1554" s="737"/>
    </row>
    <row r="1555" spans="1:18" s="723" customFormat="1" ht="60">
      <c r="A1555" s="829">
        <v>4740</v>
      </c>
      <c r="B1555" s="850" t="s">
        <v>728</v>
      </c>
      <c r="C1555" s="730">
        <v>500</v>
      </c>
      <c r="D1555" s="643">
        <f t="shared" si="183"/>
        <v>800</v>
      </c>
      <c r="E1555" s="667">
        <f t="shared" si="189"/>
        <v>497</v>
      </c>
      <c r="F1555" s="644">
        <f t="shared" si="188"/>
        <v>62.125</v>
      </c>
      <c r="G1555" s="667"/>
      <c r="H1555" s="730"/>
      <c r="I1555" s="731"/>
      <c r="J1555" s="730"/>
      <c r="K1555" s="667"/>
      <c r="L1555" s="649"/>
      <c r="M1555" s="730">
        <f>500+300</f>
        <v>800</v>
      </c>
      <c r="N1555" s="667">
        <v>497</v>
      </c>
      <c r="O1555" s="492">
        <f t="shared" si="186"/>
        <v>62.125</v>
      </c>
      <c r="P1555" s="667"/>
      <c r="Q1555" s="667"/>
      <c r="R1555" s="737"/>
    </row>
    <row r="1556" spans="1:18" s="723" customFormat="1" ht="36">
      <c r="A1556" s="829">
        <v>4750</v>
      </c>
      <c r="B1556" s="850" t="s">
        <v>814</v>
      </c>
      <c r="C1556" s="730">
        <v>3000</v>
      </c>
      <c r="D1556" s="643">
        <f t="shared" si="183"/>
        <v>3000</v>
      </c>
      <c r="E1556" s="667">
        <f t="shared" si="189"/>
        <v>1486</v>
      </c>
      <c r="F1556" s="644">
        <f t="shared" si="188"/>
        <v>49.53333333333333</v>
      </c>
      <c r="G1556" s="667"/>
      <c r="H1556" s="730"/>
      <c r="I1556" s="731"/>
      <c r="J1556" s="730"/>
      <c r="K1556" s="667"/>
      <c r="L1556" s="649"/>
      <c r="M1556" s="730">
        <v>3000</v>
      </c>
      <c r="N1556" s="667">
        <v>1486</v>
      </c>
      <c r="O1556" s="492">
        <f t="shared" si="186"/>
        <v>49.53333333333333</v>
      </c>
      <c r="P1556" s="667"/>
      <c r="Q1556" s="667"/>
      <c r="R1556" s="737"/>
    </row>
    <row r="1557" spans="1:18" s="723" customFormat="1" ht="36">
      <c r="A1557" s="829">
        <v>6060</v>
      </c>
      <c r="B1557" s="850" t="s">
        <v>856</v>
      </c>
      <c r="C1557" s="730">
        <v>7000</v>
      </c>
      <c r="D1557" s="643">
        <f t="shared" si="183"/>
        <v>7000</v>
      </c>
      <c r="E1557" s="667">
        <f t="shared" si="189"/>
        <v>0</v>
      </c>
      <c r="F1557" s="644">
        <f t="shared" si="188"/>
        <v>0</v>
      </c>
      <c r="G1557" s="667"/>
      <c r="H1557" s="730"/>
      <c r="I1557" s="731"/>
      <c r="J1557" s="730"/>
      <c r="K1557" s="667"/>
      <c r="L1557" s="649"/>
      <c r="M1557" s="730">
        <v>7000</v>
      </c>
      <c r="N1557" s="667"/>
      <c r="O1557" s="492">
        <f t="shared" si="186"/>
        <v>0</v>
      </c>
      <c r="P1557" s="667"/>
      <c r="Q1557" s="667"/>
      <c r="R1557" s="737"/>
    </row>
    <row r="1558" spans="1:18" s="723" customFormat="1" ht="24">
      <c r="A1558" s="724">
        <v>85410</v>
      </c>
      <c r="B1558" s="994" t="s">
        <v>607</v>
      </c>
      <c r="C1558" s="726">
        <f>SUM(C1559:C1581)</f>
        <v>2446800</v>
      </c>
      <c r="D1558" s="674">
        <f t="shared" si="183"/>
        <v>2498165</v>
      </c>
      <c r="E1558" s="657">
        <f>H1558+K1558+Q1558+N1558</f>
        <v>1841709</v>
      </c>
      <c r="F1558" s="658">
        <f t="shared" si="188"/>
        <v>73.72247229466429</v>
      </c>
      <c r="G1558" s="895"/>
      <c r="H1558" s="896"/>
      <c r="I1558" s="317"/>
      <c r="J1558" s="896"/>
      <c r="K1558" s="895"/>
      <c r="L1558" s="897"/>
      <c r="M1558" s="657">
        <f>SUM(M1559:M1582)</f>
        <v>2498165</v>
      </c>
      <c r="N1558" s="657">
        <f>SUM(N1559:N1582)</f>
        <v>1841709</v>
      </c>
      <c r="O1558" s="890">
        <f t="shared" si="186"/>
        <v>73.72247229466429</v>
      </c>
      <c r="P1558" s="657"/>
      <c r="Q1558" s="657"/>
      <c r="R1558" s="842"/>
    </row>
    <row r="1559" spans="1:18" s="723" customFormat="1" ht="36">
      <c r="A1559" s="709">
        <v>3020</v>
      </c>
      <c r="B1559" s="995" t="s">
        <v>1020</v>
      </c>
      <c r="C1559" s="670">
        <v>8000</v>
      </c>
      <c r="D1559" s="685">
        <f t="shared" si="183"/>
        <v>8000</v>
      </c>
      <c r="E1559" s="686">
        <f aca="true" t="shared" si="190" ref="E1559:E1603">SUM(H1559+K1559+N1559+Q1559)</f>
        <v>1637</v>
      </c>
      <c r="F1559" s="668">
        <f t="shared" si="188"/>
        <v>20.4625</v>
      </c>
      <c r="G1559" s="686"/>
      <c r="H1559" s="777"/>
      <c r="I1559" s="779"/>
      <c r="J1559" s="777"/>
      <c r="K1559" s="686"/>
      <c r="L1559" s="690"/>
      <c r="M1559" s="670">
        <v>8000</v>
      </c>
      <c r="N1559" s="686">
        <v>1637</v>
      </c>
      <c r="O1559" s="758">
        <f t="shared" si="186"/>
        <v>20.4625</v>
      </c>
      <c r="P1559" s="686"/>
      <c r="Q1559" s="686"/>
      <c r="R1559" s="760"/>
    </row>
    <row r="1560" spans="1:18" s="723" customFormat="1" ht="24">
      <c r="A1560" s="728">
        <v>4010</v>
      </c>
      <c r="B1560" s="995" t="s">
        <v>697</v>
      </c>
      <c r="C1560" s="666">
        <v>1320000</v>
      </c>
      <c r="D1560" s="643">
        <f aca="true" t="shared" si="191" ref="D1560:D1624">G1560+J1560+P1560+M1560</f>
        <v>1320000</v>
      </c>
      <c r="E1560" s="667">
        <f t="shared" si="190"/>
        <v>1047544</v>
      </c>
      <c r="F1560" s="644">
        <f t="shared" si="188"/>
        <v>79.35939393939394</v>
      </c>
      <c r="G1560" s="667"/>
      <c r="H1560" s="730"/>
      <c r="I1560" s="731"/>
      <c r="J1560" s="730"/>
      <c r="K1560" s="667"/>
      <c r="L1560" s="649"/>
      <c r="M1560" s="666">
        <v>1320000</v>
      </c>
      <c r="N1560" s="667">
        <v>1047544</v>
      </c>
      <c r="O1560" s="492">
        <f t="shared" si="186"/>
        <v>79.35939393939394</v>
      </c>
      <c r="P1560" s="667"/>
      <c r="Q1560" s="667"/>
      <c r="R1560" s="737"/>
    </row>
    <row r="1561" spans="1:18" s="723" customFormat="1" ht="24">
      <c r="A1561" s="728">
        <v>4040</v>
      </c>
      <c r="B1561" s="995" t="s">
        <v>701</v>
      </c>
      <c r="C1561" s="666">
        <v>109500</v>
      </c>
      <c r="D1561" s="643">
        <f t="shared" si="191"/>
        <v>104655</v>
      </c>
      <c r="E1561" s="667">
        <f t="shared" si="190"/>
        <v>104654</v>
      </c>
      <c r="F1561" s="644">
        <f t="shared" si="188"/>
        <v>99.99904447948019</v>
      </c>
      <c r="G1561" s="667"/>
      <c r="H1561" s="730"/>
      <c r="I1561" s="731"/>
      <c r="J1561" s="730"/>
      <c r="K1561" s="667"/>
      <c r="L1561" s="649"/>
      <c r="M1561" s="666">
        <f>109500-4845</f>
        <v>104655</v>
      </c>
      <c r="N1561" s="667">
        <v>104654</v>
      </c>
      <c r="O1561" s="492">
        <f t="shared" si="186"/>
        <v>99.99904447948019</v>
      </c>
      <c r="P1561" s="667"/>
      <c r="Q1561" s="667"/>
      <c r="R1561" s="737"/>
    </row>
    <row r="1562" spans="1:18" s="723" customFormat="1" ht="24">
      <c r="A1562" s="728">
        <v>4110</v>
      </c>
      <c r="B1562" s="995" t="s">
        <v>703</v>
      </c>
      <c r="C1562" s="666">
        <v>216000</v>
      </c>
      <c r="D1562" s="643">
        <f t="shared" si="191"/>
        <v>216000</v>
      </c>
      <c r="E1562" s="667">
        <f t="shared" si="190"/>
        <v>165718</v>
      </c>
      <c r="F1562" s="644">
        <f t="shared" si="188"/>
        <v>76.72129629629629</v>
      </c>
      <c r="G1562" s="667"/>
      <c r="H1562" s="730"/>
      <c r="I1562" s="731"/>
      <c r="J1562" s="730"/>
      <c r="K1562" s="667"/>
      <c r="L1562" s="649"/>
      <c r="M1562" s="666">
        <v>216000</v>
      </c>
      <c r="N1562" s="667">
        <v>165718</v>
      </c>
      <c r="O1562" s="492">
        <f t="shared" si="186"/>
        <v>76.72129629629629</v>
      </c>
      <c r="P1562" s="667"/>
      <c r="Q1562" s="667"/>
      <c r="R1562" s="737"/>
    </row>
    <row r="1563" spans="1:18" s="723" customFormat="1" ht="12.75">
      <c r="A1563" s="728">
        <v>4120</v>
      </c>
      <c r="B1563" s="995" t="s">
        <v>847</v>
      </c>
      <c r="C1563" s="666">
        <v>34600</v>
      </c>
      <c r="D1563" s="643">
        <f t="shared" si="191"/>
        <v>34600</v>
      </c>
      <c r="E1563" s="667">
        <f t="shared" si="190"/>
        <v>25551</v>
      </c>
      <c r="F1563" s="644">
        <f t="shared" si="188"/>
        <v>73.84682080924856</v>
      </c>
      <c r="G1563" s="667"/>
      <c r="H1563" s="730"/>
      <c r="I1563" s="731"/>
      <c r="J1563" s="730"/>
      <c r="K1563" s="667"/>
      <c r="L1563" s="649"/>
      <c r="M1563" s="666">
        <v>34600</v>
      </c>
      <c r="N1563" s="667">
        <v>25551</v>
      </c>
      <c r="O1563" s="492">
        <f t="shared" si="186"/>
        <v>73.84682080924856</v>
      </c>
      <c r="P1563" s="667"/>
      <c r="Q1563" s="667"/>
      <c r="R1563" s="737"/>
    </row>
    <row r="1564" spans="1:18" s="723" customFormat="1" ht="12.75">
      <c r="A1564" s="728">
        <v>4140</v>
      </c>
      <c r="B1564" s="995" t="s">
        <v>804</v>
      </c>
      <c r="C1564" s="666">
        <v>12300</v>
      </c>
      <c r="D1564" s="643">
        <f t="shared" si="191"/>
        <v>12300</v>
      </c>
      <c r="E1564" s="667">
        <f t="shared" si="190"/>
        <v>8205</v>
      </c>
      <c r="F1564" s="644">
        <f t="shared" si="188"/>
        <v>66.70731707317074</v>
      </c>
      <c r="G1564" s="667"/>
      <c r="H1564" s="730"/>
      <c r="I1564" s="731"/>
      <c r="J1564" s="730"/>
      <c r="K1564" s="667"/>
      <c r="L1564" s="649"/>
      <c r="M1564" s="666">
        <v>12300</v>
      </c>
      <c r="N1564" s="667">
        <v>8205</v>
      </c>
      <c r="O1564" s="492">
        <f t="shared" si="186"/>
        <v>66.70731707317074</v>
      </c>
      <c r="P1564" s="667"/>
      <c r="Q1564" s="667"/>
      <c r="R1564" s="737"/>
    </row>
    <row r="1565" spans="1:18" s="723" customFormat="1" ht="24">
      <c r="A1565" s="728">
        <v>4170</v>
      </c>
      <c r="B1565" s="995" t="s">
        <v>742</v>
      </c>
      <c r="C1565" s="666">
        <v>25000</v>
      </c>
      <c r="D1565" s="643">
        <f t="shared" si="191"/>
        <v>25000</v>
      </c>
      <c r="E1565" s="667">
        <f t="shared" si="190"/>
        <v>23469</v>
      </c>
      <c r="F1565" s="644">
        <f t="shared" si="188"/>
        <v>93.876</v>
      </c>
      <c r="G1565" s="667"/>
      <c r="H1565" s="730"/>
      <c r="I1565" s="731"/>
      <c r="J1565" s="730"/>
      <c r="K1565" s="667"/>
      <c r="L1565" s="649"/>
      <c r="M1565" s="666">
        <v>25000</v>
      </c>
      <c r="N1565" s="667">
        <v>23469</v>
      </c>
      <c r="O1565" s="492">
        <f t="shared" si="186"/>
        <v>93.876</v>
      </c>
      <c r="P1565" s="667"/>
      <c r="Q1565" s="667"/>
      <c r="R1565" s="737"/>
    </row>
    <row r="1566" spans="1:18" s="723" customFormat="1" ht="24">
      <c r="A1566" s="728">
        <v>4210</v>
      </c>
      <c r="B1566" s="995" t="s">
        <v>707</v>
      </c>
      <c r="C1566" s="666">
        <v>65000</v>
      </c>
      <c r="D1566" s="643">
        <f t="shared" si="191"/>
        <v>69000</v>
      </c>
      <c r="E1566" s="667">
        <f t="shared" si="190"/>
        <v>40432</v>
      </c>
      <c r="F1566" s="644">
        <f t="shared" si="188"/>
        <v>58.59710144927536</v>
      </c>
      <c r="G1566" s="667"/>
      <c r="H1566" s="730"/>
      <c r="I1566" s="731"/>
      <c r="J1566" s="730"/>
      <c r="K1566" s="667"/>
      <c r="L1566" s="649"/>
      <c r="M1566" s="666">
        <f>65000+4000</f>
        <v>69000</v>
      </c>
      <c r="N1566" s="667">
        <v>40432</v>
      </c>
      <c r="O1566" s="492">
        <f t="shared" si="186"/>
        <v>58.59710144927536</v>
      </c>
      <c r="P1566" s="667"/>
      <c r="Q1566" s="667"/>
      <c r="R1566" s="737"/>
    </row>
    <row r="1567" spans="1:18" s="723" customFormat="1" ht="36">
      <c r="A1567" s="728">
        <v>4240</v>
      </c>
      <c r="B1567" s="995" t="s">
        <v>116</v>
      </c>
      <c r="C1567" s="666">
        <v>1000</v>
      </c>
      <c r="D1567" s="643">
        <f t="shared" si="191"/>
        <v>1000</v>
      </c>
      <c r="E1567" s="667">
        <f t="shared" si="190"/>
        <v>0</v>
      </c>
      <c r="F1567" s="644">
        <f>E1567/D1567*100</f>
        <v>0</v>
      </c>
      <c r="G1567" s="667"/>
      <c r="H1567" s="730"/>
      <c r="I1567" s="731"/>
      <c r="J1567" s="730"/>
      <c r="K1567" s="667"/>
      <c r="L1567" s="649"/>
      <c r="M1567" s="666">
        <v>1000</v>
      </c>
      <c r="N1567" s="667"/>
      <c r="O1567" s="492">
        <f t="shared" si="186"/>
        <v>0</v>
      </c>
      <c r="P1567" s="667"/>
      <c r="Q1567" s="667"/>
      <c r="R1567" s="737"/>
    </row>
    <row r="1568" spans="1:18" s="723" customFormat="1" ht="12.75">
      <c r="A1568" s="728">
        <v>4260</v>
      </c>
      <c r="B1568" s="995" t="s">
        <v>711</v>
      </c>
      <c r="C1568" s="666">
        <v>300000</v>
      </c>
      <c r="D1568" s="643">
        <f t="shared" si="191"/>
        <v>300000</v>
      </c>
      <c r="E1568" s="667">
        <f t="shared" si="190"/>
        <v>246289</v>
      </c>
      <c r="F1568" s="644">
        <f t="shared" si="188"/>
        <v>82.09633333333333</v>
      </c>
      <c r="G1568" s="667"/>
      <c r="H1568" s="730"/>
      <c r="I1568" s="731"/>
      <c r="J1568" s="730"/>
      <c r="K1568" s="667"/>
      <c r="L1568" s="649"/>
      <c r="M1568" s="666">
        <v>300000</v>
      </c>
      <c r="N1568" s="667">
        <v>246289</v>
      </c>
      <c r="O1568" s="492">
        <f t="shared" si="186"/>
        <v>82.09633333333333</v>
      </c>
      <c r="P1568" s="667"/>
      <c r="Q1568" s="667"/>
      <c r="R1568" s="737"/>
    </row>
    <row r="1569" spans="1:18" s="723" customFormat="1" ht="15.75" customHeight="1">
      <c r="A1569" s="762">
        <v>4270</v>
      </c>
      <c r="B1569" s="1012" t="s">
        <v>713</v>
      </c>
      <c r="C1569" s="781">
        <v>18000</v>
      </c>
      <c r="D1569" s="765">
        <f t="shared" si="191"/>
        <v>18000</v>
      </c>
      <c r="E1569" s="785">
        <f t="shared" si="190"/>
        <v>10179</v>
      </c>
      <c r="F1569" s="705">
        <f t="shared" si="188"/>
        <v>56.55</v>
      </c>
      <c r="G1569" s="785"/>
      <c r="H1569" s="782"/>
      <c r="I1569" s="786"/>
      <c r="J1569" s="782"/>
      <c r="K1569" s="785"/>
      <c r="L1569" s="768"/>
      <c r="M1569" s="781">
        <v>18000</v>
      </c>
      <c r="N1569" s="785">
        <v>10179</v>
      </c>
      <c r="O1569" s="766">
        <f t="shared" si="186"/>
        <v>56.55</v>
      </c>
      <c r="P1569" s="785"/>
      <c r="Q1569" s="785"/>
      <c r="R1569" s="770"/>
    </row>
    <row r="1570" spans="1:18" s="723" customFormat="1" ht="15.75" customHeight="1">
      <c r="A1570" s="728">
        <v>4280</v>
      </c>
      <c r="B1570" s="995" t="s">
        <v>805</v>
      </c>
      <c r="C1570" s="666">
        <v>2600</v>
      </c>
      <c r="D1570" s="643">
        <f t="shared" si="191"/>
        <v>2600</v>
      </c>
      <c r="E1570" s="667">
        <f t="shared" si="190"/>
        <v>1227</v>
      </c>
      <c r="F1570" s="644">
        <f t="shared" si="188"/>
        <v>47.19230769230769</v>
      </c>
      <c r="G1570" s="667"/>
      <c r="H1570" s="730"/>
      <c r="I1570" s="731"/>
      <c r="J1570" s="730"/>
      <c r="K1570" s="667"/>
      <c r="L1570" s="649"/>
      <c r="M1570" s="666">
        <v>2600</v>
      </c>
      <c r="N1570" s="667">
        <v>1227</v>
      </c>
      <c r="O1570" s="492">
        <f t="shared" si="186"/>
        <v>47.19230769230769</v>
      </c>
      <c r="P1570" s="667"/>
      <c r="Q1570" s="667"/>
      <c r="R1570" s="737"/>
    </row>
    <row r="1571" spans="1:18" s="723" customFormat="1" ht="12.75" customHeight="1">
      <c r="A1571" s="728">
        <v>4300</v>
      </c>
      <c r="B1571" s="995" t="s">
        <v>715</v>
      </c>
      <c r="C1571" s="666">
        <v>99000</v>
      </c>
      <c r="D1571" s="643">
        <f t="shared" si="191"/>
        <v>99000</v>
      </c>
      <c r="E1571" s="667">
        <f t="shared" si="190"/>
        <v>64843</v>
      </c>
      <c r="F1571" s="644">
        <f t="shared" si="188"/>
        <v>65.4979797979798</v>
      </c>
      <c r="G1571" s="667"/>
      <c r="H1571" s="730"/>
      <c r="I1571" s="731"/>
      <c r="J1571" s="730"/>
      <c r="K1571" s="667"/>
      <c r="L1571" s="649"/>
      <c r="M1571" s="666">
        <v>99000</v>
      </c>
      <c r="N1571" s="667">
        <v>64843</v>
      </c>
      <c r="O1571" s="492">
        <f t="shared" si="186"/>
        <v>65.4979797979798</v>
      </c>
      <c r="P1571" s="667"/>
      <c r="Q1571" s="667"/>
      <c r="R1571" s="737"/>
    </row>
    <row r="1572" spans="1:18" s="723" customFormat="1" ht="24">
      <c r="A1572" s="728">
        <v>4350</v>
      </c>
      <c r="B1572" s="995" t="s">
        <v>807</v>
      </c>
      <c r="C1572" s="666">
        <v>5000</v>
      </c>
      <c r="D1572" s="643">
        <f t="shared" si="191"/>
        <v>5000</v>
      </c>
      <c r="E1572" s="667">
        <f t="shared" si="190"/>
        <v>1959</v>
      </c>
      <c r="F1572" s="644">
        <f t="shared" si="188"/>
        <v>39.18</v>
      </c>
      <c r="G1572" s="667"/>
      <c r="H1572" s="730"/>
      <c r="I1572" s="731"/>
      <c r="J1572" s="730"/>
      <c r="K1572" s="667"/>
      <c r="L1572" s="649"/>
      <c r="M1572" s="666">
        <v>5000</v>
      </c>
      <c r="N1572" s="667">
        <v>1959</v>
      </c>
      <c r="O1572" s="492">
        <f t="shared" si="186"/>
        <v>39.18</v>
      </c>
      <c r="P1572" s="667"/>
      <c r="Q1572" s="667"/>
      <c r="R1572" s="737"/>
    </row>
    <row r="1573" spans="1:18" s="723" customFormat="1" ht="48">
      <c r="A1573" s="829">
        <v>4370</v>
      </c>
      <c r="B1573" s="850" t="s">
        <v>916</v>
      </c>
      <c r="C1573" s="666">
        <v>10000</v>
      </c>
      <c r="D1573" s="643">
        <f t="shared" si="191"/>
        <v>10000</v>
      </c>
      <c r="E1573" s="667">
        <f>SUM(H1573+K1573+N1573+Q1573)</f>
        <v>6216</v>
      </c>
      <c r="F1573" s="644">
        <f>E1573/D1573*100</f>
        <v>62.160000000000004</v>
      </c>
      <c r="G1573" s="667"/>
      <c r="H1573" s="730"/>
      <c r="I1573" s="731"/>
      <c r="J1573" s="730"/>
      <c r="K1573" s="667"/>
      <c r="L1573" s="649"/>
      <c r="M1573" s="666">
        <v>10000</v>
      </c>
      <c r="N1573" s="667">
        <v>6216</v>
      </c>
      <c r="O1573" s="492">
        <f t="shared" si="186"/>
        <v>62.160000000000004</v>
      </c>
      <c r="P1573" s="667"/>
      <c r="Q1573" s="667"/>
      <c r="R1573" s="737"/>
    </row>
    <row r="1574" spans="1:18" s="723" customFormat="1" ht="36">
      <c r="A1574" s="728">
        <v>4390</v>
      </c>
      <c r="B1574" s="865" t="s">
        <v>743</v>
      </c>
      <c r="C1574" s="666">
        <v>3000</v>
      </c>
      <c r="D1574" s="643">
        <f t="shared" si="191"/>
        <v>5000</v>
      </c>
      <c r="E1574" s="667">
        <f>SUM(H1574+K1574+N1574+Q1574)</f>
        <v>869</v>
      </c>
      <c r="F1574" s="644">
        <f>E1574/D1574*100</f>
        <v>17.380000000000003</v>
      </c>
      <c r="G1574" s="667"/>
      <c r="H1574" s="730"/>
      <c r="I1574" s="731"/>
      <c r="J1574" s="730"/>
      <c r="K1574" s="667"/>
      <c r="L1574" s="649"/>
      <c r="M1574" s="666">
        <f>3000+2000</f>
        <v>5000</v>
      </c>
      <c r="N1574" s="667">
        <v>869</v>
      </c>
      <c r="O1574" s="492">
        <f t="shared" si="186"/>
        <v>17.380000000000003</v>
      </c>
      <c r="P1574" s="667"/>
      <c r="Q1574" s="667"/>
      <c r="R1574" s="737"/>
    </row>
    <row r="1575" spans="1:18" s="723" customFormat="1" ht="16.5" customHeight="1">
      <c r="A1575" s="728">
        <v>4410</v>
      </c>
      <c r="B1575" s="995" t="s">
        <v>689</v>
      </c>
      <c r="C1575" s="666">
        <v>3500</v>
      </c>
      <c r="D1575" s="643">
        <f t="shared" si="191"/>
        <v>2800</v>
      </c>
      <c r="E1575" s="667">
        <f t="shared" si="190"/>
        <v>1782</v>
      </c>
      <c r="F1575" s="644">
        <f t="shared" si="188"/>
        <v>63.642857142857146</v>
      </c>
      <c r="G1575" s="667"/>
      <c r="H1575" s="730"/>
      <c r="I1575" s="731"/>
      <c r="J1575" s="730"/>
      <c r="K1575" s="667"/>
      <c r="L1575" s="649"/>
      <c r="M1575" s="666">
        <f>3500-700</f>
        <v>2800</v>
      </c>
      <c r="N1575" s="667">
        <v>1782</v>
      </c>
      <c r="O1575" s="492">
        <f t="shared" si="186"/>
        <v>63.642857142857146</v>
      </c>
      <c r="P1575" s="667"/>
      <c r="Q1575" s="667"/>
      <c r="R1575" s="737"/>
    </row>
    <row r="1576" spans="1:18" s="723" customFormat="1" ht="16.5" customHeight="1">
      <c r="A1576" s="728">
        <v>4420</v>
      </c>
      <c r="B1576" s="995" t="s">
        <v>823</v>
      </c>
      <c r="C1576" s="666"/>
      <c r="D1576" s="643">
        <f>G1576+J1576+P1576+M1576</f>
        <v>700</v>
      </c>
      <c r="E1576" s="667">
        <f>SUM(H1576+K1576+N1576+Q1576)</f>
        <v>0</v>
      </c>
      <c r="F1576" s="644">
        <f>E1576/D1576*100</f>
        <v>0</v>
      </c>
      <c r="G1576" s="667"/>
      <c r="H1576" s="730"/>
      <c r="I1576" s="731"/>
      <c r="J1576" s="730"/>
      <c r="K1576" s="667"/>
      <c r="L1576" s="649"/>
      <c r="M1576" s="666">
        <v>700</v>
      </c>
      <c r="N1576" s="667"/>
      <c r="O1576" s="492">
        <f>N1576/M1576*100</f>
        <v>0</v>
      </c>
      <c r="P1576" s="667"/>
      <c r="Q1576" s="667"/>
      <c r="R1576" s="737"/>
    </row>
    <row r="1577" spans="1:18" s="723" customFormat="1" ht="12.75">
      <c r="A1577" s="728">
        <v>4440</v>
      </c>
      <c r="B1577" s="995" t="s">
        <v>719</v>
      </c>
      <c r="C1577" s="666">
        <v>72100</v>
      </c>
      <c r="D1577" s="643">
        <f t="shared" si="191"/>
        <v>76310</v>
      </c>
      <c r="E1577" s="667">
        <f>SUM(H1577+K1577+N1577+Q1577)</f>
        <v>76310</v>
      </c>
      <c r="F1577" s="644">
        <f>E1577/D1577*100</f>
        <v>100</v>
      </c>
      <c r="G1577" s="667"/>
      <c r="H1577" s="730"/>
      <c r="I1577" s="731"/>
      <c r="J1577" s="730"/>
      <c r="K1577" s="667"/>
      <c r="L1577" s="649"/>
      <c r="M1577" s="666">
        <f>72100+3130+1080</f>
        <v>76310</v>
      </c>
      <c r="N1577" s="667">
        <v>76310</v>
      </c>
      <c r="O1577" s="492">
        <f>N1577/M1577*100</f>
        <v>100</v>
      </c>
      <c r="P1577" s="667"/>
      <c r="Q1577" s="667"/>
      <c r="R1577" s="737"/>
    </row>
    <row r="1578" spans="1:18" s="723" customFormat="1" ht="36">
      <c r="A1578" s="829">
        <v>4700</v>
      </c>
      <c r="B1578" s="850" t="s">
        <v>813</v>
      </c>
      <c r="C1578" s="666">
        <v>4000</v>
      </c>
      <c r="D1578" s="643">
        <f t="shared" si="191"/>
        <v>4000</v>
      </c>
      <c r="E1578" s="667">
        <f>SUM(H1578+K1578+N1578+Q1578)</f>
        <v>1149</v>
      </c>
      <c r="F1578" s="644">
        <f>E1578/D1578*100</f>
        <v>28.725</v>
      </c>
      <c r="G1578" s="667"/>
      <c r="H1578" s="730"/>
      <c r="I1578" s="731"/>
      <c r="J1578" s="730"/>
      <c r="K1578" s="667"/>
      <c r="L1578" s="649"/>
      <c r="M1578" s="666">
        <v>4000</v>
      </c>
      <c r="N1578" s="667">
        <v>1149</v>
      </c>
      <c r="O1578" s="492">
        <f>N1578/M1578*100</f>
        <v>28.725</v>
      </c>
      <c r="P1578" s="667"/>
      <c r="Q1578" s="667"/>
      <c r="R1578" s="737"/>
    </row>
    <row r="1579" spans="1:18" s="723" customFormat="1" ht="60">
      <c r="A1579" s="829">
        <v>4740</v>
      </c>
      <c r="B1579" s="850" t="s">
        <v>728</v>
      </c>
      <c r="C1579" s="666">
        <v>2200</v>
      </c>
      <c r="D1579" s="643">
        <f t="shared" si="191"/>
        <v>2200</v>
      </c>
      <c r="E1579" s="667">
        <f>SUM(H1579+K1579+N1579+Q1579)</f>
        <v>486</v>
      </c>
      <c r="F1579" s="644">
        <f>E1579/D1579*100</f>
        <v>22.09090909090909</v>
      </c>
      <c r="G1579" s="667"/>
      <c r="H1579" s="730"/>
      <c r="I1579" s="731"/>
      <c r="J1579" s="730"/>
      <c r="K1579" s="667"/>
      <c r="L1579" s="649"/>
      <c r="M1579" s="666">
        <v>2200</v>
      </c>
      <c r="N1579" s="667">
        <v>486</v>
      </c>
      <c r="O1579" s="492">
        <f>N1579/M1579*100</f>
        <v>22.09090909090909</v>
      </c>
      <c r="P1579" s="667"/>
      <c r="Q1579" s="667"/>
      <c r="R1579" s="737"/>
    </row>
    <row r="1580" spans="1:18" s="723" customFormat="1" ht="36">
      <c r="A1580" s="829">
        <v>4750</v>
      </c>
      <c r="B1580" s="850" t="s">
        <v>814</v>
      </c>
      <c r="C1580" s="666">
        <v>7500</v>
      </c>
      <c r="D1580" s="643">
        <f t="shared" si="191"/>
        <v>7500</v>
      </c>
      <c r="E1580" s="667">
        <f>SUM(H1580+K1580+N1580+Q1580)</f>
        <v>2862</v>
      </c>
      <c r="F1580" s="644">
        <f>E1580/D1580*100</f>
        <v>38.16</v>
      </c>
      <c r="G1580" s="667"/>
      <c r="H1580" s="730"/>
      <c r="I1580" s="731"/>
      <c r="J1580" s="730"/>
      <c r="K1580" s="667"/>
      <c r="L1580" s="649"/>
      <c r="M1580" s="666">
        <v>7500</v>
      </c>
      <c r="N1580" s="667">
        <v>2862</v>
      </c>
      <c r="O1580" s="492">
        <f>N1580/M1580*100</f>
        <v>38.16</v>
      </c>
      <c r="P1580" s="667"/>
      <c r="Q1580" s="667"/>
      <c r="R1580" s="737"/>
    </row>
    <row r="1581" spans="1:18" s="723" customFormat="1" ht="24">
      <c r="A1581" s="728">
        <v>6050</v>
      </c>
      <c r="B1581" s="995" t="s">
        <v>739</v>
      </c>
      <c r="C1581" s="666">
        <v>128500</v>
      </c>
      <c r="D1581" s="643">
        <f t="shared" si="191"/>
        <v>174500</v>
      </c>
      <c r="E1581" s="667">
        <f t="shared" si="190"/>
        <v>10328</v>
      </c>
      <c r="F1581" s="644">
        <f t="shared" si="188"/>
        <v>5.918624641833811</v>
      </c>
      <c r="G1581" s="667"/>
      <c r="H1581" s="730"/>
      <c r="I1581" s="731"/>
      <c r="J1581" s="730"/>
      <c r="K1581" s="667"/>
      <c r="L1581" s="649"/>
      <c r="M1581" s="666">
        <f>128500+6000+40000</f>
        <v>174500</v>
      </c>
      <c r="N1581" s="667">
        <v>10328</v>
      </c>
      <c r="O1581" s="492">
        <f>N1581/M1581*100</f>
        <v>5.918624641833811</v>
      </c>
      <c r="P1581" s="667"/>
      <c r="Q1581" s="667"/>
      <c r="R1581" s="737"/>
    </row>
    <row r="1582" spans="1:18" s="723" customFormat="1" ht="24" hidden="1">
      <c r="A1582" s="762">
        <v>4480</v>
      </c>
      <c r="B1582" s="1012" t="s">
        <v>426</v>
      </c>
      <c r="C1582" s="666"/>
      <c r="D1582" s="643">
        <f t="shared" si="191"/>
        <v>0</v>
      </c>
      <c r="E1582" s="667">
        <f t="shared" si="190"/>
        <v>0</v>
      </c>
      <c r="F1582" s="644"/>
      <c r="G1582" s="785"/>
      <c r="H1582" s="782"/>
      <c r="I1582" s="786"/>
      <c r="J1582" s="782"/>
      <c r="K1582" s="785"/>
      <c r="L1582" s="768"/>
      <c r="M1582" s="666">
        <f>1296-1296</f>
        <v>0</v>
      </c>
      <c r="N1582" s="667"/>
      <c r="O1582" s="647"/>
      <c r="P1582" s="785"/>
      <c r="Q1582" s="785"/>
      <c r="R1582" s="770"/>
    </row>
    <row r="1583" spans="1:18" s="775" customFormat="1" ht="26.25" customHeight="1" hidden="1">
      <c r="A1583" s="787">
        <v>85415</v>
      </c>
      <c r="B1583" s="1040" t="s">
        <v>610</v>
      </c>
      <c r="C1583" s="673"/>
      <c r="D1583" s="674">
        <f t="shared" si="191"/>
        <v>0</v>
      </c>
      <c r="E1583" s="667">
        <f t="shared" si="190"/>
        <v>0</v>
      </c>
      <c r="F1583" s="675" t="e">
        <f aca="true" t="shared" si="192" ref="F1583:F1631">E1583/D1583*100</f>
        <v>#DIV/0!</v>
      </c>
      <c r="G1583" s="674">
        <f>SUM(G1584)</f>
        <v>0</v>
      </c>
      <c r="H1583" s="674">
        <f>SUM(H1584)</f>
        <v>0</v>
      </c>
      <c r="I1583" s="665" t="e">
        <f aca="true" t="shared" si="193" ref="I1583:I1646">H1583/G1583*100</f>
        <v>#DIV/0!</v>
      </c>
      <c r="J1583" s="677"/>
      <c r="K1583" s="674"/>
      <c r="L1583" s="663"/>
      <c r="M1583" s="674">
        <f>SUM(M1584)</f>
        <v>0</v>
      </c>
      <c r="N1583" s="674">
        <f>SUM(N1584)</f>
        <v>0</v>
      </c>
      <c r="O1583" s="791" t="e">
        <f aca="true" t="shared" si="194" ref="O1583:O1603">N1583/M1583*100</f>
        <v>#DIV/0!</v>
      </c>
      <c r="P1583" s="674"/>
      <c r="Q1583" s="674"/>
      <c r="R1583" s="828"/>
    </row>
    <row r="1584" spans="1:18" s="723" customFormat="1" ht="36" hidden="1">
      <c r="A1584" s="728">
        <v>3240</v>
      </c>
      <c r="B1584" s="995" t="s">
        <v>120</v>
      </c>
      <c r="C1584" s="666"/>
      <c r="D1584" s="643">
        <f t="shared" si="191"/>
        <v>0</v>
      </c>
      <c r="E1584" s="667">
        <f t="shared" si="190"/>
        <v>0</v>
      </c>
      <c r="F1584" s="700" t="e">
        <f t="shared" si="192"/>
        <v>#DIV/0!</v>
      </c>
      <c r="G1584" s="667">
        <v>0</v>
      </c>
      <c r="H1584" s="648">
        <v>0</v>
      </c>
      <c r="I1584" s="647" t="e">
        <f t="shared" si="193"/>
        <v>#DIV/0!</v>
      </c>
      <c r="J1584" s="730"/>
      <c r="K1584" s="667"/>
      <c r="L1584" s="649"/>
      <c r="M1584" s="667">
        <v>0</v>
      </c>
      <c r="N1584" s="667">
        <v>0</v>
      </c>
      <c r="O1584" s="754" t="e">
        <f t="shared" si="194"/>
        <v>#DIV/0!</v>
      </c>
      <c r="P1584" s="667"/>
      <c r="Q1584" s="667"/>
      <c r="R1584" s="737"/>
    </row>
    <row r="1585" spans="1:18" s="723" customFormat="1" ht="24">
      <c r="A1585" s="787">
        <v>85415</v>
      </c>
      <c r="B1585" s="1040" t="s">
        <v>610</v>
      </c>
      <c r="C1585" s="673">
        <f>SUM(C1588:C1595)</f>
        <v>44100</v>
      </c>
      <c r="D1585" s="674">
        <f t="shared" si="191"/>
        <v>685835</v>
      </c>
      <c r="E1585" s="674">
        <f t="shared" si="190"/>
        <v>534931</v>
      </c>
      <c r="F1585" s="675">
        <f t="shared" si="192"/>
        <v>77.99704010439828</v>
      </c>
      <c r="G1585" s="674">
        <f>SUM(G1588:G1591)</f>
        <v>627635</v>
      </c>
      <c r="H1585" s="674">
        <f>SUM(H1588:H1591)</f>
        <v>476970</v>
      </c>
      <c r="I1585" s="665">
        <f t="shared" si="193"/>
        <v>75.99480589833263</v>
      </c>
      <c r="J1585" s="677"/>
      <c r="K1585" s="674"/>
      <c r="L1585" s="663"/>
      <c r="M1585" s="674">
        <f>SUM(M1586:M1591)+M1595</f>
        <v>58200</v>
      </c>
      <c r="N1585" s="674">
        <f>SUM(N1586:N1591)+N1595</f>
        <v>57961</v>
      </c>
      <c r="O1585" s="890">
        <f t="shared" si="194"/>
        <v>99.58934707903781</v>
      </c>
      <c r="P1585" s="674"/>
      <c r="Q1585" s="674"/>
      <c r="R1585" s="828"/>
    </row>
    <row r="1586" spans="1:18" s="761" customFormat="1" ht="72" hidden="1">
      <c r="A1586" s="829">
        <v>2910</v>
      </c>
      <c r="B1586" s="1038" t="s">
        <v>81</v>
      </c>
      <c r="C1586" s="697"/>
      <c r="D1586" s="643">
        <f t="shared" si="191"/>
        <v>0</v>
      </c>
      <c r="E1586" s="667">
        <f>SUM(H1586+K1586+N1586+Q1586)</f>
        <v>0</v>
      </c>
      <c r="F1586" s="644"/>
      <c r="G1586" s="643"/>
      <c r="H1586" s="648"/>
      <c r="I1586" s="647"/>
      <c r="J1586" s="648"/>
      <c r="K1586" s="643"/>
      <c r="L1586" s="649"/>
      <c r="M1586" s="643"/>
      <c r="N1586" s="643"/>
      <c r="O1586" s="492" t="e">
        <f t="shared" si="194"/>
        <v>#DIV/0!</v>
      </c>
      <c r="P1586" s="643"/>
      <c r="Q1586" s="643"/>
      <c r="R1586" s="737"/>
    </row>
    <row r="1587" spans="1:18" s="761" customFormat="1" ht="38.25" customHeight="1">
      <c r="A1587" s="829">
        <v>3040</v>
      </c>
      <c r="B1587" s="1038" t="s">
        <v>43</v>
      </c>
      <c r="C1587" s="697"/>
      <c r="D1587" s="643">
        <f t="shared" si="191"/>
        <v>600</v>
      </c>
      <c r="E1587" s="667">
        <f>SUM(H1587+K1587+N1587+Q1587)</f>
        <v>600</v>
      </c>
      <c r="F1587" s="644"/>
      <c r="G1587" s="643"/>
      <c r="H1587" s="648"/>
      <c r="I1587" s="647"/>
      <c r="J1587" s="648"/>
      <c r="K1587" s="643"/>
      <c r="L1587" s="649"/>
      <c r="M1587" s="643">
        <v>600</v>
      </c>
      <c r="N1587" s="643">
        <v>600</v>
      </c>
      <c r="O1587" s="492">
        <f t="shared" si="194"/>
        <v>100</v>
      </c>
      <c r="P1587" s="643"/>
      <c r="Q1587" s="643"/>
      <c r="R1587" s="737"/>
    </row>
    <row r="1588" spans="1:18" s="723" customFormat="1" ht="12.75">
      <c r="A1588" s="728">
        <v>3240</v>
      </c>
      <c r="B1588" s="995" t="s">
        <v>121</v>
      </c>
      <c r="C1588" s="666">
        <v>44100</v>
      </c>
      <c r="D1588" s="643">
        <f t="shared" si="191"/>
        <v>617631</v>
      </c>
      <c r="E1588" s="667">
        <f t="shared" si="190"/>
        <v>534011</v>
      </c>
      <c r="F1588" s="644">
        <f t="shared" si="192"/>
        <v>86.46117179999061</v>
      </c>
      <c r="G1588" s="667">
        <f>20000+547731-18350+10700-50</f>
        <v>560031</v>
      </c>
      <c r="H1588" s="648">
        <v>476650</v>
      </c>
      <c r="I1588" s="492">
        <f t="shared" si="193"/>
        <v>85.11135990686229</v>
      </c>
      <c r="J1588" s="730"/>
      <c r="K1588" s="667"/>
      <c r="L1588" s="649"/>
      <c r="M1588" s="667">
        <f>24100+29600-24100+27650+350</f>
        <v>57600</v>
      </c>
      <c r="N1588" s="667">
        <v>57361</v>
      </c>
      <c r="O1588" s="492">
        <f t="shared" si="194"/>
        <v>99.58506944444444</v>
      </c>
      <c r="P1588" s="667"/>
      <c r="Q1588" s="667"/>
      <c r="R1588" s="737"/>
    </row>
    <row r="1589" spans="1:18" s="723" customFormat="1" ht="24">
      <c r="A1589" s="728">
        <v>3260</v>
      </c>
      <c r="B1589" s="995" t="s">
        <v>122</v>
      </c>
      <c r="C1589" s="666"/>
      <c r="D1589" s="643">
        <f t="shared" si="191"/>
        <v>67604</v>
      </c>
      <c r="E1589" s="667">
        <f t="shared" si="190"/>
        <v>320</v>
      </c>
      <c r="F1589" s="644">
        <f t="shared" si="192"/>
        <v>0.4733447724986687</v>
      </c>
      <c r="G1589" s="667">
        <f>28828+38776</f>
        <v>67604</v>
      </c>
      <c r="H1589" s="648">
        <v>320</v>
      </c>
      <c r="I1589" s="492">
        <f t="shared" si="193"/>
        <v>0.4733447724986687</v>
      </c>
      <c r="J1589" s="730"/>
      <c r="K1589" s="667"/>
      <c r="L1589" s="649"/>
      <c r="M1589" s="667"/>
      <c r="N1589" s="667"/>
      <c r="O1589" s="647"/>
      <c r="P1589" s="667"/>
      <c r="Q1589" s="667"/>
      <c r="R1589" s="737"/>
    </row>
    <row r="1590" spans="1:18" s="723" customFormat="1" ht="36" hidden="1">
      <c r="A1590" s="728">
        <v>4240</v>
      </c>
      <c r="B1590" s="995" t="s">
        <v>116</v>
      </c>
      <c r="C1590" s="666"/>
      <c r="D1590" s="643">
        <f t="shared" si="191"/>
        <v>0</v>
      </c>
      <c r="E1590" s="667">
        <f t="shared" si="190"/>
        <v>0</v>
      </c>
      <c r="F1590" s="644" t="e">
        <f t="shared" si="192"/>
        <v>#DIV/0!</v>
      </c>
      <c r="G1590" s="667"/>
      <c r="H1590" s="648"/>
      <c r="I1590" s="492" t="e">
        <f t="shared" si="193"/>
        <v>#DIV/0!</v>
      </c>
      <c r="J1590" s="730"/>
      <c r="K1590" s="667"/>
      <c r="L1590" s="649"/>
      <c r="M1590" s="667"/>
      <c r="N1590" s="667"/>
      <c r="O1590" s="647"/>
      <c r="P1590" s="667"/>
      <c r="Q1590" s="667"/>
      <c r="R1590" s="737"/>
    </row>
    <row r="1591" spans="1:18" s="775" customFormat="1" ht="24" hidden="1">
      <c r="A1591" s="746"/>
      <c r="B1591" s="1088" t="s">
        <v>123</v>
      </c>
      <c r="C1591" s="748"/>
      <c r="D1591" s="749">
        <f t="shared" si="191"/>
        <v>0</v>
      </c>
      <c r="E1591" s="749">
        <f t="shared" si="190"/>
        <v>0</v>
      </c>
      <c r="F1591" s="700" t="e">
        <f t="shared" si="192"/>
        <v>#DIV/0!</v>
      </c>
      <c r="G1591" s="749">
        <f>SUM(G1592:G1594)</f>
        <v>0</v>
      </c>
      <c r="H1591" s="750">
        <f>SUM(H1592:H1594)</f>
        <v>0</v>
      </c>
      <c r="I1591" s="492" t="e">
        <f t="shared" si="193"/>
        <v>#DIV/0!</v>
      </c>
      <c r="J1591" s="750"/>
      <c r="K1591" s="749"/>
      <c r="L1591" s="751"/>
      <c r="M1591" s="749">
        <f>SUM(M1592:M1594)</f>
        <v>0</v>
      </c>
      <c r="N1591" s="749">
        <f>SUM(N1592:N1594)</f>
        <v>0</v>
      </c>
      <c r="O1591" s="492" t="e">
        <f t="shared" si="194"/>
        <v>#DIV/0!</v>
      </c>
      <c r="P1591" s="749"/>
      <c r="Q1591" s="749"/>
      <c r="R1591" s="755"/>
    </row>
    <row r="1592" spans="1:18" s="723" customFormat="1" ht="24" hidden="1">
      <c r="A1592" s="728">
        <v>4010</v>
      </c>
      <c r="B1592" s="818" t="s">
        <v>697</v>
      </c>
      <c r="C1592" s="666"/>
      <c r="D1592" s="643">
        <f t="shared" si="191"/>
        <v>0</v>
      </c>
      <c r="E1592" s="667">
        <f t="shared" si="190"/>
        <v>0</v>
      </c>
      <c r="F1592" s="644" t="e">
        <f t="shared" si="192"/>
        <v>#DIV/0!</v>
      </c>
      <c r="G1592" s="667"/>
      <c r="H1592" s="648"/>
      <c r="I1592" s="492" t="e">
        <f t="shared" si="193"/>
        <v>#DIV/0!</v>
      </c>
      <c r="J1592" s="730"/>
      <c r="K1592" s="667"/>
      <c r="L1592" s="649"/>
      <c r="M1592" s="667"/>
      <c r="N1592" s="667"/>
      <c r="O1592" s="492" t="e">
        <f t="shared" si="194"/>
        <v>#DIV/0!</v>
      </c>
      <c r="P1592" s="667"/>
      <c r="Q1592" s="667"/>
      <c r="R1592" s="737"/>
    </row>
    <row r="1593" spans="1:18" s="723" customFormat="1" ht="24" hidden="1">
      <c r="A1593" s="728">
        <v>4110</v>
      </c>
      <c r="B1593" s="995" t="s">
        <v>703</v>
      </c>
      <c r="C1593" s="666"/>
      <c r="D1593" s="643">
        <f t="shared" si="191"/>
        <v>0</v>
      </c>
      <c r="E1593" s="667">
        <f t="shared" si="190"/>
        <v>0</v>
      </c>
      <c r="F1593" s="644" t="e">
        <f t="shared" si="192"/>
        <v>#DIV/0!</v>
      </c>
      <c r="G1593" s="667"/>
      <c r="H1593" s="648"/>
      <c r="I1593" s="492" t="e">
        <f t="shared" si="193"/>
        <v>#DIV/0!</v>
      </c>
      <c r="J1593" s="730"/>
      <c r="K1593" s="667"/>
      <c r="L1593" s="649"/>
      <c r="M1593" s="667"/>
      <c r="N1593" s="667"/>
      <c r="O1593" s="492" t="e">
        <f t="shared" si="194"/>
        <v>#DIV/0!</v>
      </c>
      <c r="P1593" s="667"/>
      <c r="Q1593" s="667"/>
      <c r="R1593" s="737"/>
    </row>
    <row r="1594" spans="1:18" s="723" customFormat="1" ht="12.75" hidden="1">
      <c r="A1594" s="728">
        <v>4120</v>
      </c>
      <c r="B1594" s="995" t="s">
        <v>847</v>
      </c>
      <c r="C1594" s="666"/>
      <c r="D1594" s="643">
        <f t="shared" si="191"/>
        <v>0</v>
      </c>
      <c r="E1594" s="667">
        <f t="shared" si="190"/>
        <v>0</v>
      </c>
      <c r="F1594" s="644" t="e">
        <f t="shared" si="192"/>
        <v>#DIV/0!</v>
      </c>
      <c r="G1594" s="667"/>
      <c r="H1594" s="648"/>
      <c r="I1594" s="492" t="e">
        <f t="shared" si="193"/>
        <v>#DIV/0!</v>
      </c>
      <c r="J1594" s="730"/>
      <c r="K1594" s="667"/>
      <c r="L1594" s="649"/>
      <c r="M1594" s="667"/>
      <c r="N1594" s="667"/>
      <c r="O1594" s="492" t="e">
        <f t="shared" si="194"/>
        <v>#DIV/0!</v>
      </c>
      <c r="P1594" s="667"/>
      <c r="Q1594" s="667"/>
      <c r="R1594" s="737"/>
    </row>
    <row r="1595" spans="1:18" s="775" customFormat="1" ht="60" hidden="1">
      <c r="A1595" s="746"/>
      <c r="B1595" s="1068" t="s">
        <v>124</v>
      </c>
      <c r="C1595" s="748">
        <f>SUM(C1598:C1603)</f>
        <v>0</v>
      </c>
      <c r="D1595" s="749">
        <f t="shared" si="191"/>
        <v>0</v>
      </c>
      <c r="E1595" s="749">
        <f t="shared" si="190"/>
        <v>0</v>
      </c>
      <c r="F1595" s="644" t="e">
        <f t="shared" si="192"/>
        <v>#DIV/0!</v>
      </c>
      <c r="G1595" s="749"/>
      <c r="H1595" s="750"/>
      <c r="I1595" s="492"/>
      <c r="J1595" s="750"/>
      <c r="K1595" s="749"/>
      <c r="L1595" s="751"/>
      <c r="M1595" s="749">
        <f>SUM(M1596:M1603)</f>
        <v>0</v>
      </c>
      <c r="N1595" s="749">
        <f>SUM(N1596:N1603)</f>
        <v>0</v>
      </c>
      <c r="O1595" s="519" t="e">
        <f t="shared" si="194"/>
        <v>#DIV/0!</v>
      </c>
      <c r="P1595" s="749"/>
      <c r="Q1595" s="749"/>
      <c r="R1595" s="755"/>
    </row>
    <row r="1596" spans="1:18" s="761" customFormat="1" ht="24" hidden="1">
      <c r="A1596" s="829">
        <v>3218</v>
      </c>
      <c r="B1596" s="1038" t="s">
        <v>42</v>
      </c>
      <c r="C1596" s="697"/>
      <c r="D1596" s="643">
        <f t="shared" si="191"/>
        <v>0</v>
      </c>
      <c r="E1596" s="667">
        <f>SUM(H1596+K1596+N1596+Q1596)</f>
        <v>0</v>
      </c>
      <c r="F1596" s="644" t="e">
        <f>E1596/D1596*100</f>
        <v>#DIV/0!</v>
      </c>
      <c r="G1596" s="643"/>
      <c r="H1596" s="648"/>
      <c r="I1596" s="647"/>
      <c r="J1596" s="648"/>
      <c r="K1596" s="643"/>
      <c r="L1596" s="649"/>
      <c r="M1596" s="648">
        <f>1067-1067</f>
        <v>0</v>
      </c>
      <c r="N1596" s="643"/>
      <c r="O1596" s="492"/>
      <c r="P1596" s="643"/>
      <c r="Q1596" s="643"/>
      <c r="R1596" s="737"/>
    </row>
    <row r="1597" spans="1:18" s="761" customFormat="1" ht="24" hidden="1">
      <c r="A1597" s="829">
        <v>3219</v>
      </c>
      <c r="B1597" s="1038" t="s">
        <v>42</v>
      </c>
      <c r="C1597" s="697"/>
      <c r="D1597" s="643">
        <f t="shared" si="191"/>
        <v>0</v>
      </c>
      <c r="E1597" s="667">
        <f>SUM(H1597+K1597+N1597+Q1597)</f>
        <v>0</v>
      </c>
      <c r="F1597" s="644" t="e">
        <f>E1597/D1597*100</f>
        <v>#DIV/0!</v>
      </c>
      <c r="G1597" s="643"/>
      <c r="H1597" s="648"/>
      <c r="I1597" s="647"/>
      <c r="J1597" s="648"/>
      <c r="K1597" s="643"/>
      <c r="L1597" s="649"/>
      <c r="M1597" s="648"/>
      <c r="N1597" s="643"/>
      <c r="O1597" s="492"/>
      <c r="P1597" s="643"/>
      <c r="Q1597" s="643"/>
      <c r="R1597" s="737"/>
    </row>
    <row r="1598" spans="1:18" s="723" customFormat="1" ht="12.75" hidden="1">
      <c r="A1598" s="728">
        <v>3248</v>
      </c>
      <c r="B1598" s="995" t="s">
        <v>121</v>
      </c>
      <c r="C1598" s="666"/>
      <c r="D1598" s="643">
        <f t="shared" si="191"/>
        <v>0</v>
      </c>
      <c r="E1598" s="667">
        <f t="shared" si="190"/>
        <v>0</v>
      </c>
      <c r="F1598" s="644" t="e">
        <f t="shared" si="192"/>
        <v>#DIV/0!</v>
      </c>
      <c r="G1598" s="667"/>
      <c r="H1598" s="648"/>
      <c r="I1598" s="647"/>
      <c r="J1598" s="730"/>
      <c r="K1598" s="667"/>
      <c r="L1598" s="649"/>
      <c r="M1598" s="666"/>
      <c r="N1598" s="667"/>
      <c r="O1598" s="492" t="e">
        <f t="shared" si="194"/>
        <v>#DIV/0!</v>
      </c>
      <c r="P1598" s="667"/>
      <c r="Q1598" s="667"/>
      <c r="R1598" s="737"/>
    </row>
    <row r="1599" spans="1:18" s="723" customFormat="1" ht="12.75" hidden="1">
      <c r="A1599" s="728">
        <v>3249</v>
      </c>
      <c r="B1599" s="995" t="s">
        <v>121</v>
      </c>
      <c r="C1599" s="666"/>
      <c r="D1599" s="643">
        <f t="shared" si="191"/>
        <v>0</v>
      </c>
      <c r="E1599" s="667">
        <f t="shared" si="190"/>
        <v>0</v>
      </c>
      <c r="F1599" s="644" t="e">
        <f t="shared" si="192"/>
        <v>#DIV/0!</v>
      </c>
      <c r="G1599" s="667"/>
      <c r="H1599" s="648"/>
      <c r="I1599" s="647"/>
      <c r="J1599" s="730"/>
      <c r="K1599" s="667"/>
      <c r="L1599" s="649"/>
      <c r="M1599" s="666"/>
      <c r="N1599" s="667"/>
      <c r="O1599" s="492" t="e">
        <f t="shared" si="194"/>
        <v>#DIV/0!</v>
      </c>
      <c r="P1599" s="667"/>
      <c r="Q1599" s="667"/>
      <c r="R1599" s="737"/>
    </row>
    <row r="1600" spans="1:18" s="723" customFormat="1" ht="24" hidden="1">
      <c r="A1600" s="728">
        <v>4218</v>
      </c>
      <c r="B1600" s="995" t="s">
        <v>707</v>
      </c>
      <c r="C1600" s="666"/>
      <c r="D1600" s="643">
        <f t="shared" si="191"/>
        <v>0</v>
      </c>
      <c r="E1600" s="667">
        <f t="shared" si="190"/>
        <v>0</v>
      </c>
      <c r="F1600" s="644" t="e">
        <f t="shared" si="192"/>
        <v>#DIV/0!</v>
      </c>
      <c r="G1600" s="667"/>
      <c r="H1600" s="648"/>
      <c r="I1600" s="647"/>
      <c r="J1600" s="730"/>
      <c r="K1600" s="667"/>
      <c r="L1600" s="649"/>
      <c r="M1600" s="666"/>
      <c r="N1600" s="667"/>
      <c r="O1600" s="492" t="e">
        <f t="shared" si="194"/>
        <v>#DIV/0!</v>
      </c>
      <c r="P1600" s="667"/>
      <c r="Q1600" s="667"/>
      <c r="R1600" s="737"/>
    </row>
    <row r="1601" spans="1:18" s="723" customFormat="1" ht="24" hidden="1">
      <c r="A1601" s="728">
        <v>4219</v>
      </c>
      <c r="B1601" s="995" t="s">
        <v>707</v>
      </c>
      <c r="C1601" s="666"/>
      <c r="D1601" s="643">
        <f t="shared" si="191"/>
        <v>0</v>
      </c>
      <c r="E1601" s="667">
        <f>SUM(H1601+K1601+N1601+Q1601)</f>
        <v>0</v>
      </c>
      <c r="F1601" s="644" t="e">
        <f t="shared" si="192"/>
        <v>#DIV/0!</v>
      </c>
      <c r="G1601" s="667"/>
      <c r="H1601" s="648"/>
      <c r="I1601" s="647"/>
      <c r="J1601" s="730"/>
      <c r="K1601" s="667"/>
      <c r="L1601" s="649"/>
      <c r="M1601" s="666"/>
      <c r="N1601" s="667"/>
      <c r="O1601" s="492" t="e">
        <f t="shared" si="194"/>
        <v>#DIV/0!</v>
      </c>
      <c r="P1601" s="667"/>
      <c r="Q1601" s="667"/>
      <c r="R1601" s="737"/>
    </row>
    <row r="1602" spans="1:18" s="723" customFormat="1" ht="24" hidden="1">
      <c r="A1602" s="728">
        <v>4308</v>
      </c>
      <c r="B1602" s="995" t="s">
        <v>715</v>
      </c>
      <c r="C1602" s="666"/>
      <c r="D1602" s="643">
        <f t="shared" si="191"/>
        <v>0</v>
      </c>
      <c r="E1602" s="667">
        <f>SUM(H1602+K1602+N1602+Q1602)</f>
        <v>0</v>
      </c>
      <c r="F1602" s="644" t="e">
        <f t="shared" si="192"/>
        <v>#DIV/0!</v>
      </c>
      <c r="G1602" s="667"/>
      <c r="H1602" s="648"/>
      <c r="I1602" s="647"/>
      <c r="J1602" s="730"/>
      <c r="K1602" s="667"/>
      <c r="L1602" s="649"/>
      <c r="M1602" s="666"/>
      <c r="N1602" s="667"/>
      <c r="O1602" s="647" t="e">
        <f t="shared" si="194"/>
        <v>#DIV/0!</v>
      </c>
      <c r="P1602" s="667"/>
      <c r="Q1602" s="667"/>
      <c r="R1602" s="737"/>
    </row>
    <row r="1603" spans="1:18" s="723" customFormat="1" ht="24" hidden="1">
      <c r="A1603" s="728">
        <v>4309</v>
      </c>
      <c r="B1603" s="995" t="s">
        <v>715</v>
      </c>
      <c r="C1603" s="666"/>
      <c r="D1603" s="643">
        <f t="shared" si="191"/>
        <v>0</v>
      </c>
      <c r="E1603" s="667">
        <f t="shared" si="190"/>
        <v>0</v>
      </c>
      <c r="F1603" s="644" t="e">
        <f t="shared" si="192"/>
        <v>#DIV/0!</v>
      </c>
      <c r="G1603" s="785"/>
      <c r="H1603" s="767"/>
      <c r="I1603" s="647"/>
      <c r="J1603" s="782"/>
      <c r="K1603" s="667"/>
      <c r="L1603" s="649"/>
      <c r="M1603" s="666"/>
      <c r="N1603" s="785"/>
      <c r="O1603" s="647" t="e">
        <f t="shared" si="194"/>
        <v>#DIV/0!</v>
      </c>
      <c r="P1603" s="785"/>
      <c r="Q1603" s="785"/>
      <c r="R1603" s="770"/>
    </row>
    <row r="1604" spans="1:18" s="775" customFormat="1" ht="24">
      <c r="A1604" s="787">
        <v>85417</v>
      </c>
      <c r="B1604" s="1040" t="s">
        <v>125</v>
      </c>
      <c r="C1604" s="673">
        <f>SUM(C1605:C1624)</f>
        <v>264000</v>
      </c>
      <c r="D1604" s="674">
        <f t="shared" si="191"/>
        <v>270500</v>
      </c>
      <c r="E1604" s="674">
        <f>H1604+K1604+Q1604+N1604</f>
        <v>196076</v>
      </c>
      <c r="F1604" s="675">
        <f t="shared" si="192"/>
        <v>72.48650646950092</v>
      </c>
      <c r="G1604" s="674">
        <f>SUM(G1605:G1624)</f>
        <v>270500</v>
      </c>
      <c r="H1604" s="674">
        <f>SUM(H1605:H1624)</f>
        <v>196076</v>
      </c>
      <c r="I1604" s="1066">
        <f t="shared" si="193"/>
        <v>72.48650646950092</v>
      </c>
      <c r="J1604" s="677"/>
      <c r="K1604" s="674"/>
      <c r="L1604" s="663"/>
      <c r="M1604" s="674"/>
      <c r="N1604" s="674"/>
      <c r="O1604" s="791"/>
      <c r="P1604" s="674"/>
      <c r="Q1604" s="674"/>
      <c r="R1604" s="828"/>
    </row>
    <row r="1605" spans="1:18" s="723" customFormat="1" ht="24">
      <c r="A1605" s="709">
        <v>4010</v>
      </c>
      <c r="B1605" s="1005" t="s">
        <v>697</v>
      </c>
      <c r="C1605" s="670">
        <v>116200</v>
      </c>
      <c r="D1605" s="685">
        <f t="shared" si="191"/>
        <v>122700</v>
      </c>
      <c r="E1605" s="686">
        <f aca="true" t="shared" si="195" ref="E1605:E1631">SUM(H1605+K1605+N1605+Q1605)</f>
        <v>90981</v>
      </c>
      <c r="F1605" s="668">
        <f t="shared" si="192"/>
        <v>74.14914425427874</v>
      </c>
      <c r="G1605" s="670">
        <f>116200+4100+2400</f>
        <v>122700</v>
      </c>
      <c r="H1605" s="686">
        <v>90981</v>
      </c>
      <c r="I1605" s="140">
        <f t="shared" si="193"/>
        <v>74.14914425427874</v>
      </c>
      <c r="J1605" s="777"/>
      <c r="K1605" s="686"/>
      <c r="L1605" s="690"/>
      <c r="M1605" s="670"/>
      <c r="N1605" s="686"/>
      <c r="O1605" s="652"/>
      <c r="P1605" s="686"/>
      <c r="Q1605" s="686"/>
      <c r="R1605" s="779"/>
    </row>
    <row r="1606" spans="1:18" s="723" customFormat="1" ht="36" hidden="1">
      <c r="A1606" s="728">
        <v>3020</v>
      </c>
      <c r="B1606" s="995" t="s">
        <v>934</v>
      </c>
      <c r="C1606" s="666"/>
      <c r="D1606" s="643">
        <f t="shared" si="191"/>
        <v>0</v>
      </c>
      <c r="E1606" s="667">
        <f t="shared" si="195"/>
        <v>0</v>
      </c>
      <c r="F1606" s="644" t="e">
        <f t="shared" si="192"/>
        <v>#DIV/0!</v>
      </c>
      <c r="G1606" s="666"/>
      <c r="H1606" s="667"/>
      <c r="I1606" s="120" t="e">
        <f t="shared" si="193"/>
        <v>#DIV/0!</v>
      </c>
      <c r="J1606" s="730"/>
      <c r="K1606" s="667"/>
      <c r="L1606" s="649"/>
      <c r="M1606" s="666"/>
      <c r="N1606" s="667"/>
      <c r="O1606" s="647"/>
      <c r="P1606" s="667"/>
      <c r="Q1606" s="667"/>
      <c r="R1606" s="731"/>
    </row>
    <row r="1607" spans="1:18" s="723" customFormat="1" ht="24">
      <c r="A1607" s="762">
        <v>4040</v>
      </c>
      <c r="B1607" s="1012" t="s">
        <v>701</v>
      </c>
      <c r="C1607" s="781">
        <v>9700</v>
      </c>
      <c r="D1607" s="765">
        <f t="shared" si="191"/>
        <v>9350</v>
      </c>
      <c r="E1607" s="785">
        <f t="shared" si="195"/>
        <v>9308</v>
      </c>
      <c r="F1607" s="705">
        <f t="shared" si="192"/>
        <v>99.55080213903743</v>
      </c>
      <c r="G1607" s="781">
        <f>9700-350</f>
        <v>9350</v>
      </c>
      <c r="H1607" s="785">
        <f>9309-1</f>
        <v>9308</v>
      </c>
      <c r="I1607" s="299">
        <f t="shared" si="193"/>
        <v>99.55080213903743</v>
      </c>
      <c r="J1607" s="782"/>
      <c r="K1607" s="785"/>
      <c r="L1607" s="768"/>
      <c r="M1607" s="781"/>
      <c r="N1607" s="785"/>
      <c r="O1607" s="707"/>
      <c r="P1607" s="785"/>
      <c r="Q1607" s="785"/>
      <c r="R1607" s="786"/>
    </row>
    <row r="1608" spans="1:18" s="723" customFormat="1" ht="24">
      <c r="A1608" s="728">
        <v>4110</v>
      </c>
      <c r="B1608" s="995" t="s">
        <v>703</v>
      </c>
      <c r="C1608" s="666">
        <v>21000</v>
      </c>
      <c r="D1608" s="643">
        <f t="shared" si="191"/>
        <v>21250</v>
      </c>
      <c r="E1608" s="667">
        <f t="shared" si="195"/>
        <v>15672</v>
      </c>
      <c r="F1608" s="644">
        <f t="shared" si="192"/>
        <v>73.75058823529412</v>
      </c>
      <c r="G1608" s="666">
        <f>21000+250</f>
        <v>21250</v>
      </c>
      <c r="H1608" s="667">
        <v>15672</v>
      </c>
      <c r="I1608" s="120">
        <f t="shared" si="193"/>
        <v>73.75058823529412</v>
      </c>
      <c r="J1608" s="730"/>
      <c r="K1608" s="667"/>
      <c r="L1608" s="649"/>
      <c r="M1608" s="666"/>
      <c r="N1608" s="667"/>
      <c r="O1608" s="647"/>
      <c r="P1608" s="667"/>
      <c r="Q1608" s="667"/>
      <c r="R1608" s="731"/>
    </row>
    <row r="1609" spans="1:18" s="723" customFormat="1" ht="13.5" customHeight="1">
      <c r="A1609" s="728">
        <v>4120</v>
      </c>
      <c r="B1609" s="995" t="s">
        <v>847</v>
      </c>
      <c r="C1609" s="666">
        <v>3200</v>
      </c>
      <c r="D1609" s="643">
        <f t="shared" si="191"/>
        <v>3250</v>
      </c>
      <c r="E1609" s="667">
        <f t="shared" si="195"/>
        <v>2226</v>
      </c>
      <c r="F1609" s="644">
        <f t="shared" si="192"/>
        <v>68.49230769230769</v>
      </c>
      <c r="G1609" s="666">
        <f>3200+50</f>
        <v>3250</v>
      </c>
      <c r="H1609" s="667">
        <v>2226</v>
      </c>
      <c r="I1609" s="120">
        <f t="shared" si="193"/>
        <v>68.49230769230769</v>
      </c>
      <c r="J1609" s="730"/>
      <c r="K1609" s="667"/>
      <c r="L1609" s="649"/>
      <c r="M1609" s="666"/>
      <c r="N1609" s="667"/>
      <c r="O1609" s="647"/>
      <c r="P1609" s="667"/>
      <c r="Q1609" s="667"/>
      <c r="R1609" s="731"/>
    </row>
    <row r="1610" spans="1:18" s="723" customFormat="1" ht="24">
      <c r="A1610" s="728">
        <v>4170</v>
      </c>
      <c r="B1610" s="995" t="s">
        <v>742</v>
      </c>
      <c r="C1610" s="666">
        <v>5500</v>
      </c>
      <c r="D1610" s="643">
        <f t="shared" si="191"/>
        <v>10500</v>
      </c>
      <c r="E1610" s="667">
        <f t="shared" si="195"/>
        <v>3985</v>
      </c>
      <c r="F1610" s="644">
        <f t="shared" si="192"/>
        <v>37.952380952380956</v>
      </c>
      <c r="G1610" s="666">
        <f>5500+5000</f>
        <v>10500</v>
      </c>
      <c r="H1610" s="667">
        <v>3985</v>
      </c>
      <c r="I1610" s="120">
        <f t="shared" si="193"/>
        <v>37.952380952380956</v>
      </c>
      <c r="J1610" s="730"/>
      <c r="K1610" s="667"/>
      <c r="L1610" s="649"/>
      <c r="M1610" s="666"/>
      <c r="N1610" s="667"/>
      <c r="O1610" s="647"/>
      <c r="P1610" s="667"/>
      <c r="Q1610" s="667"/>
      <c r="R1610" s="731"/>
    </row>
    <row r="1611" spans="1:18" s="723" customFormat="1" ht="24">
      <c r="A1611" s="728">
        <v>4210</v>
      </c>
      <c r="B1611" s="995" t="s">
        <v>707</v>
      </c>
      <c r="C1611" s="666">
        <v>16000</v>
      </c>
      <c r="D1611" s="643">
        <f t="shared" si="191"/>
        <v>12500</v>
      </c>
      <c r="E1611" s="667">
        <f t="shared" si="195"/>
        <v>5139</v>
      </c>
      <c r="F1611" s="644">
        <f t="shared" si="192"/>
        <v>41.112</v>
      </c>
      <c r="G1611" s="666">
        <f>16000-5000+1500</f>
        <v>12500</v>
      </c>
      <c r="H1611" s="667">
        <v>5139</v>
      </c>
      <c r="I1611" s="120">
        <f t="shared" si="193"/>
        <v>41.112</v>
      </c>
      <c r="J1611" s="730"/>
      <c r="K1611" s="667"/>
      <c r="L1611" s="649"/>
      <c r="M1611" s="666"/>
      <c r="N1611" s="667"/>
      <c r="O1611" s="647"/>
      <c r="P1611" s="667"/>
      <c r="Q1611" s="667"/>
      <c r="R1611" s="731"/>
    </row>
    <row r="1612" spans="1:18" s="723" customFormat="1" ht="12.75">
      <c r="A1612" s="728">
        <v>4260</v>
      </c>
      <c r="B1612" s="995" t="s">
        <v>711</v>
      </c>
      <c r="C1612" s="666">
        <v>22200</v>
      </c>
      <c r="D1612" s="643">
        <f t="shared" si="191"/>
        <v>22200</v>
      </c>
      <c r="E1612" s="667">
        <f t="shared" si="195"/>
        <v>14286</v>
      </c>
      <c r="F1612" s="644">
        <f t="shared" si="192"/>
        <v>64.35135135135135</v>
      </c>
      <c r="G1612" s="666">
        <v>22200</v>
      </c>
      <c r="H1612" s="667">
        <v>14286</v>
      </c>
      <c r="I1612" s="120">
        <f t="shared" si="193"/>
        <v>64.35135135135135</v>
      </c>
      <c r="J1612" s="730"/>
      <c r="K1612" s="667"/>
      <c r="L1612" s="649"/>
      <c r="M1612" s="666"/>
      <c r="N1612" s="667"/>
      <c r="O1612" s="647"/>
      <c r="P1612" s="667"/>
      <c r="Q1612" s="667"/>
      <c r="R1612" s="731"/>
    </row>
    <row r="1613" spans="1:18" s="723" customFormat="1" ht="24">
      <c r="A1613" s="728">
        <v>4270</v>
      </c>
      <c r="B1613" s="995" t="s">
        <v>713</v>
      </c>
      <c r="C1613" s="666">
        <v>3200</v>
      </c>
      <c r="D1613" s="643">
        <f>G1613+J1613+P1613+M1613</f>
        <v>3200</v>
      </c>
      <c r="E1613" s="667">
        <f>SUM(H1613+K1613+N1613+Q1613)</f>
        <v>993</v>
      </c>
      <c r="F1613" s="644">
        <f>E1613/D1613*100</f>
        <v>31.03125</v>
      </c>
      <c r="G1613" s="666">
        <v>3200</v>
      </c>
      <c r="H1613" s="667">
        <v>993</v>
      </c>
      <c r="I1613" s="120">
        <f t="shared" si="193"/>
        <v>31.03125</v>
      </c>
      <c r="J1613" s="730"/>
      <c r="K1613" s="667"/>
      <c r="L1613" s="649"/>
      <c r="M1613" s="666"/>
      <c r="N1613" s="667"/>
      <c r="O1613" s="647"/>
      <c r="P1613" s="667"/>
      <c r="Q1613" s="667"/>
      <c r="R1613" s="731"/>
    </row>
    <row r="1614" spans="1:18" s="723" customFormat="1" ht="24" hidden="1">
      <c r="A1614" s="728">
        <v>4280</v>
      </c>
      <c r="B1614" s="995" t="s">
        <v>805</v>
      </c>
      <c r="C1614" s="666"/>
      <c r="D1614" s="643">
        <f>G1614+J1614+P1614+M1614</f>
        <v>0</v>
      </c>
      <c r="E1614" s="667">
        <f>SUM(H1614+K1614+N1614+Q1614)</f>
        <v>0</v>
      </c>
      <c r="F1614" s="644" t="e">
        <f>E1614/D1614*100</f>
        <v>#DIV/0!</v>
      </c>
      <c r="G1614" s="666"/>
      <c r="H1614" s="667"/>
      <c r="I1614" s="120" t="e">
        <f t="shared" si="193"/>
        <v>#DIV/0!</v>
      </c>
      <c r="J1614" s="730"/>
      <c r="K1614" s="667"/>
      <c r="L1614" s="649"/>
      <c r="M1614" s="666"/>
      <c r="N1614" s="667"/>
      <c r="O1614" s="647"/>
      <c r="P1614" s="667"/>
      <c r="Q1614" s="667"/>
      <c r="R1614" s="731"/>
    </row>
    <row r="1615" spans="1:18" s="723" customFormat="1" ht="24">
      <c r="A1615" s="728">
        <v>4300</v>
      </c>
      <c r="B1615" s="995" t="s">
        <v>715</v>
      </c>
      <c r="C1615" s="666">
        <v>7900</v>
      </c>
      <c r="D1615" s="643">
        <f t="shared" si="191"/>
        <v>7900</v>
      </c>
      <c r="E1615" s="667">
        <f t="shared" si="195"/>
        <v>3832</v>
      </c>
      <c r="F1615" s="644">
        <f t="shared" si="192"/>
        <v>48.50632911392405</v>
      </c>
      <c r="G1615" s="666">
        <v>7900</v>
      </c>
      <c r="H1615" s="667">
        <v>3832</v>
      </c>
      <c r="I1615" s="120">
        <f t="shared" si="193"/>
        <v>48.50632911392405</v>
      </c>
      <c r="J1615" s="730"/>
      <c r="K1615" s="667"/>
      <c r="L1615" s="649"/>
      <c r="M1615" s="666"/>
      <c r="N1615" s="667"/>
      <c r="O1615" s="647"/>
      <c r="P1615" s="667"/>
      <c r="Q1615" s="667"/>
      <c r="R1615" s="731"/>
    </row>
    <row r="1616" spans="1:18" s="723" customFormat="1" ht="24">
      <c r="A1616" s="728">
        <v>4350</v>
      </c>
      <c r="B1616" s="995" t="s">
        <v>807</v>
      </c>
      <c r="C1616" s="666">
        <v>2100</v>
      </c>
      <c r="D1616" s="643">
        <f t="shared" si="191"/>
        <v>1600</v>
      </c>
      <c r="E1616" s="667">
        <f t="shared" si="195"/>
        <v>1279</v>
      </c>
      <c r="F1616" s="644">
        <f t="shared" si="192"/>
        <v>79.9375</v>
      </c>
      <c r="G1616" s="666">
        <f>2100-500</f>
        <v>1600</v>
      </c>
      <c r="H1616" s="667">
        <f>1280-1</f>
        <v>1279</v>
      </c>
      <c r="I1616" s="120">
        <f t="shared" si="193"/>
        <v>79.9375</v>
      </c>
      <c r="J1616" s="730"/>
      <c r="K1616" s="667"/>
      <c r="L1616" s="649"/>
      <c r="M1616" s="666"/>
      <c r="N1616" s="667"/>
      <c r="O1616" s="647"/>
      <c r="P1616" s="667"/>
      <c r="Q1616" s="667"/>
      <c r="R1616" s="731"/>
    </row>
    <row r="1617" spans="1:18" s="723" customFormat="1" ht="48">
      <c r="A1617" s="829">
        <v>4360</v>
      </c>
      <c r="B1617" s="850" t="s">
        <v>982</v>
      </c>
      <c r="C1617" s="666">
        <v>800</v>
      </c>
      <c r="D1617" s="643">
        <f>G1617+J1617+P1617+M1617</f>
        <v>800</v>
      </c>
      <c r="E1617" s="667">
        <f>SUM(H1617+K1617+N1617+Q1617)</f>
        <v>378</v>
      </c>
      <c r="F1617" s="644">
        <f>E1617/D1617*100</f>
        <v>47.25</v>
      </c>
      <c r="G1617" s="666">
        <v>800</v>
      </c>
      <c r="H1617" s="667">
        <v>378</v>
      </c>
      <c r="I1617" s="120">
        <f t="shared" si="193"/>
        <v>47.25</v>
      </c>
      <c r="J1617" s="730"/>
      <c r="K1617" s="667"/>
      <c r="L1617" s="649"/>
      <c r="M1617" s="666"/>
      <c r="N1617" s="667"/>
      <c r="O1617" s="647"/>
      <c r="P1617" s="667"/>
      <c r="Q1617" s="667"/>
      <c r="R1617" s="731"/>
    </row>
    <row r="1618" spans="1:18" s="723" customFormat="1" ht="48">
      <c r="A1618" s="829">
        <v>4370</v>
      </c>
      <c r="B1618" s="850" t="s">
        <v>916</v>
      </c>
      <c r="C1618" s="666">
        <v>2000</v>
      </c>
      <c r="D1618" s="643">
        <f>G1618+J1618+P1618+M1618</f>
        <v>1600</v>
      </c>
      <c r="E1618" s="667">
        <f>SUM(H1618+K1618+N1618+Q1618)</f>
        <v>1053</v>
      </c>
      <c r="F1618" s="644">
        <f>E1618/D1618*100</f>
        <v>65.8125</v>
      </c>
      <c r="G1618" s="666">
        <f>2000-400</f>
        <v>1600</v>
      </c>
      <c r="H1618" s="667">
        <v>1053</v>
      </c>
      <c r="I1618" s="120">
        <f t="shared" si="193"/>
        <v>65.8125</v>
      </c>
      <c r="J1618" s="730"/>
      <c r="K1618" s="667"/>
      <c r="L1618" s="649"/>
      <c r="M1618" s="666"/>
      <c r="N1618" s="667"/>
      <c r="O1618" s="647"/>
      <c r="P1618" s="667"/>
      <c r="Q1618" s="667"/>
      <c r="R1618" s="731"/>
    </row>
    <row r="1619" spans="1:18" s="723" customFormat="1" ht="24">
      <c r="A1619" s="728">
        <v>4410</v>
      </c>
      <c r="B1619" s="995" t="s">
        <v>689</v>
      </c>
      <c r="C1619" s="666">
        <v>2800</v>
      </c>
      <c r="D1619" s="643">
        <f>G1619+J1619+P1619+M1619</f>
        <v>3000</v>
      </c>
      <c r="E1619" s="667">
        <f>SUM(H1619+K1619+N1619+Q1619)</f>
        <v>2078</v>
      </c>
      <c r="F1619" s="644">
        <f>E1619/D1619*100</f>
        <v>69.26666666666667</v>
      </c>
      <c r="G1619" s="666">
        <f>2800+200</f>
        <v>3000</v>
      </c>
      <c r="H1619" s="667">
        <v>2078</v>
      </c>
      <c r="I1619" s="120">
        <f t="shared" si="193"/>
        <v>69.26666666666667</v>
      </c>
      <c r="J1619" s="730"/>
      <c r="K1619" s="667"/>
      <c r="L1619" s="649"/>
      <c r="M1619" s="666"/>
      <c r="N1619" s="667"/>
      <c r="O1619" s="647"/>
      <c r="P1619" s="667"/>
      <c r="Q1619" s="667"/>
      <c r="R1619" s="731"/>
    </row>
    <row r="1620" spans="1:18" s="723" customFormat="1" ht="12.75">
      <c r="A1620" s="728">
        <v>4430</v>
      </c>
      <c r="B1620" s="995" t="s">
        <v>717</v>
      </c>
      <c r="C1620" s="666">
        <v>900</v>
      </c>
      <c r="D1620" s="643">
        <f>G1620+J1620+P1620+M1620</f>
        <v>900</v>
      </c>
      <c r="E1620" s="667">
        <f>SUM(H1620+K1620+N1620+Q1620)</f>
        <v>850</v>
      </c>
      <c r="F1620" s="644">
        <f>E1620/D1620*100</f>
        <v>94.44444444444444</v>
      </c>
      <c r="G1620" s="666">
        <v>900</v>
      </c>
      <c r="H1620" s="667">
        <v>850</v>
      </c>
      <c r="I1620" s="120">
        <f t="shared" si="193"/>
        <v>94.44444444444444</v>
      </c>
      <c r="J1620" s="730"/>
      <c r="K1620" s="667"/>
      <c r="L1620" s="649"/>
      <c r="M1620" s="666"/>
      <c r="N1620" s="667"/>
      <c r="O1620" s="647"/>
      <c r="P1620" s="667"/>
      <c r="Q1620" s="667"/>
      <c r="R1620" s="731"/>
    </row>
    <row r="1621" spans="1:18" s="723" customFormat="1" ht="12.75">
      <c r="A1621" s="728">
        <v>4440</v>
      </c>
      <c r="B1621" s="818" t="s">
        <v>719</v>
      </c>
      <c r="C1621" s="666">
        <v>5000</v>
      </c>
      <c r="D1621" s="643">
        <f>G1621+J1621+P1621+M1621</f>
        <v>5450</v>
      </c>
      <c r="E1621" s="667">
        <f>SUM(H1621+K1621+N1621+Q1621)</f>
        <v>4005</v>
      </c>
      <c r="F1621" s="644">
        <f>E1621/D1621*100</f>
        <v>73.4862385321101</v>
      </c>
      <c r="G1621" s="666">
        <f>5000+350+100</f>
        <v>5450</v>
      </c>
      <c r="H1621" s="667">
        <v>4005</v>
      </c>
      <c r="I1621" s="120">
        <f t="shared" si="193"/>
        <v>73.4862385321101</v>
      </c>
      <c r="J1621" s="730"/>
      <c r="K1621" s="667"/>
      <c r="L1621" s="649"/>
      <c r="M1621" s="666"/>
      <c r="N1621" s="667"/>
      <c r="O1621" s="647"/>
      <c r="P1621" s="667"/>
      <c r="Q1621" s="667"/>
      <c r="R1621" s="731"/>
    </row>
    <row r="1622" spans="1:18" s="723" customFormat="1" ht="60">
      <c r="A1622" s="829">
        <v>4740</v>
      </c>
      <c r="B1622" s="850" t="s">
        <v>728</v>
      </c>
      <c r="C1622" s="666">
        <v>2000</v>
      </c>
      <c r="D1622" s="643">
        <f t="shared" si="191"/>
        <v>1000</v>
      </c>
      <c r="E1622" s="667">
        <f t="shared" si="195"/>
        <v>155</v>
      </c>
      <c r="F1622" s="644">
        <f t="shared" si="192"/>
        <v>15.5</v>
      </c>
      <c r="G1622" s="666">
        <f>2000-1000</f>
        <v>1000</v>
      </c>
      <c r="H1622" s="667">
        <f>156-1</f>
        <v>155</v>
      </c>
      <c r="I1622" s="120">
        <f t="shared" si="193"/>
        <v>15.5</v>
      </c>
      <c r="J1622" s="730"/>
      <c r="K1622" s="667"/>
      <c r="L1622" s="649"/>
      <c r="M1622" s="666"/>
      <c r="N1622" s="667"/>
      <c r="O1622" s="647"/>
      <c r="P1622" s="667"/>
      <c r="Q1622" s="667"/>
      <c r="R1622" s="731"/>
    </row>
    <row r="1623" spans="1:18" s="723" customFormat="1" ht="36">
      <c r="A1623" s="829">
        <v>4750</v>
      </c>
      <c r="B1623" s="850" t="s">
        <v>814</v>
      </c>
      <c r="C1623" s="666">
        <v>500</v>
      </c>
      <c r="D1623" s="643">
        <f>G1623+J1623+P1623+M1623</f>
        <v>300</v>
      </c>
      <c r="E1623" s="667">
        <f>SUM(H1623+K1623+N1623+Q1623)</f>
        <v>110</v>
      </c>
      <c r="F1623" s="644">
        <f>E1623/D1623*100</f>
        <v>36.666666666666664</v>
      </c>
      <c r="G1623" s="666">
        <f>500-200</f>
        <v>300</v>
      </c>
      <c r="H1623" s="667">
        <v>110</v>
      </c>
      <c r="I1623" s="120">
        <f t="shared" si="193"/>
        <v>36.666666666666664</v>
      </c>
      <c r="J1623" s="730"/>
      <c r="K1623" s="667"/>
      <c r="L1623" s="649"/>
      <c r="M1623" s="666"/>
      <c r="N1623" s="667"/>
      <c r="O1623" s="647"/>
      <c r="P1623" s="667"/>
      <c r="Q1623" s="667"/>
      <c r="R1623" s="731"/>
    </row>
    <row r="1624" spans="1:18" s="723" customFormat="1" ht="24">
      <c r="A1624" s="728">
        <v>6050</v>
      </c>
      <c r="B1624" s="818" t="s">
        <v>739</v>
      </c>
      <c r="C1624" s="666">
        <v>43000</v>
      </c>
      <c r="D1624" s="643">
        <f t="shared" si="191"/>
        <v>43000</v>
      </c>
      <c r="E1624" s="667">
        <f t="shared" si="195"/>
        <v>39746</v>
      </c>
      <c r="F1624" s="644">
        <f t="shared" si="192"/>
        <v>92.43255813953488</v>
      </c>
      <c r="G1624" s="666">
        <v>43000</v>
      </c>
      <c r="H1624" s="667">
        <v>39746</v>
      </c>
      <c r="I1624" s="120">
        <f t="shared" si="193"/>
        <v>92.43255813953488</v>
      </c>
      <c r="J1624" s="730"/>
      <c r="K1624" s="667"/>
      <c r="L1624" s="649"/>
      <c r="M1624" s="666"/>
      <c r="N1624" s="667"/>
      <c r="O1624" s="647"/>
      <c r="P1624" s="667"/>
      <c r="Q1624" s="667"/>
      <c r="R1624" s="731"/>
    </row>
    <row r="1625" spans="1:18" s="723" customFormat="1" ht="24">
      <c r="A1625" s="787">
        <v>85419</v>
      </c>
      <c r="B1625" s="856" t="s">
        <v>126</v>
      </c>
      <c r="C1625" s="673">
        <f>SUM(C1626)</f>
        <v>275000</v>
      </c>
      <c r="D1625" s="674">
        <f aca="true" t="shared" si="196" ref="D1625:D1632">G1625+J1625+P1625+M1625</f>
        <v>575000</v>
      </c>
      <c r="E1625" s="674">
        <f>SUM(H1625+K1625+N1625+Q1625)</f>
        <v>565252</v>
      </c>
      <c r="F1625" s="675">
        <f>E1625/D1625*100</f>
        <v>98.30469565217392</v>
      </c>
      <c r="G1625" s="677"/>
      <c r="H1625" s="674"/>
      <c r="I1625" s="130"/>
      <c r="J1625" s="901"/>
      <c r="K1625" s="674"/>
      <c r="L1625" s="663"/>
      <c r="M1625" s="673">
        <f>SUM(M1626)</f>
        <v>575000</v>
      </c>
      <c r="N1625" s="674">
        <f>SUM(N1626)</f>
        <v>565252</v>
      </c>
      <c r="O1625" s="696">
        <f aca="true" t="shared" si="197" ref="O1625:O1632">N1625/M1625*100</f>
        <v>98.30469565217392</v>
      </c>
      <c r="P1625" s="674"/>
      <c r="Q1625" s="674"/>
      <c r="R1625" s="827"/>
    </row>
    <row r="1626" spans="1:18" s="723" customFormat="1" ht="36">
      <c r="A1626" s="891">
        <v>2540</v>
      </c>
      <c r="B1626" s="892" t="s">
        <v>127</v>
      </c>
      <c r="C1626" s="893">
        <v>275000</v>
      </c>
      <c r="D1626" s="894">
        <f t="shared" si="196"/>
        <v>575000</v>
      </c>
      <c r="E1626" s="895">
        <f>SUM(H1626+K1626+N1626+Q1626)</f>
        <v>565252</v>
      </c>
      <c r="F1626" s="658">
        <f>E1626/D1626*100</f>
        <v>98.30469565217392</v>
      </c>
      <c r="G1626" s="896"/>
      <c r="H1626" s="895"/>
      <c r="I1626" s="280"/>
      <c r="J1626" s="1089"/>
      <c r="K1626" s="895"/>
      <c r="L1626" s="897"/>
      <c r="M1626" s="893">
        <f>275000+300000</f>
        <v>575000</v>
      </c>
      <c r="N1626" s="895">
        <v>565252</v>
      </c>
      <c r="O1626" s="1066">
        <f t="shared" si="197"/>
        <v>98.30469565217392</v>
      </c>
      <c r="P1626" s="895"/>
      <c r="Q1626" s="895"/>
      <c r="R1626" s="317"/>
    </row>
    <row r="1627" spans="1:18" s="775" customFormat="1" ht="36">
      <c r="A1627" s="832">
        <v>85446</v>
      </c>
      <c r="B1627" s="833" t="s">
        <v>15</v>
      </c>
      <c r="C1627" s="834">
        <f>SUM(C1628:C1631)</f>
        <v>25600</v>
      </c>
      <c r="D1627" s="727">
        <f t="shared" si="196"/>
        <v>25600</v>
      </c>
      <c r="E1627" s="727">
        <f>SUM(H1627+K1627+N1627+Q1627)</f>
        <v>5875</v>
      </c>
      <c r="F1627" s="890">
        <f t="shared" si="192"/>
        <v>22.94921875</v>
      </c>
      <c r="G1627" s="835"/>
      <c r="H1627" s="727"/>
      <c r="I1627" s="786"/>
      <c r="J1627" s="1090"/>
      <c r="K1627" s="727"/>
      <c r="L1627" s="873"/>
      <c r="M1627" s="673">
        <f>SUM(M1628:M1631)</f>
        <v>25600</v>
      </c>
      <c r="N1627" s="674">
        <f>SUM(N1628:N1631)</f>
        <v>5875</v>
      </c>
      <c r="O1627" s="1066">
        <f t="shared" si="197"/>
        <v>22.94921875</v>
      </c>
      <c r="P1627" s="727"/>
      <c r="Q1627" s="727"/>
      <c r="R1627" s="838"/>
    </row>
    <row r="1628" spans="1:18" s="761" customFormat="1" ht="24">
      <c r="A1628" s="829">
        <v>4210</v>
      </c>
      <c r="B1628" s="995" t="s">
        <v>707</v>
      </c>
      <c r="C1628" s="697"/>
      <c r="D1628" s="643">
        <f t="shared" si="196"/>
        <v>750</v>
      </c>
      <c r="E1628" s="667">
        <f t="shared" si="195"/>
        <v>202</v>
      </c>
      <c r="F1628" s="644">
        <f t="shared" si="192"/>
        <v>26.93333333333333</v>
      </c>
      <c r="G1628" s="648"/>
      <c r="H1628" s="643"/>
      <c r="I1628" s="731"/>
      <c r="J1628" s="948"/>
      <c r="K1628" s="643"/>
      <c r="L1628" s="649"/>
      <c r="M1628" s="684">
        <v>750</v>
      </c>
      <c r="N1628" s="643">
        <v>202</v>
      </c>
      <c r="O1628" s="1052">
        <f t="shared" si="197"/>
        <v>26.93333333333333</v>
      </c>
      <c r="P1628" s="643"/>
      <c r="Q1628" s="643"/>
      <c r="R1628" s="731"/>
    </row>
    <row r="1629" spans="1:18" s="761" customFormat="1" ht="24">
      <c r="A1629" s="728">
        <v>4300</v>
      </c>
      <c r="B1629" s="735" t="s">
        <v>715</v>
      </c>
      <c r="C1629" s="697">
        <v>25600</v>
      </c>
      <c r="D1629" s="643">
        <f t="shared" si="196"/>
        <v>5000</v>
      </c>
      <c r="E1629" s="667">
        <f t="shared" si="195"/>
        <v>12</v>
      </c>
      <c r="F1629" s="644">
        <f t="shared" si="192"/>
        <v>0.24</v>
      </c>
      <c r="G1629" s="648"/>
      <c r="H1629" s="643"/>
      <c r="I1629" s="731"/>
      <c r="J1629" s="948"/>
      <c r="K1629" s="643"/>
      <c r="L1629" s="649"/>
      <c r="M1629" s="697">
        <f>25600-25600+5000</f>
        <v>5000</v>
      </c>
      <c r="N1629" s="643">
        <v>12</v>
      </c>
      <c r="O1629" s="396">
        <f t="shared" si="197"/>
        <v>0.24</v>
      </c>
      <c r="P1629" s="643"/>
      <c r="Q1629" s="643"/>
      <c r="R1629" s="731"/>
    </row>
    <row r="1630" spans="1:18" s="723" customFormat="1" ht="24">
      <c r="A1630" s="728">
        <v>4410</v>
      </c>
      <c r="B1630" s="995" t="s">
        <v>689</v>
      </c>
      <c r="C1630" s="666"/>
      <c r="D1630" s="643">
        <f t="shared" si="196"/>
        <v>4900</v>
      </c>
      <c r="E1630" s="667">
        <f t="shared" si="195"/>
        <v>1844</v>
      </c>
      <c r="F1630" s="644">
        <f t="shared" si="192"/>
        <v>37.63265306122449</v>
      </c>
      <c r="G1630" s="730"/>
      <c r="H1630" s="667"/>
      <c r="I1630" s="731"/>
      <c r="J1630" s="900"/>
      <c r="K1630" s="667"/>
      <c r="L1630" s="649"/>
      <c r="M1630" s="666">
        <v>4900</v>
      </c>
      <c r="N1630" s="667">
        <v>1844</v>
      </c>
      <c r="O1630" s="396">
        <f t="shared" si="197"/>
        <v>37.63265306122449</v>
      </c>
      <c r="P1630" s="667"/>
      <c r="Q1630" s="667"/>
      <c r="R1630" s="731"/>
    </row>
    <row r="1631" spans="1:18" s="723" customFormat="1" ht="36">
      <c r="A1631" s="829">
        <v>4700</v>
      </c>
      <c r="B1631" s="850" t="s">
        <v>813</v>
      </c>
      <c r="C1631" s="781"/>
      <c r="D1631" s="765">
        <f t="shared" si="196"/>
        <v>14950</v>
      </c>
      <c r="E1631" s="667">
        <f t="shared" si="195"/>
        <v>3817</v>
      </c>
      <c r="F1631" s="644">
        <f t="shared" si="192"/>
        <v>25.531772575250837</v>
      </c>
      <c r="G1631" s="782"/>
      <c r="H1631" s="785"/>
      <c r="I1631" s="786"/>
      <c r="J1631" s="920"/>
      <c r="K1631" s="785"/>
      <c r="L1631" s="768"/>
      <c r="M1631" s="781">
        <v>14950</v>
      </c>
      <c r="N1631" s="785">
        <v>3817</v>
      </c>
      <c r="O1631" s="410">
        <f t="shared" si="197"/>
        <v>25.531772575250837</v>
      </c>
      <c r="P1631" s="785"/>
      <c r="Q1631" s="785"/>
      <c r="R1631" s="786"/>
    </row>
    <row r="1632" spans="1:18" s="723" customFormat="1" ht="12.75">
      <c r="A1632" s="724">
        <v>85495</v>
      </c>
      <c r="B1632" s="854" t="s">
        <v>311</v>
      </c>
      <c r="C1632" s="726">
        <f>SUM(C1633+C1646+C1654)</f>
        <v>247900</v>
      </c>
      <c r="D1632" s="674">
        <f t="shared" si="196"/>
        <v>625787</v>
      </c>
      <c r="E1632" s="674">
        <f>H1632+K1632+Q1632+N1632</f>
        <v>580181</v>
      </c>
      <c r="F1632" s="658">
        <f>E1632/D1632*100</f>
        <v>92.71221677663486</v>
      </c>
      <c r="G1632" s="657">
        <f>SUM(G1633+G1646+G1654)</f>
        <v>43900</v>
      </c>
      <c r="H1632" s="657">
        <f>SUM(H1633+H1646+H1654)</f>
        <v>32579</v>
      </c>
      <c r="I1632" s="890">
        <f t="shared" si="193"/>
        <v>74.21184510250569</v>
      </c>
      <c r="J1632" s="1091"/>
      <c r="K1632" s="657"/>
      <c r="L1632" s="663"/>
      <c r="M1632" s="657">
        <f>SUM(M1633+M1646+M1654)</f>
        <v>581887</v>
      </c>
      <c r="N1632" s="657">
        <f>SUM(N1633+N1646+N1654)</f>
        <v>547602</v>
      </c>
      <c r="O1632" s="1066">
        <f t="shared" si="197"/>
        <v>94.10796254255551</v>
      </c>
      <c r="P1632" s="657"/>
      <c r="Q1632" s="657"/>
      <c r="R1632" s="317"/>
    </row>
    <row r="1633" spans="1:18" s="723" customFormat="1" ht="12.75" hidden="1">
      <c r="A1633" s="724"/>
      <c r="B1633" s="856"/>
      <c r="C1633" s="726"/>
      <c r="D1633" s="674"/>
      <c r="E1633" s="674"/>
      <c r="F1633" s="658"/>
      <c r="G1633" s="726"/>
      <c r="H1633" s="657"/>
      <c r="I1633" s="890"/>
      <c r="J1633" s="1092"/>
      <c r="K1633" s="657"/>
      <c r="L1633" s="663"/>
      <c r="M1633" s="657"/>
      <c r="N1633" s="657"/>
      <c r="O1633" s="317"/>
      <c r="P1633" s="657"/>
      <c r="Q1633" s="657"/>
      <c r="R1633" s="317"/>
    </row>
    <row r="1634" spans="1:18" s="723" customFormat="1" ht="12.75" hidden="1">
      <c r="A1634" s="728"/>
      <c r="B1634" s="735"/>
      <c r="C1634" s="697"/>
      <c r="D1634" s="643"/>
      <c r="E1634" s="667"/>
      <c r="F1634" s="644"/>
      <c r="G1634" s="697"/>
      <c r="H1634" s="643"/>
      <c r="I1634" s="492"/>
      <c r="J1634" s="998"/>
      <c r="K1634" s="847"/>
      <c r="L1634" s="751"/>
      <c r="M1634" s="847"/>
      <c r="N1634" s="847"/>
      <c r="O1634" s="731"/>
      <c r="P1634" s="847"/>
      <c r="Q1634" s="847"/>
      <c r="R1634" s="731"/>
    </row>
    <row r="1635" spans="1:18" s="723" customFormat="1" ht="12.75" hidden="1">
      <c r="A1635" s="728"/>
      <c r="B1635" s="735"/>
      <c r="C1635" s="697"/>
      <c r="D1635" s="643"/>
      <c r="E1635" s="667"/>
      <c r="F1635" s="644"/>
      <c r="G1635" s="697"/>
      <c r="H1635" s="643"/>
      <c r="I1635" s="492"/>
      <c r="J1635" s="730"/>
      <c r="K1635" s="667"/>
      <c r="L1635" s="649"/>
      <c r="M1635" s="667"/>
      <c r="N1635" s="667"/>
      <c r="O1635" s="647"/>
      <c r="P1635" s="667"/>
      <c r="Q1635" s="667"/>
      <c r="R1635" s="731"/>
    </row>
    <row r="1636" spans="1:18" s="723" customFormat="1" ht="12.75" hidden="1">
      <c r="A1636" s="728"/>
      <c r="B1636" s="735"/>
      <c r="C1636" s="697"/>
      <c r="D1636" s="643"/>
      <c r="E1636" s="667"/>
      <c r="F1636" s="644"/>
      <c r="G1636" s="697"/>
      <c r="H1636" s="643"/>
      <c r="I1636" s="492"/>
      <c r="J1636" s="998"/>
      <c r="K1636" s="847"/>
      <c r="L1636" s="751"/>
      <c r="M1636" s="847"/>
      <c r="N1636" s="847"/>
      <c r="O1636" s="731"/>
      <c r="P1636" s="847"/>
      <c r="Q1636" s="847"/>
      <c r="R1636" s="731"/>
    </row>
    <row r="1637" spans="1:18" s="723" customFormat="1" ht="14.25" customHeight="1" hidden="1">
      <c r="A1637" s="728"/>
      <c r="B1637" s="735"/>
      <c r="C1637" s="697"/>
      <c r="D1637" s="643"/>
      <c r="E1637" s="667"/>
      <c r="F1637" s="644"/>
      <c r="G1637" s="697"/>
      <c r="H1637" s="643"/>
      <c r="I1637" s="492"/>
      <c r="J1637" s="998"/>
      <c r="K1637" s="847"/>
      <c r="L1637" s="751"/>
      <c r="M1637" s="847"/>
      <c r="N1637" s="847"/>
      <c r="O1637" s="731"/>
      <c r="P1637" s="847"/>
      <c r="Q1637" s="847"/>
      <c r="R1637" s="731"/>
    </row>
    <row r="1638" spans="1:18" s="723" customFormat="1" ht="12.75" hidden="1">
      <c r="A1638" s="728"/>
      <c r="B1638" s="735"/>
      <c r="C1638" s="697"/>
      <c r="D1638" s="643"/>
      <c r="E1638" s="667"/>
      <c r="F1638" s="644"/>
      <c r="G1638" s="697"/>
      <c r="H1638" s="643"/>
      <c r="I1638" s="492"/>
      <c r="J1638" s="998"/>
      <c r="K1638" s="847"/>
      <c r="L1638" s="751"/>
      <c r="M1638" s="847"/>
      <c r="N1638" s="847"/>
      <c r="O1638" s="731"/>
      <c r="P1638" s="847"/>
      <c r="Q1638" s="847"/>
      <c r="R1638" s="731"/>
    </row>
    <row r="1639" spans="1:18" s="723" customFormat="1" ht="15" customHeight="1" hidden="1">
      <c r="A1639" s="728"/>
      <c r="B1639" s="735"/>
      <c r="C1639" s="697"/>
      <c r="D1639" s="643"/>
      <c r="E1639" s="667"/>
      <c r="F1639" s="644"/>
      <c r="G1639" s="697"/>
      <c r="H1639" s="643"/>
      <c r="I1639" s="492"/>
      <c r="J1639" s="998"/>
      <c r="K1639" s="847"/>
      <c r="L1639" s="751"/>
      <c r="M1639" s="847"/>
      <c r="N1639" s="847"/>
      <c r="O1639" s="731"/>
      <c r="P1639" s="847"/>
      <c r="Q1639" s="847"/>
      <c r="R1639" s="731"/>
    </row>
    <row r="1640" spans="1:18" s="723" customFormat="1" ht="14.25" customHeight="1" hidden="1">
      <c r="A1640" s="728"/>
      <c r="B1640" s="735"/>
      <c r="C1640" s="697"/>
      <c r="D1640" s="643"/>
      <c r="E1640" s="667"/>
      <c r="F1640" s="644"/>
      <c r="G1640" s="697"/>
      <c r="H1640" s="643"/>
      <c r="I1640" s="492"/>
      <c r="J1640" s="998"/>
      <c r="K1640" s="847"/>
      <c r="L1640" s="751"/>
      <c r="M1640" s="847"/>
      <c r="N1640" s="847"/>
      <c r="O1640" s="731"/>
      <c r="P1640" s="847"/>
      <c r="Q1640" s="847"/>
      <c r="R1640" s="731"/>
    </row>
    <row r="1641" spans="1:18" s="723" customFormat="1" ht="14.25" customHeight="1" hidden="1">
      <c r="A1641" s="728"/>
      <c r="B1641" s="735"/>
      <c r="C1641" s="697"/>
      <c r="D1641" s="643"/>
      <c r="E1641" s="667"/>
      <c r="F1641" s="644"/>
      <c r="G1641" s="697"/>
      <c r="H1641" s="643"/>
      <c r="I1641" s="492"/>
      <c r="J1641" s="998"/>
      <c r="K1641" s="847"/>
      <c r="L1641" s="751"/>
      <c r="M1641" s="643"/>
      <c r="N1641" s="847"/>
      <c r="O1641" s="731"/>
      <c r="P1641" s="847"/>
      <c r="Q1641" s="847"/>
      <c r="R1641" s="731"/>
    </row>
    <row r="1642" spans="1:18" s="723" customFormat="1" ht="14.25" customHeight="1" hidden="1">
      <c r="A1642" s="728"/>
      <c r="B1642" s="735"/>
      <c r="C1642" s="697"/>
      <c r="D1642" s="643"/>
      <c r="E1642" s="667"/>
      <c r="F1642" s="644"/>
      <c r="G1642" s="697"/>
      <c r="H1642" s="643"/>
      <c r="I1642" s="492"/>
      <c r="J1642" s="998"/>
      <c r="K1642" s="847"/>
      <c r="L1642" s="751"/>
      <c r="M1642" s="847"/>
      <c r="N1642" s="847"/>
      <c r="O1642" s="731"/>
      <c r="P1642" s="847"/>
      <c r="Q1642" s="847"/>
      <c r="R1642" s="731"/>
    </row>
    <row r="1643" spans="1:18" s="723" customFormat="1" ht="14.25" customHeight="1" hidden="1">
      <c r="A1643" s="728"/>
      <c r="B1643" s="735"/>
      <c r="C1643" s="697"/>
      <c r="D1643" s="643"/>
      <c r="E1643" s="667"/>
      <c r="F1643" s="644"/>
      <c r="G1643" s="697"/>
      <c r="H1643" s="643"/>
      <c r="I1643" s="492"/>
      <c r="J1643" s="998"/>
      <c r="K1643" s="847"/>
      <c r="L1643" s="751"/>
      <c r="M1643" s="847"/>
      <c r="N1643" s="847"/>
      <c r="O1643" s="731"/>
      <c r="P1643" s="847"/>
      <c r="Q1643" s="847"/>
      <c r="R1643" s="731"/>
    </row>
    <row r="1644" spans="1:18" s="723" customFormat="1" ht="14.25" customHeight="1" hidden="1">
      <c r="A1644" s="728"/>
      <c r="B1644" s="735"/>
      <c r="C1644" s="697"/>
      <c r="D1644" s="643"/>
      <c r="E1644" s="667"/>
      <c r="F1644" s="644"/>
      <c r="G1644" s="697"/>
      <c r="H1644" s="643"/>
      <c r="I1644" s="492"/>
      <c r="J1644" s="998"/>
      <c r="K1644" s="847"/>
      <c r="L1644" s="751"/>
      <c r="M1644" s="643"/>
      <c r="N1644" s="643"/>
      <c r="O1644" s="731"/>
      <c r="P1644" s="847"/>
      <c r="Q1644" s="847"/>
      <c r="R1644" s="731"/>
    </row>
    <row r="1645" spans="1:18" s="723" customFormat="1" ht="36.75" customHeight="1" hidden="1">
      <c r="A1645" s="762"/>
      <c r="B1645" s="1012"/>
      <c r="C1645" s="764"/>
      <c r="D1645" s="765"/>
      <c r="E1645" s="785"/>
      <c r="F1645" s="705"/>
      <c r="G1645" s="764"/>
      <c r="H1645" s="765"/>
      <c r="I1645" s="766"/>
      <c r="J1645" s="1093"/>
      <c r="K1645" s="871"/>
      <c r="L1645" s="873"/>
      <c r="M1645" s="765"/>
      <c r="N1645" s="765"/>
      <c r="O1645" s="786"/>
      <c r="P1645" s="871"/>
      <c r="Q1645" s="871"/>
      <c r="R1645" s="786"/>
    </row>
    <row r="1646" spans="1:18" s="723" customFormat="1" ht="18.75" customHeight="1" hidden="1">
      <c r="A1646" s="844"/>
      <c r="B1646" s="845" t="s">
        <v>128</v>
      </c>
      <c r="C1646" s="846">
        <f>SUM(C1647:C1653)</f>
        <v>0</v>
      </c>
      <c r="D1646" s="749">
        <f aca="true" t="shared" si="198" ref="D1646:D1678">G1646+J1646+P1646+M1646</f>
        <v>0</v>
      </c>
      <c r="E1646" s="749">
        <f aca="true" t="shared" si="199" ref="E1646:E1654">SUM(H1646+K1646+N1646+Q1646)</f>
        <v>0</v>
      </c>
      <c r="F1646" s="644" t="e">
        <f aca="true" t="shared" si="200" ref="F1646:F1709">E1646/D1646*100</f>
        <v>#DIV/0!</v>
      </c>
      <c r="G1646" s="846">
        <f>SUM(G1647:G1653)</f>
        <v>0</v>
      </c>
      <c r="H1646" s="847">
        <f>SUM(H1647:H1653)</f>
        <v>0</v>
      </c>
      <c r="I1646" s="492" t="e">
        <f t="shared" si="193"/>
        <v>#DIV/0!</v>
      </c>
      <c r="J1646" s="998"/>
      <c r="K1646" s="847"/>
      <c r="L1646" s="751"/>
      <c r="M1646" s="847"/>
      <c r="N1646" s="847"/>
      <c r="O1646" s="731"/>
      <c r="P1646" s="847"/>
      <c r="Q1646" s="847"/>
      <c r="R1646" s="731"/>
    </row>
    <row r="1647" spans="1:18" s="723" customFormat="1" ht="40.5" customHeight="1" hidden="1">
      <c r="A1647" s="728">
        <v>3020</v>
      </c>
      <c r="B1647" s="735" t="s">
        <v>934</v>
      </c>
      <c r="C1647" s="697"/>
      <c r="D1647" s="643">
        <f t="shared" si="198"/>
        <v>0</v>
      </c>
      <c r="E1647" s="667">
        <f t="shared" si="199"/>
        <v>0</v>
      </c>
      <c r="F1647" s="644" t="e">
        <f t="shared" si="200"/>
        <v>#DIV/0!</v>
      </c>
      <c r="G1647" s="697"/>
      <c r="H1647" s="643"/>
      <c r="I1647" s="492" t="e">
        <f aca="true" t="shared" si="201" ref="I1647:I1655">H1647/G1647*100</f>
        <v>#DIV/0!</v>
      </c>
      <c r="J1647" s="998"/>
      <c r="K1647" s="847"/>
      <c r="L1647" s="751"/>
      <c r="M1647" s="847"/>
      <c r="N1647" s="847"/>
      <c r="O1647" s="731"/>
      <c r="P1647" s="847"/>
      <c r="Q1647" s="847"/>
      <c r="R1647" s="731"/>
    </row>
    <row r="1648" spans="1:18" s="723" customFormat="1" ht="27" customHeight="1" hidden="1">
      <c r="A1648" s="728">
        <v>4010</v>
      </c>
      <c r="B1648" s="735" t="s">
        <v>697</v>
      </c>
      <c r="C1648" s="697"/>
      <c r="D1648" s="643">
        <f t="shared" si="198"/>
        <v>0</v>
      </c>
      <c r="E1648" s="667">
        <f t="shared" si="199"/>
        <v>0</v>
      </c>
      <c r="F1648" s="644" t="e">
        <f t="shared" si="200"/>
        <v>#DIV/0!</v>
      </c>
      <c r="G1648" s="697"/>
      <c r="H1648" s="643"/>
      <c r="I1648" s="492" t="e">
        <f t="shared" si="201"/>
        <v>#DIV/0!</v>
      </c>
      <c r="J1648" s="998"/>
      <c r="K1648" s="847"/>
      <c r="L1648" s="751"/>
      <c r="M1648" s="847"/>
      <c r="N1648" s="847"/>
      <c r="O1648" s="731"/>
      <c r="P1648" s="847"/>
      <c r="Q1648" s="847"/>
      <c r="R1648" s="731"/>
    </row>
    <row r="1649" spans="1:18" s="723" customFormat="1" ht="29.25" customHeight="1" hidden="1">
      <c r="A1649" s="728">
        <v>4040</v>
      </c>
      <c r="B1649" s="735" t="s">
        <v>801</v>
      </c>
      <c r="C1649" s="697"/>
      <c r="D1649" s="643">
        <f t="shared" si="198"/>
        <v>0</v>
      </c>
      <c r="E1649" s="667">
        <f t="shared" si="199"/>
        <v>0</v>
      </c>
      <c r="F1649" s="644" t="e">
        <f t="shared" si="200"/>
        <v>#DIV/0!</v>
      </c>
      <c r="G1649" s="697"/>
      <c r="H1649" s="643"/>
      <c r="I1649" s="492" t="e">
        <f t="shared" si="201"/>
        <v>#DIV/0!</v>
      </c>
      <c r="J1649" s="998"/>
      <c r="K1649" s="847"/>
      <c r="L1649" s="751"/>
      <c r="M1649" s="847"/>
      <c r="N1649" s="847"/>
      <c r="O1649" s="731"/>
      <c r="P1649" s="847"/>
      <c r="Q1649" s="847"/>
      <c r="R1649" s="731"/>
    </row>
    <row r="1650" spans="1:18" s="723" customFormat="1" ht="24" hidden="1">
      <c r="A1650" s="728">
        <v>4110</v>
      </c>
      <c r="B1650" s="735" t="s">
        <v>703</v>
      </c>
      <c r="C1650" s="697"/>
      <c r="D1650" s="643">
        <f t="shared" si="198"/>
        <v>0</v>
      </c>
      <c r="E1650" s="667">
        <f t="shared" si="199"/>
        <v>0</v>
      </c>
      <c r="F1650" s="644" t="e">
        <f t="shared" si="200"/>
        <v>#DIV/0!</v>
      </c>
      <c r="G1650" s="697"/>
      <c r="H1650" s="643"/>
      <c r="I1650" s="492" t="e">
        <f t="shared" si="201"/>
        <v>#DIV/0!</v>
      </c>
      <c r="J1650" s="998"/>
      <c r="K1650" s="847"/>
      <c r="L1650" s="751"/>
      <c r="M1650" s="847"/>
      <c r="N1650" s="847"/>
      <c r="O1650" s="731"/>
      <c r="P1650" s="847"/>
      <c r="Q1650" s="847"/>
      <c r="R1650" s="731"/>
    </row>
    <row r="1651" spans="1:18" s="723" customFormat="1" ht="15.75" customHeight="1" hidden="1">
      <c r="A1651" s="728">
        <v>4120</v>
      </c>
      <c r="B1651" s="735" t="s">
        <v>847</v>
      </c>
      <c r="C1651" s="697"/>
      <c r="D1651" s="643">
        <f t="shared" si="198"/>
        <v>0</v>
      </c>
      <c r="E1651" s="667">
        <f t="shared" si="199"/>
        <v>0</v>
      </c>
      <c r="F1651" s="644" t="e">
        <f t="shared" si="200"/>
        <v>#DIV/0!</v>
      </c>
      <c r="G1651" s="697"/>
      <c r="H1651" s="643"/>
      <c r="I1651" s="492" t="e">
        <f t="shared" si="201"/>
        <v>#DIV/0!</v>
      </c>
      <c r="J1651" s="998"/>
      <c r="K1651" s="847"/>
      <c r="L1651" s="751"/>
      <c r="M1651" s="847"/>
      <c r="N1651" s="847"/>
      <c r="O1651" s="731"/>
      <c r="P1651" s="847"/>
      <c r="Q1651" s="847"/>
      <c r="R1651" s="731"/>
    </row>
    <row r="1652" spans="1:18" s="723" customFormat="1" ht="15" customHeight="1" hidden="1">
      <c r="A1652" s="728">
        <v>4140</v>
      </c>
      <c r="B1652" s="735" t="s">
        <v>804</v>
      </c>
      <c r="C1652" s="697"/>
      <c r="D1652" s="643">
        <f t="shared" si="198"/>
        <v>0</v>
      </c>
      <c r="E1652" s="667">
        <f t="shared" si="199"/>
        <v>0</v>
      </c>
      <c r="F1652" s="644" t="e">
        <f t="shared" si="200"/>
        <v>#DIV/0!</v>
      </c>
      <c r="G1652" s="697"/>
      <c r="H1652" s="643"/>
      <c r="I1652" s="492" t="e">
        <f t="shared" si="201"/>
        <v>#DIV/0!</v>
      </c>
      <c r="J1652" s="998"/>
      <c r="K1652" s="847"/>
      <c r="L1652" s="751"/>
      <c r="M1652" s="847"/>
      <c r="N1652" s="847"/>
      <c r="O1652" s="731"/>
      <c r="P1652" s="847"/>
      <c r="Q1652" s="847"/>
      <c r="R1652" s="731"/>
    </row>
    <row r="1653" spans="1:18" s="723" customFormat="1" ht="18" customHeight="1" hidden="1">
      <c r="A1653" s="762">
        <v>4440</v>
      </c>
      <c r="B1653" s="780" t="s">
        <v>719</v>
      </c>
      <c r="C1653" s="764"/>
      <c r="D1653" s="765">
        <f t="shared" si="198"/>
        <v>0</v>
      </c>
      <c r="E1653" s="785">
        <f t="shared" si="199"/>
        <v>0</v>
      </c>
      <c r="F1653" s="705" t="e">
        <f t="shared" si="200"/>
        <v>#DIV/0!</v>
      </c>
      <c r="G1653" s="764"/>
      <c r="H1653" s="765"/>
      <c r="I1653" s="766" t="e">
        <f t="shared" si="201"/>
        <v>#DIV/0!</v>
      </c>
      <c r="J1653" s="1093"/>
      <c r="K1653" s="871"/>
      <c r="L1653" s="873"/>
      <c r="M1653" s="871"/>
      <c r="N1653" s="871"/>
      <c r="O1653" s="786"/>
      <c r="P1653" s="871"/>
      <c r="Q1653" s="871"/>
      <c r="R1653" s="786"/>
    </row>
    <row r="1654" spans="1:18" s="723" customFormat="1" ht="30.75" customHeight="1" hidden="1">
      <c r="A1654" s="867"/>
      <c r="B1654" s="868" t="s">
        <v>129</v>
      </c>
      <c r="C1654" s="869">
        <f>SUM(C1655:C1667)</f>
        <v>247900</v>
      </c>
      <c r="D1654" s="727">
        <f t="shared" si="198"/>
        <v>625787</v>
      </c>
      <c r="E1654" s="727">
        <f t="shared" si="199"/>
        <v>580181</v>
      </c>
      <c r="F1654" s="705">
        <f t="shared" si="200"/>
        <v>92.71221677663486</v>
      </c>
      <c r="G1654" s="869">
        <f>SUM(G1655:G1667)</f>
        <v>43900</v>
      </c>
      <c r="H1654" s="871">
        <f>SUM(H1655:H1667)</f>
        <v>32579</v>
      </c>
      <c r="I1654" s="766">
        <f t="shared" si="201"/>
        <v>74.21184510250569</v>
      </c>
      <c r="J1654" s="1093"/>
      <c r="K1654" s="871"/>
      <c r="L1654" s="873"/>
      <c r="M1654" s="871">
        <f>SUM(M1655:M1667)</f>
        <v>581887</v>
      </c>
      <c r="N1654" s="871">
        <f>SUM(N1655:N1667)</f>
        <v>547602</v>
      </c>
      <c r="O1654" s="707">
        <f>N1654/M1654*100</f>
        <v>94.10796254255551</v>
      </c>
      <c r="P1654" s="871"/>
      <c r="Q1654" s="871"/>
      <c r="R1654" s="786"/>
    </row>
    <row r="1655" spans="1:18" s="723" customFormat="1" ht="84">
      <c r="A1655" s="709">
        <v>2820</v>
      </c>
      <c r="B1655" s="776" t="s">
        <v>130</v>
      </c>
      <c r="C1655" s="670">
        <v>30000</v>
      </c>
      <c r="D1655" s="685">
        <f t="shared" si="198"/>
        <v>30000</v>
      </c>
      <c r="E1655" s="685">
        <f>H1655+K1655+Q1655+N1655</f>
        <v>22500</v>
      </c>
      <c r="F1655" s="668">
        <f t="shared" si="200"/>
        <v>75</v>
      </c>
      <c r="G1655" s="670">
        <v>30000</v>
      </c>
      <c r="H1655" s="686">
        <v>22500</v>
      </c>
      <c r="I1655" s="758">
        <f t="shared" si="201"/>
        <v>75</v>
      </c>
      <c r="J1655" s="777"/>
      <c r="K1655" s="686"/>
      <c r="L1655" s="690"/>
      <c r="M1655" s="686"/>
      <c r="N1655" s="686"/>
      <c r="O1655" s="779"/>
      <c r="P1655" s="686"/>
      <c r="Q1655" s="686"/>
      <c r="R1655" s="779"/>
    </row>
    <row r="1656" spans="1:18" s="723" customFormat="1" ht="48">
      <c r="A1656" s="728">
        <v>3040</v>
      </c>
      <c r="B1656" s="735" t="s">
        <v>43</v>
      </c>
      <c r="C1656" s="666">
        <v>3100</v>
      </c>
      <c r="D1656" s="643">
        <f t="shared" si="198"/>
        <v>2000</v>
      </c>
      <c r="E1656" s="643">
        <f>H1656+K1656+Q1656+N1656</f>
        <v>0</v>
      </c>
      <c r="F1656" s="644">
        <f>E1656/D1656*100</f>
        <v>0</v>
      </c>
      <c r="G1656" s="666"/>
      <c r="H1656" s="667"/>
      <c r="I1656" s="492"/>
      <c r="J1656" s="900"/>
      <c r="K1656" s="667"/>
      <c r="L1656" s="649"/>
      <c r="M1656" s="667">
        <f>3100-600-500</f>
        <v>2000</v>
      </c>
      <c r="N1656" s="667"/>
      <c r="O1656" s="492">
        <f>N1656/M1656*100</f>
        <v>0</v>
      </c>
      <c r="P1656" s="667"/>
      <c r="Q1656" s="667"/>
      <c r="R1656" s="731"/>
    </row>
    <row r="1657" spans="1:18" s="723" customFormat="1" ht="48" hidden="1">
      <c r="A1657" s="728">
        <v>4010</v>
      </c>
      <c r="B1657" s="735" t="s">
        <v>131</v>
      </c>
      <c r="C1657" s="666"/>
      <c r="D1657" s="643">
        <f t="shared" si="198"/>
        <v>0</v>
      </c>
      <c r="E1657" s="643">
        <f>H1657+K1657+Q1657+N1657</f>
        <v>0</v>
      </c>
      <c r="F1657" s="644" t="e">
        <f>E1657/D1657*100</f>
        <v>#DIV/0!</v>
      </c>
      <c r="G1657" s="666">
        <f>16040+750-4050+400+7800-11790-9150</f>
        <v>0</v>
      </c>
      <c r="H1657" s="667"/>
      <c r="I1657" s="492"/>
      <c r="J1657" s="900"/>
      <c r="K1657" s="667"/>
      <c r="L1657" s="649"/>
      <c r="M1657" s="667"/>
      <c r="N1657" s="667"/>
      <c r="O1657" s="492" t="e">
        <f>N1657/M1657*100</f>
        <v>#DIV/0!</v>
      </c>
      <c r="P1657" s="667"/>
      <c r="Q1657" s="667"/>
      <c r="R1657" s="731"/>
    </row>
    <row r="1658" spans="1:18" s="723" customFormat="1" ht="24">
      <c r="A1658" s="728">
        <v>4110</v>
      </c>
      <c r="B1658" s="735" t="s">
        <v>703</v>
      </c>
      <c r="C1658" s="666">
        <v>1000</v>
      </c>
      <c r="D1658" s="643">
        <f>G1658+J1658+P1658+M1658</f>
        <v>1000</v>
      </c>
      <c r="E1658" s="643">
        <f>H1658+K1658+Q1658+N1658</f>
        <v>39</v>
      </c>
      <c r="F1658" s="644">
        <f>E1658/D1658*100</f>
        <v>3.9</v>
      </c>
      <c r="G1658" s="666"/>
      <c r="H1658" s="667"/>
      <c r="I1658" s="647"/>
      <c r="J1658" s="900"/>
      <c r="K1658" s="667"/>
      <c r="L1658" s="649"/>
      <c r="M1658" s="667">
        <v>1000</v>
      </c>
      <c r="N1658" s="667">
        <v>39</v>
      </c>
      <c r="O1658" s="492">
        <f aca="true" t="shared" si="202" ref="O1658:O1667">N1658/M1658*100</f>
        <v>3.9</v>
      </c>
      <c r="P1658" s="667"/>
      <c r="Q1658" s="667"/>
      <c r="R1658" s="731"/>
    </row>
    <row r="1659" spans="1:18" s="723" customFormat="1" ht="24">
      <c r="A1659" s="728">
        <v>4170</v>
      </c>
      <c r="B1659" s="735" t="s">
        <v>742</v>
      </c>
      <c r="C1659" s="666">
        <v>8700</v>
      </c>
      <c r="D1659" s="643">
        <f>G1659+J1659+P1659+M1659</f>
        <v>8100</v>
      </c>
      <c r="E1659" s="643">
        <f>H1659+K1659+Q1659+N1659</f>
        <v>4286</v>
      </c>
      <c r="F1659" s="644">
        <f>E1659/D1659*100</f>
        <v>52.91358024691358</v>
      </c>
      <c r="G1659" s="666"/>
      <c r="H1659" s="667"/>
      <c r="I1659" s="647"/>
      <c r="J1659" s="900"/>
      <c r="K1659" s="667"/>
      <c r="L1659" s="649"/>
      <c r="M1659" s="667">
        <f>8700+1400-2000</f>
        <v>8100</v>
      </c>
      <c r="N1659" s="667">
        <v>4286</v>
      </c>
      <c r="O1659" s="492">
        <f t="shared" si="202"/>
        <v>52.91358024691358</v>
      </c>
      <c r="P1659" s="667"/>
      <c r="Q1659" s="667"/>
      <c r="R1659" s="731"/>
    </row>
    <row r="1660" spans="1:18" s="723" customFormat="1" ht="23.25" customHeight="1">
      <c r="A1660" s="728">
        <v>4210</v>
      </c>
      <c r="B1660" s="735" t="s">
        <v>132</v>
      </c>
      <c r="C1660" s="666">
        <v>7650</v>
      </c>
      <c r="D1660" s="643">
        <f t="shared" si="198"/>
        <v>7650</v>
      </c>
      <c r="E1660" s="667">
        <f aca="true" t="shared" si="203" ref="E1660:E1667">SUM(H1660+K1660+N1660+Q1660)</f>
        <v>4319</v>
      </c>
      <c r="F1660" s="644">
        <f t="shared" si="200"/>
        <v>56.45751633986929</v>
      </c>
      <c r="G1660" s="666">
        <v>7650</v>
      </c>
      <c r="H1660" s="667">
        <v>4319</v>
      </c>
      <c r="I1660" s="492">
        <f>H1660/G1660*100</f>
        <v>56.45751633986929</v>
      </c>
      <c r="J1660" s="900"/>
      <c r="K1660" s="667"/>
      <c r="L1660" s="649"/>
      <c r="M1660" s="667"/>
      <c r="N1660" s="667"/>
      <c r="O1660" s="492"/>
      <c r="P1660" s="667"/>
      <c r="Q1660" s="667"/>
      <c r="R1660" s="731"/>
    </row>
    <row r="1661" spans="1:18" s="723" customFormat="1" ht="23.25" customHeight="1">
      <c r="A1661" s="728">
        <v>4210</v>
      </c>
      <c r="B1661" s="735" t="s">
        <v>133</v>
      </c>
      <c r="C1661" s="666">
        <v>10000</v>
      </c>
      <c r="D1661" s="643">
        <f>G1661+J1661+P1661+M1661</f>
        <v>15900</v>
      </c>
      <c r="E1661" s="667">
        <f t="shared" si="203"/>
        <v>8847</v>
      </c>
      <c r="F1661" s="644">
        <f>E1661/D1661*100</f>
        <v>55.64150943396227</v>
      </c>
      <c r="G1661" s="666"/>
      <c r="H1661" s="667"/>
      <c r="I1661" s="492"/>
      <c r="J1661" s="900"/>
      <c r="K1661" s="667"/>
      <c r="L1661" s="649"/>
      <c r="M1661" s="667">
        <f>10000+2200+3700</f>
        <v>15900</v>
      </c>
      <c r="N1661" s="667">
        <v>8847</v>
      </c>
      <c r="O1661" s="492">
        <f t="shared" si="202"/>
        <v>55.64150943396227</v>
      </c>
      <c r="P1661" s="667"/>
      <c r="Q1661" s="667"/>
      <c r="R1661" s="731"/>
    </row>
    <row r="1662" spans="1:18" s="723" customFormat="1" ht="24">
      <c r="A1662" s="728">
        <v>4300</v>
      </c>
      <c r="B1662" s="735" t="s">
        <v>715</v>
      </c>
      <c r="C1662" s="666">
        <v>30000</v>
      </c>
      <c r="D1662" s="643">
        <f t="shared" si="198"/>
        <v>36713</v>
      </c>
      <c r="E1662" s="667">
        <f t="shared" si="203"/>
        <v>16526</v>
      </c>
      <c r="F1662" s="644">
        <f t="shared" si="200"/>
        <v>45.0140277285975</v>
      </c>
      <c r="G1662" s="666"/>
      <c r="H1662" s="667"/>
      <c r="I1662" s="492"/>
      <c r="J1662" s="900"/>
      <c r="K1662" s="667"/>
      <c r="L1662" s="649"/>
      <c r="M1662" s="667">
        <f>30000+2200-2200+1900+3200-3200+2313+2500</f>
        <v>36713</v>
      </c>
      <c r="N1662" s="667">
        <v>16526</v>
      </c>
      <c r="O1662" s="492">
        <f t="shared" si="202"/>
        <v>45.0140277285975</v>
      </c>
      <c r="P1662" s="667"/>
      <c r="Q1662" s="667"/>
      <c r="R1662" s="731"/>
    </row>
    <row r="1663" spans="1:18" s="723" customFormat="1" ht="23.25" customHeight="1">
      <c r="A1663" s="728">
        <v>4300</v>
      </c>
      <c r="B1663" s="735" t="s">
        <v>134</v>
      </c>
      <c r="C1663" s="666">
        <v>6250</v>
      </c>
      <c r="D1663" s="643">
        <f t="shared" si="198"/>
        <v>6250</v>
      </c>
      <c r="E1663" s="667">
        <f t="shared" si="203"/>
        <v>5760</v>
      </c>
      <c r="F1663" s="644">
        <f t="shared" si="200"/>
        <v>92.16</v>
      </c>
      <c r="G1663" s="666">
        <v>6250</v>
      </c>
      <c r="H1663" s="667">
        <v>5760</v>
      </c>
      <c r="I1663" s="492">
        <f>H1663/G1663*100</f>
        <v>92.16</v>
      </c>
      <c r="J1663" s="900"/>
      <c r="K1663" s="667"/>
      <c r="L1663" s="649"/>
      <c r="M1663" s="667"/>
      <c r="N1663" s="667"/>
      <c r="O1663" s="492"/>
      <c r="P1663" s="667"/>
      <c r="Q1663" s="667"/>
      <c r="R1663" s="731"/>
    </row>
    <row r="1664" spans="1:18" s="723" customFormat="1" ht="24">
      <c r="A1664" s="728">
        <v>4420</v>
      </c>
      <c r="B1664" s="735" t="s">
        <v>823</v>
      </c>
      <c r="C1664" s="666"/>
      <c r="D1664" s="643">
        <f t="shared" si="198"/>
        <v>600</v>
      </c>
      <c r="E1664" s="667">
        <f t="shared" si="203"/>
        <v>330</v>
      </c>
      <c r="F1664" s="644">
        <f t="shared" si="200"/>
        <v>55.00000000000001</v>
      </c>
      <c r="G1664" s="666"/>
      <c r="H1664" s="667"/>
      <c r="I1664" s="492"/>
      <c r="J1664" s="900"/>
      <c r="K1664" s="667"/>
      <c r="L1664" s="649"/>
      <c r="M1664" s="667">
        <v>600</v>
      </c>
      <c r="N1664" s="667">
        <f>329+1</f>
        <v>330</v>
      </c>
      <c r="O1664" s="492">
        <f t="shared" si="202"/>
        <v>55.00000000000001</v>
      </c>
      <c r="P1664" s="667"/>
      <c r="Q1664" s="667"/>
      <c r="R1664" s="731"/>
    </row>
    <row r="1665" spans="1:18" s="723" customFormat="1" ht="12.75">
      <c r="A1665" s="762">
        <v>4440</v>
      </c>
      <c r="B1665" s="780" t="s">
        <v>719</v>
      </c>
      <c r="C1665" s="781">
        <v>151000</v>
      </c>
      <c r="D1665" s="765">
        <f>G1665+J1665+P1665+M1665</f>
        <v>517374</v>
      </c>
      <c r="E1665" s="765">
        <f>H1665+K1665+Q1665+N1665</f>
        <v>517374</v>
      </c>
      <c r="F1665" s="705">
        <f>E1665/D1665*100</f>
        <v>100</v>
      </c>
      <c r="G1665" s="781"/>
      <c r="H1665" s="765"/>
      <c r="I1665" s="766"/>
      <c r="J1665" s="920"/>
      <c r="K1665" s="785"/>
      <c r="L1665" s="768"/>
      <c r="M1665" s="785">
        <f>45000-45000+151000+366387-13</f>
        <v>517374</v>
      </c>
      <c r="N1665" s="785">
        <v>517374</v>
      </c>
      <c r="O1665" s="766">
        <f t="shared" si="202"/>
        <v>100</v>
      </c>
      <c r="P1665" s="785"/>
      <c r="Q1665" s="785"/>
      <c r="R1665" s="786"/>
    </row>
    <row r="1666" spans="1:18" s="723" customFormat="1" ht="60.75" thickBot="1">
      <c r="A1666" s="829">
        <v>4740</v>
      </c>
      <c r="B1666" s="850" t="s">
        <v>728</v>
      </c>
      <c r="C1666" s="666">
        <v>200</v>
      </c>
      <c r="D1666" s="643">
        <f>G1666+J1666+P1666+M1666</f>
        <v>200</v>
      </c>
      <c r="E1666" s="643">
        <f>H1666+K1666+Q1666+N1666</f>
        <v>200</v>
      </c>
      <c r="F1666" s="644">
        <f>E1666/D1666*100</f>
        <v>100</v>
      </c>
      <c r="G1666" s="666"/>
      <c r="H1666" s="643"/>
      <c r="I1666" s="492"/>
      <c r="J1666" s="900"/>
      <c r="K1666" s="667"/>
      <c r="L1666" s="649"/>
      <c r="M1666" s="667">
        <v>200</v>
      </c>
      <c r="N1666" s="667">
        <v>200</v>
      </c>
      <c r="O1666" s="492">
        <f t="shared" si="202"/>
        <v>100</v>
      </c>
      <c r="P1666" s="667"/>
      <c r="Q1666" s="667"/>
      <c r="R1666" s="731"/>
    </row>
    <row r="1667" spans="1:18" s="723" customFormat="1" ht="24.75" hidden="1" thickBot="1">
      <c r="A1667" s="728">
        <v>6050</v>
      </c>
      <c r="B1667" s="735" t="s">
        <v>739</v>
      </c>
      <c r="C1667" s="666"/>
      <c r="D1667" s="643">
        <f>G1667+J1667+P1667+M1667</f>
        <v>0</v>
      </c>
      <c r="E1667" s="667">
        <f t="shared" si="203"/>
        <v>0</v>
      </c>
      <c r="F1667" s="644" t="e">
        <f t="shared" si="200"/>
        <v>#DIV/0!</v>
      </c>
      <c r="G1667" s="666"/>
      <c r="H1667" s="667"/>
      <c r="I1667" s="647"/>
      <c r="J1667" s="900"/>
      <c r="K1667" s="667"/>
      <c r="L1667" s="649"/>
      <c r="M1667" s="667"/>
      <c r="N1667" s="667"/>
      <c r="O1667" s="492" t="e">
        <f t="shared" si="202"/>
        <v>#DIV/0!</v>
      </c>
      <c r="P1667" s="667"/>
      <c r="Q1667" s="667"/>
      <c r="R1667" s="731"/>
    </row>
    <row r="1668" spans="1:18" s="723" customFormat="1" ht="49.5" thickBot="1" thickTop="1">
      <c r="A1668" s="738">
        <v>900</v>
      </c>
      <c r="B1668" s="739" t="s">
        <v>135</v>
      </c>
      <c r="C1668" s="720">
        <f>C1682+C1687+C1696+C1701+C1691+C1669</f>
        <v>19343100</v>
      </c>
      <c r="D1668" s="618">
        <f t="shared" si="198"/>
        <v>20609104</v>
      </c>
      <c r="E1668" s="623">
        <f>H1668+K1668+Q1668+N1668</f>
        <v>11268039</v>
      </c>
      <c r="F1668" s="619">
        <f t="shared" si="200"/>
        <v>54.67505525713297</v>
      </c>
      <c r="G1668" s="720">
        <f>G1682+G1687+G1696+G1701+G1691+G1669</f>
        <v>15930504</v>
      </c>
      <c r="H1668" s="623">
        <f>H1682+H1687+H1696+H1701+H1691+H1669</f>
        <v>8007987</v>
      </c>
      <c r="I1668" s="742">
        <f aca="true" t="shared" si="204" ref="I1668:I1724">H1668/G1668*100</f>
        <v>50.26825893267407</v>
      </c>
      <c r="J1668" s="623"/>
      <c r="K1668" s="623"/>
      <c r="L1668" s="744"/>
      <c r="M1668" s="623">
        <f>M1682+M1687+M1696+M1701+M1691+M1669</f>
        <v>4678600</v>
      </c>
      <c r="N1668" s="623">
        <f>N1682+N1687+N1696+N1701+N1691+N1669</f>
        <v>3260052</v>
      </c>
      <c r="O1668" s="742">
        <f>N1668/M1668*100</f>
        <v>69.68007523618176</v>
      </c>
      <c r="P1668" s="623"/>
      <c r="Q1668" s="623"/>
      <c r="R1668" s="722"/>
    </row>
    <row r="1669" spans="1:18" s="723" customFormat="1" ht="30" customHeight="1" thickTop="1">
      <c r="A1669" s="724">
        <v>90001</v>
      </c>
      <c r="B1669" s="854" t="s">
        <v>136</v>
      </c>
      <c r="C1669" s="726">
        <f>SUM(C1670:C1673)</f>
        <v>5470000</v>
      </c>
      <c r="D1669" s="727">
        <f t="shared" si="198"/>
        <v>5621600</v>
      </c>
      <c r="E1669" s="871">
        <f>H1669+K1669+Q1669+N1669</f>
        <v>2759733</v>
      </c>
      <c r="F1669" s="705">
        <f t="shared" si="200"/>
        <v>49.09159314074285</v>
      </c>
      <c r="G1669" s="726">
        <f>SUM(G1670:G1673)</f>
        <v>4947000</v>
      </c>
      <c r="H1669" s="657">
        <f>SUM(H1670:H1673)</f>
        <v>2295138</v>
      </c>
      <c r="I1669" s="1010">
        <f t="shared" si="204"/>
        <v>46.394542146755605</v>
      </c>
      <c r="J1669" s="662"/>
      <c r="K1669" s="657"/>
      <c r="L1669" s="707"/>
      <c r="M1669" s="657">
        <f>SUM(M1670:M1673)</f>
        <v>674600</v>
      </c>
      <c r="N1669" s="657">
        <f>SUM(N1670:N1673)</f>
        <v>464595</v>
      </c>
      <c r="O1669" s="766">
        <f>N1669/M1669*100</f>
        <v>68.86970056329676</v>
      </c>
      <c r="P1669" s="657"/>
      <c r="Q1669" s="657"/>
      <c r="R1669" s="317"/>
    </row>
    <row r="1670" spans="1:18" s="761" customFormat="1" ht="18.75" customHeight="1">
      <c r="A1670" s="829">
        <v>4300</v>
      </c>
      <c r="B1670" s="757" t="s">
        <v>715</v>
      </c>
      <c r="C1670" s="684">
        <v>1220000</v>
      </c>
      <c r="D1670" s="643">
        <f t="shared" si="198"/>
        <v>1546800</v>
      </c>
      <c r="E1670" s="667">
        <f aca="true" t="shared" si="205" ref="E1670:E1678">SUM(H1670+K1670+N1670+Q1670)</f>
        <v>1033718</v>
      </c>
      <c r="F1670" s="644">
        <f t="shared" si="200"/>
        <v>66.82945435738299</v>
      </c>
      <c r="G1670" s="684">
        <f>708000-100000+100000-58000+384800-162600</f>
        <v>872200</v>
      </c>
      <c r="H1670" s="643">
        <v>569123</v>
      </c>
      <c r="I1670" s="492">
        <f t="shared" si="204"/>
        <v>65.25143315753267</v>
      </c>
      <c r="J1670" s="689"/>
      <c r="K1670" s="643"/>
      <c r="L1670" s="647"/>
      <c r="M1670" s="643">
        <f>512000+162600</f>
        <v>674600</v>
      </c>
      <c r="N1670" s="643">
        <v>464595</v>
      </c>
      <c r="O1670" s="492">
        <f>N1670/M1670*100</f>
        <v>68.86970056329676</v>
      </c>
      <c r="P1670" s="643"/>
      <c r="Q1670" s="643"/>
      <c r="R1670" s="731"/>
    </row>
    <row r="1671" spans="1:18" s="761" customFormat="1" ht="17.25" customHeight="1">
      <c r="A1671" s="829">
        <v>4430</v>
      </c>
      <c r="B1671" s="865" t="s">
        <v>717</v>
      </c>
      <c r="C1671" s="697"/>
      <c r="D1671" s="643">
        <f t="shared" si="198"/>
        <v>2200</v>
      </c>
      <c r="E1671" s="667">
        <f t="shared" si="205"/>
        <v>2119</v>
      </c>
      <c r="F1671" s="644">
        <f t="shared" si="200"/>
        <v>96.31818181818181</v>
      </c>
      <c r="G1671" s="697">
        <v>2200</v>
      </c>
      <c r="H1671" s="643">
        <v>2119</v>
      </c>
      <c r="I1671" s="492">
        <f t="shared" si="204"/>
        <v>96.31818181818181</v>
      </c>
      <c r="J1671" s="648"/>
      <c r="K1671" s="643"/>
      <c r="L1671" s="647"/>
      <c r="M1671" s="643"/>
      <c r="N1671" s="643"/>
      <c r="O1671" s="492"/>
      <c r="P1671" s="643"/>
      <c r="Q1671" s="643"/>
      <c r="R1671" s="731"/>
    </row>
    <row r="1672" spans="1:18" s="761" customFormat="1" ht="72">
      <c r="A1672" s="829">
        <v>2710</v>
      </c>
      <c r="B1672" s="865" t="s">
        <v>738</v>
      </c>
      <c r="C1672" s="697"/>
      <c r="D1672" s="643">
        <f t="shared" si="198"/>
        <v>0</v>
      </c>
      <c r="E1672" s="667">
        <f t="shared" si="205"/>
        <v>0</v>
      </c>
      <c r="F1672" s="644" t="e">
        <f t="shared" si="200"/>
        <v>#DIV/0!</v>
      </c>
      <c r="G1672" s="697">
        <f>53000-53000</f>
        <v>0</v>
      </c>
      <c r="H1672" s="643"/>
      <c r="I1672" s="492" t="e">
        <f t="shared" si="204"/>
        <v>#DIV/0!</v>
      </c>
      <c r="J1672" s="648"/>
      <c r="K1672" s="643"/>
      <c r="L1672" s="647"/>
      <c r="M1672" s="643"/>
      <c r="N1672" s="643"/>
      <c r="O1672" s="492"/>
      <c r="P1672" s="643"/>
      <c r="Q1672" s="643"/>
      <c r="R1672" s="731"/>
    </row>
    <row r="1673" spans="1:18" ht="24">
      <c r="A1673" s="990">
        <v>6050</v>
      </c>
      <c r="B1673" s="735" t="s">
        <v>735</v>
      </c>
      <c r="C1673" s="666">
        <v>4250000</v>
      </c>
      <c r="D1673" s="643">
        <f t="shared" si="198"/>
        <v>4072600</v>
      </c>
      <c r="E1673" s="667">
        <f t="shared" si="205"/>
        <v>1723896</v>
      </c>
      <c r="F1673" s="644">
        <f t="shared" si="200"/>
        <v>42.329126356627214</v>
      </c>
      <c r="G1673" s="666">
        <f>4250000-38000-470000+194800-2200-362000+500000</f>
        <v>4072600</v>
      </c>
      <c r="H1673" s="667">
        <v>1723896</v>
      </c>
      <c r="I1673" s="492">
        <f t="shared" si="204"/>
        <v>42.329126356627214</v>
      </c>
      <c r="J1673" s="730"/>
      <c r="K1673" s="667"/>
      <c r="L1673" s="647"/>
      <c r="M1673" s="667"/>
      <c r="N1673" s="667"/>
      <c r="O1673" s="492"/>
      <c r="P1673" s="667"/>
      <c r="Q1673" s="667"/>
      <c r="R1673" s="731"/>
    </row>
    <row r="1674" spans="1:18" s="882" customFormat="1" ht="25.5" customHeight="1" hidden="1">
      <c r="A1674" s="1094"/>
      <c r="B1674" s="1095" t="s">
        <v>137</v>
      </c>
      <c r="C1674" s="666">
        <v>200000</v>
      </c>
      <c r="D1674" s="643">
        <f t="shared" si="198"/>
        <v>200000</v>
      </c>
      <c r="E1674" s="667">
        <f t="shared" si="205"/>
        <v>0</v>
      </c>
      <c r="F1674" s="644">
        <f t="shared" si="200"/>
        <v>0</v>
      </c>
      <c r="G1674" s="666">
        <v>200000</v>
      </c>
      <c r="H1674" s="1096"/>
      <c r="I1674" s="492">
        <f t="shared" si="204"/>
        <v>0</v>
      </c>
      <c r="J1674" s="881"/>
      <c r="K1674" s="880"/>
      <c r="L1674" s="647"/>
      <c r="M1674" s="880"/>
      <c r="N1674" s="880"/>
      <c r="O1674" s="647"/>
      <c r="P1674" s="880"/>
      <c r="Q1674" s="880"/>
      <c r="R1674" s="649"/>
    </row>
    <row r="1675" spans="1:18" s="882" customFormat="1" ht="25.5" customHeight="1" hidden="1">
      <c r="A1675" s="1094"/>
      <c r="B1675" s="1095" t="s">
        <v>138</v>
      </c>
      <c r="C1675" s="666">
        <v>800000</v>
      </c>
      <c r="D1675" s="643">
        <f t="shared" si="198"/>
        <v>600000</v>
      </c>
      <c r="E1675" s="667">
        <f t="shared" si="205"/>
        <v>0</v>
      </c>
      <c r="F1675" s="644">
        <f t="shared" si="200"/>
        <v>0</v>
      </c>
      <c r="G1675" s="666">
        <f>800000-200000</f>
        <v>600000</v>
      </c>
      <c r="H1675" s="1096"/>
      <c r="I1675" s="492">
        <f t="shared" si="204"/>
        <v>0</v>
      </c>
      <c r="J1675" s="881"/>
      <c r="K1675" s="880"/>
      <c r="L1675" s="647"/>
      <c r="M1675" s="880"/>
      <c r="N1675" s="880"/>
      <c r="O1675" s="647"/>
      <c r="P1675" s="880"/>
      <c r="Q1675" s="880"/>
      <c r="R1675" s="649"/>
    </row>
    <row r="1676" spans="1:18" s="882" customFormat="1" ht="17.25" customHeight="1" hidden="1">
      <c r="A1676" s="1094"/>
      <c r="B1676" s="1095" t="s">
        <v>139</v>
      </c>
      <c r="C1676" s="666">
        <v>100000</v>
      </c>
      <c r="D1676" s="643">
        <f t="shared" si="198"/>
        <v>100000</v>
      </c>
      <c r="E1676" s="667">
        <f t="shared" si="205"/>
        <v>0</v>
      </c>
      <c r="F1676" s="644">
        <f t="shared" si="200"/>
        <v>0</v>
      </c>
      <c r="G1676" s="666">
        <v>100000</v>
      </c>
      <c r="H1676" s="1096"/>
      <c r="I1676" s="492">
        <f t="shared" si="204"/>
        <v>0</v>
      </c>
      <c r="J1676" s="881"/>
      <c r="K1676" s="880"/>
      <c r="L1676" s="647"/>
      <c r="M1676" s="880"/>
      <c r="N1676" s="880"/>
      <c r="O1676" s="647"/>
      <c r="P1676" s="880"/>
      <c r="Q1676" s="880"/>
      <c r="R1676" s="649"/>
    </row>
    <row r="1677" spans="1:18" s="882" customFormat="1" ht="38.25" customHeight="1" hidden="1">
      <c r="A1677" s="1094"/>
      <c r="B1677" s="1095" t="s">
        <v>140</v>
      </c>
      <c r="C1677" s="666">
        <v>700000</v>
      </c>
      <c r="D1677" s="643">
        <f t="shared" si="198"/>
        <v>550000</v>
      </c>
      <c r="E1677" s="667">
        <f t="shared" si="205"/>
        <v>0</v>
      </c>
      <c r="F1677" s="644">
        <f t="shared" si="200"/>
        <v>0</v>
      </c>
      <c r="G1677" s="666">
        <f>700000-150000</f>
        <v>550000</v>
      </c>
      <c r="H1677" s="1096"/>
      <c r="I1677" s="492">
        <f t="shared" si="204"/>
        <v>0</v>
      </c>
      <c r="J1677" s="881"/>
      <c r="K1677" s="880"/>
      <c r="L1677" s="647"/>
      <c r="M1677" s="880"/>
      <c r="N1677" s="880"/>
      <c r="O1677" s="647"/>
      <c r="P1677" s="880"/>
      <c r="Q1677" s="880"/>
      <c r="R1677" s="649"/>
    </row>
    <row r="1678" spans="1:18" s="882" customFormat="1" ht="25.5" customHeight="1" hidden="1">
      <c r="A1678" s="877"/>
      <c r="B1678" s="1095" t="s">
        <v>141</v>
      </c>
      <c r="C1678" s="666">
        <v>500000</v>
      </c>
      <c r="D1678" s="643">
        <f t="shared" si="198"/>
        <v>1300000</v>
      </c>
      <c r="E1678" s="667">
        <f t="shared" si="205"/>
        <v>0</v>
      </c>
      <c r="F1678" s="644">
        <f t="shared" si="200"/>
        <v>0</v>
      </c>
      <c r="G1678" s="666">
        <f>500000+800000</f>
        <v>1300000</v>
      </c>
      <c r="H1678" s="880"/>
      <c r="I1678" s="492">
        <f t="shared" si="204"/>
        <v>0</v>
      </c>
      <c r="J1678" s="881"/>
      <c r="K1678" s="880"/>
      <c r="L1678" s="647"/>
      <c r="M1678" s="880"/>
      <c r="N1678" s="880"/>
      <c r="O1678" s="647"/>
      <c r="P1678" s="880"/>
      <c r="Q1678" s="880"/>
      <c r="R1678" s="821"/>
    </row>
    <row r="1679" spans="1:18" s="882" customFormat="1" ht="49.5" customHeight="1" hidden="1">
      <c r="A1679" s="877"/>
      <c r="B1679" s="1095" t="s">
        <v>142</v>
      </c>
      <c r="C1679" s="666">
        <v>200000</v>
      </c>
      <c r="D1679" s="643"/>
      <c r="E1679" s="667"/>
      <c r="F1679" s="644"/>
      <c r="G1679" s="666">
        <v>200000</v>
      </c>
      <c r="H1679" s="880"/>
      <c r="I1679" s="492"/>
      <c r="J1679" s="881"/>
      <c r="K1679" s="880"/>
      <c r="L1679" s="647"/>
      <c r="M1679" s="880"/>
      <c r="N1679" s="880"/>
      <c r="O1679" s="647"/>
      <c r="P1679" s="880"/>
      <c r="Q1679" s="880"/>
      <c r="R1679" s="821"/>
    </row>
    <row r="1680" spans="1:18" s="882" customFormat="1" ht="59.25" customHeight="1" hidden="1">
      <c r="A1680" s="877"/>
      <c r="B1680" s="1095" t="s">
        <v>143</v>
      </c>
      <c r="C1680" s="666">
        <v>200000</v>
      </c>
      <c r="D1680" s="643"/>
      <c r="E1680" s="667"/>
      <c r="F1680" s="644"/>
      <c r="G1680" s="666">
        <f>200000-80000</f>
        <v>120000</v>
      </c>
      <c r="H1680" s="880"/>
      <c r="I1680" s="492"/>
      <c r="J1680" s="881"/>
      <c r="K1680" s="880"/>
      <c r="L1680" s="647"/>
      <c r="M1680" s="880"/>
      <c r="N1680" s="880"/>
      <c r="O1680" s="647"/>
      <c r="P1680" s="880"/>
      <c r="Q1680" s="880"/>
      <c r="R1680" s="821"/>
    </row>
    <row r="1681" spans="1:18" s="882" customFormat="1" ht="60" customHeight="1" hidden="1">
      <c r="A1681" s="877"/>
      <c r="B1681" s="1095" t="s">
        <v>144</v>
      </c>
      <c r="C1681" s="666">
        <v>200000</v>
      </c>
      <c r="D1681" s="643"/>
      <c r="E1681" s="667"/>
      <c r="F1681" s="644"/>
      <c r="G1681" s="781">
        <v>200000</v>
      </c>
      <c r="H1681" s="1097"/>
      <c r="I1681" s="492"/>
      <c r="J1681" s="881"/>
      <c r="K1681" s="880"/>
      <c r="L1681" s="647"/>
      <c r="M1681" s="880"/>
      <c r="N1681" s="880"/>
      <c r="O1681" s="647"/>
      <c r="P1681" s="880"/>
      <c r="Q1681" s="880"/>
      <c r="R1681" s="821"/>
    </row>
    <row r="1682" spans="1:18" s="723" customFormat="1" ht="24">
      <c r="A1682" s="724">
        <v>90003</v>
      </c>
      <c r="B1682" s="854" t="s">
        <v>621</v>
      </c>
      <c r="C1682" s="726">
        <f>SUM(C1683:C1686)</f>
        <v>3220000</v>
      </c>
      <c r="D1682" s="674">
        <f aca="true" t="shared" si="206" ref="D1682:E1704">G1682+J1682+P1682+M1682</f>
        <v>3358000</v>
      </c>
      <c r="E1682" s="657">
        <f t="shared" si="206"/>
        <v>2190646</v>
      </c>
      <c r="F1682" s="658">
        <f t="shared" si="200"/>
        <v>65.23662894580107</v>
      </c>
      <c r="G1682" s="657">
        <f>SUM(G1683:G1686)</f>
        <v>1606000</v>
      </c>
      <c r="H1682" s="662">
        <f>SUM(H1683:H1686)</f>
        <v>987665</v>
      </c>
      <c r="I1682" s="890">
        <f t="shared" si="204"/>
        <v>61.49844333748443</v>
      </c>
      <c r="J1682" s="662"/>
      <c r="K1682" s="657"/>
      <c r="L1682" s="665"/>
      <c r="M1682" s="657">
        <f>SUM(M1683:M1686)</f>
        <v>1752000</v>
      </c>
      <c r="N1682" s="657">
        <f>SUM(N1683:N1686)</f>
        <v>1202981</v>
      </c>
      <c r="O1682" s="890">
        <f aca="true" t="shared" si="207" ref="O1682:O1688">N1682/M1682*100</f>
        <v>68.66329908675799</v>
      </c>
      <c r="P1682" s="657"/>
      <c r="Q1682" s="657"/>
      <c r="R1682" s="842"/>
    </row>
    <row r="1683" spans="1:18" s="761" customFormat="1" ht="24">
      <c r="A1683" s="756">
        <v>4210</v>
      </c>
      <c r="B1683" s="757" t="s">
        <v>707</v>
      </c>
      <c r="C1683" s="684"/>
      <c r="D1683" s="643">
        <f t="shared" si="206"/>
        <v>14000</v>
      </c>
      <c r="E1683" s="643">
        <f t="shared" si="206"/>
        <v>0</v>
      </c>
      <c r="F1683" s="644">
        <f>E1683/D1683*100</f>
        <v>0</v>
      </c>
      <c r="G1683" s="685"/>
      <c r="H1683" s="689"/>
      <c r="I1683" s="758"/>
      <c r="J1683" s="689"/>
      <c r="K1683" s="685"/>
      <c r="L1683" s="652"/>
      <c r="M1683" s="685">
        <v>14000</v>
      </c>
      <c r="N1683" s="685"/>
      <c r="O1683" s="492">
        <f t="shared" si="207"/>
        <v>0</v>
      </c>
      <c r="P1683" s="685"/>
      <c r="Q1683" s="685"/>
      <c r="R1683" s="760"/>
    </row>
    <row r="1684" spans="1:18" s="761" customFormat="1" ht="24">
      <c r="A1684" s="829">
        <v>4270</v>
      </c>
      <c r="B1684" s="865" t="s">
        <v>713</v>
      </c>
      <c r="C1684" s="697">
        <v>150000</v>
      </c>
      <c r="D1684" s="643">
        <f t="shared" si="206"/>
        <v>65000</v>
      </c>
      <c r="E1684" s="643">
        <f t="shared" si="206"/>
        <v>40480</v>
      </c>
      <c r="F1684" s="644">
        <f>E1684/D1684*100</f>
        <v>62.276923076923076</v>
      </c>
      <c r="G1684" s="643"/>
      <c r="H1684" s="648"/>
      <c r="I1684" s="647"/>
      <c r="J1684" s="648"/>
      <c r="K1684" s="643"/>
      <c r="L1684" s="647"/>
      <c r="M1684" s="643">
        <f>150000-85000</f>
        <v>65000</v>
      </c>
      <c r="N1684" s="643">
        <v>40480</v>
      </c>
      <c r="O1684" s="492">
        <f t="shared" si="207"/>
        <v>62.276923076923076</v>
      </c>
      <c r="P1684" s="643"/>
      <c r="Q1684" s="643"/>
      <c r="R1684" s="737"/>
    </row>
    <row r="1685" spans="1:18" s="761" customFormat="1" ht="36">
      <c r="A1685" s="728">
        <v>4300</v>
      </c>
      <c r="B1685" s="735" t="s">
        <v>145</v>
      </c>
      <c r="C1685" s="697"/>
      <c r="D1685" s="643">
        <f t="shared" si="206"/>
        <v>130000</v>
      </c>
      <c r="E1685" s="643">
        <f t="shared" si="206"/>
        <v>49909</v>
      </c>
      <c r="F1685" s="644">
        <f>E1685/D1685*100</f>
        <v>38.39153846153846</v>
      </c>
      <c r="G1685" s="643">
        <v>90000</v>
      </c>
      <c r="H1685" s="648">
        <v>28393</v>
      </c>
      <c r="I1685" s="492">
        <f t="shared" si="204"/>
        <v>31.54777777777778</v>
      </c>
      <c r="J1685" s="648"/>
      <c r="K1685" s="643"/>
      <c r="L1685" s="647"/>
      <c r="M1685" s="643">
        <v>40000</v>
      </c>
      <c r="N1685" s="643">
        <v>21516</v>
      </c>
      <c r="O1685" s="492">
        <f t="shared" si="207"/>
        <v>53.790000000000006</v>
      </c>
      <c r="P1685" s="643"/>
      <c r="Q1685" s="643"/>
      <c r="R1685" s="737"/>
    </row>
    <row r="1686" spans="1:18" ht="16.5" customHeight="1">
      <c r="A1686" s="728">
        <v>4300</v>
      </c>
      <c r="B1686" s="735" t="s">
        <v>715</v>
      </c>
      <c r="C1686" s="666">
        <v>3070000</v>
      </c>
      <c r="D1686" s="643">
        <f t="shared" si="206"/>
        <v>3149000</v>
      </c>
      <c r="E1686" s="765">
        <f t="shared" si="206"/>
        <v>2100257</v>
      </c>
      <c r="F1686" s="644">
        <f t="shared" si="200"/>
        <v>66.69599872975547</v>
      </c>
      <c r="G1686" s="667">
        <f>1508000+8000</f>
        <v>1516000</v>
      </c>
      <c r="H1686" s="730">
        <f>987664+1-H1685</f>
        <v>959272</v>
      </c>
      <c r="I1686" s="492">
        <f t="shared" si="204"/>
        <v>63.27651715039578</v>
      </c>
      <c r="J1686" s="730"/>
      <c r="K1686" s="667"/>
      <c r="L1686" s="647"/>
      <c r="M1686" s="667">
        <f>1562000+71000</f>
        <v>1633000</v>
      </c>
      <c r="N1686" s="667">
        <v>1140985</v>
      </c>
      <c r="O1686" s="492">
        <f t="shared" si="207"/>
        <v>69.87048377219841</v>
      </c>
      <c r="P1686" s="667"/>
      <c r="Q1686" s="667"/>
      <c r="R1686" s="737"/>
    </row>
    <row r="1687" spans="1:18" s="723" customFormat="1" ht="28.5" customHeight="1">
      <c r="A1687" s="724">
        <v>90004</v>
      </c>
      <c r="B1687" s="854" t="s">
        <v>146</v>
      </c>
      <c r="C1687" s="726">
        <f>SUM(C1688:C1690)</f>
        <v>2600000</v>
      </c>
      <c r="D1687" s="674">
        <f t="shared" si="206"/>
        <v>2802000</v>
      </c>
      <c r="E1687" s="657">
        <f t="shared" si="206"/>
        <v>2214900</v>
      </c>
      <c r="F1687" s="658">
        <f t="shared" si="200"/>
        <v>79.04710920770877</v>
      </c>
      <c r="G1687" s="657">
        <f>SUM(G1688:G1690)</f>
        <v>2002000</v>
      </c>
      <c r="H1687" s="662">
        <f>SUM(H1688:H1690)</f>
        <v>1563519</v>
      </c>
      <c r="I1687" s="890">
        <f t="shared" si="204"/>
        <v>78.09785214785214</v>
      </c>
      <c r="J1687" s="662"/>
      <c r="K1687" s="657"/>
      <c r="L1687" s="665"/>
      <c r="M1687" s="657">
        <f>SUM(M1688:M1688)</f>
        <v>800000</v>
      </c>
      <c r="N1687" s="657">
        <f>SUM(N1688:N1688)</f>
        <v>651381</v>
      </c>
      <c r="O1687" s="890">
        <f t="shared" si="207"/>
        <v>81.42262500000001</v>
      </c>
      <c r="P1687" s="657"/>
      <c r="Q1687" s="657"/>
      <c r="R1687" s="842"/>
    </row>
    <row r="1688" spans="1:18" ht="24">
      <c r="A1688" s="709">
        <v>4300</v>
      </c>
      <c r="B1688" s="776" t="s">
        <v>715</v>
      </c>
      <c r="C1688" s="670">
        <v>1800000</v>
      </c>
      <c r="D1688" s="685">
        <f t="shared" si="206"/>
        <v>1996100</v>
      </c>
      <c r="E1688" s="686">
        <f>SUM(H1688+K1688+N1688+Q1688)</f>
        <v>1455565</v>
      </c>
      <c r="F1688" s="668">
        <f t="shared" si="200"/>
        <v>72.92044486749161</v>
      </c>
      <c r="G1688" s="686">
        <f>1000000+202000-5900</f>
        <v>1196100</v>
      </c>
      <c r="H1688" s="777">
        <v>804184</v>
      </c>
      <c r="I1688" s="758">
        <f t="shared" si="204"/>
        <v>67.23384332413677</v>
      </c>
      <c r="J1688" s="777"/>
      <c r="K1688" s="686"/>
      <c r="L1688" s="652"/>
      <c r="M1688" s="686">
        <v>800000</v>
      </c>
      <c r="N1688" s="686">
        <v>651381</v>
      </c>
      <c r="O1688" s="758">
        <f t="shared" si="207"/>
        <v>81.42262500000001</v>
      </c>
      <c r="P1688" s="686"/>
      <c r="Q1688" s="686"/>
      <c r="R1688" s="760"/>
    </row>
    <row r="1689" spans="1:18" ht="24">
      <c r="A1689" s="728">
        <v>4210</v>
      </c>
      <c r="B1689" s="735" t="s">
        <v>147</v>
      </c>
      <c r="C1689" s="666"/>
      <c r="D1689" s="643">
        <f>G1689+J1689+P1689+M1689</f>
        <v>5900</v>
      </c>
      <c r="E1689" s="667">
        <f>SUM(H1689+K1689+N1689+Q1689)</f>
        <v>5855</v>
      </c>
      <c r="F1689" s="644">
        <f>E1689/D1689*100</f>
        <v>99.23728813559322</v>
      </c>
      <c r="G1689" s="667">
        <v>5900</v>
      </c>
      <c r="H1689" s="730">
        <v>5855</v>
      </c>
      <c r="I1689" s="492">
        <f t="shared" si="204"/>
        <v>99.23728813559322</v>
      </c>
      <c r="J1689" s="730"/>
      <c r="K1689" s="667"/>
      <c r="L1689" s="647"/>
      <c r="M1689" s="667"/>
      <c r="N1689" s="667"/>
      <c r="O1689" s="492"/>
      <c r="P1689" s="667"/>
      <c r="Q1689" s="667"/>
      <c r="R1689" s="737"/>
    </row>
    <row r="1690" spans="1:18" ht="24">
      <c r="A1690" s="990">
        <v>6050</v>
      </c>
      <c r="B1690" s="735" t="s">
        <v>735</v>
      </c>
      <c r="C1690" s="781">
        <v>800000</v>
      </c>
      <c r="D1690" s="765">
        <f t="shared" si="206"/>
        <v>800000</v>
      </c>
      <c r="E1690" s="667">
        <f>SUM(H1690+K1690+N1690+Q1690)</f>
        <v>753480</v>
      </c>
      <c r="F1690" s="644">
        <f t="shared" si="200"/>
        <v>94.185</v>
      </c>
      <c r="G1690" s="785">
        <v>800000</v>
      </c>
      <c r="H1690" s="782">
        <v>753480</v>
      </c>
      <c r="I1690" s="492">
        <f t="shared" si="204"/>
        <v>94.185</v>
      </c>
      <c r="J1690" s="782"/>
      <c r="K1690" s="785"/>
      <c r="L1690" s="707"/>
      <c r="M1690" s="785"/>
      <c r="N1690" s="785"/>
      <c r="O1690" s="707"/>
      <c r="P1690" s="785"/>
      <c r="Q1690" s="785"/>
      <c r="R1690" s="770"/>
    </row>
    <row r="1691" spans="1:18" s="723" customFormat="1" ht="12.75" customHeight="1">
      <c r="A1691" s="724">
        <v>90013</v>
      </c>
      <c r="B1691" s="854" t="s">
        <v>623</v>
      </c>
      <c r="C1691" s="726">
        <f>SUM(C1692:C1695)</f>
        <v>960000</v>
      </c>
      <c r="D1691" s="674">
        <f t="shared" si="206"/>
        <v>685000</v>
      </c>
      <c r="E1691" s="657">
        <f>H1691+K1691+Q1691+N1691</f>
        <v>479858</v>
      </c>
      <c r="F1691" s="658">
        <f t="shared" si="200"/>
        <v>70.05226277372263</v>
      </c>
      <c r="G1691" s="657">
        <f>SUM(G1692:G1695)</f>
        <v>685000</v>
      </c>
      <c r="H1691" s="657">
        <f>SUM(H1692:H1695)</f>
        <v>479858</v>
      </c>
      <c r="I1691" s="890">
        <f t="shared" si="204"/>
        <v>70.05226277372263</v>
      </c>
      <c r="J1691" s="662"/>
      <c r="K1691" s="657"/>
      <c r="L1691" s="791"/>
      <c r="M1691" s="657"/>
      <c r="N1691" s="657"/>
      <c r="O1691" s="665"/>
      <c r="P1691" s="657"/>
      <c r="Q1691" s="657"/>
      <c r="R1691" s="842"/>
    </row>
    <row r="1692" spans="1:18" s="761" customFormat="1" ht="24" hidden="1">
      <c r="A1692" s="829">
        <v>4210</v>
      </c>
      <c r="B1692" s="865" t="s">
        <v>707</v>
      </c>
      <c r="C1692" s="697"/>
      <c r="D1692" s="643">
        <f t="shared" si="206"/>
        <v>0</v>
      </c>
      <c r="E1692" s="667">
        <f>SUM(H1692+K1692+N1692+Q1692)</f>
        <v>0</v>
      </c>
      <c r="F1692" s="644" t="e">
        <f t="shared" si="200"/>
        <v>#DIV/0!</v>
      </c>
      <c r="G1692" s="643"/>
      <c r="H1692" s="648"/>
      <c r="I1692" s="492" t="e">
        <f t="shared" si="204"/>
        <v>#DIV/0!</v>
      </c>
      <c r="J1692" s="648"/>
      <c r="K1692" s="643"/>
      <c r="L1692" s="647"/>
      <c r="M1692" s="643"/>
      <c r="N1692" s="643"/>
      <c r="O1692" s="647"/>
      <c r="P1692" s="643"/>
      <c r="Q1692" s="643"/>
      <c r="R1692" s="737"/>
    </row>
    <row r="1693" spans="1:18" s="761" customFormat="1" ht="16.5" customHeight="1">
      <c r="A1693" s="829">
        <v>4270</v>
      </c>
      <c r="B1693" s="865" t="s">
        <v>713</v>
      </c>
      <c r="C1693" s="697"/>
      <c r="D1693" s="643">
        <f t="shared" si="206"/>
        <v>20000</v>
      </c>
      <c r="E1693" s="667">
        <f>SUM(H1693+K1693+N1693+Q1693)</f>
        <v>16363</v>
      </c>
      <c r="F1693" s="644">
        <f t="shared" si="200"/>
        <v>81.815</v>
      </c>
      <c r="G1693" s="643">
        <v>20000</v>
      </c>
      <c r="H1693" s="648">
        <v>16363</v>
      </c>
      <c r="I1693" s="492">
        <f t="shared" si="204"/>
        <v>81.815</v>
      </c>
      <c r="J1693" s="648"/>
      <c r="K1693" s="643"/>
      <c r="L1693" s="647"/>
      <c r="M1693" s="643"/>
      <c r="N1693" s="643"/>
      <c r="O1693" s="647"/>
      <c r="P1693" s="643"/>
      <c r="Q1693" s="643"/>
      <c r="R1693" s="737"/>
    </row>
    <row r="1694" spans="1:18" ht="36">
      <c r="A1694" s="728">
        <v>4300</v>
      </c>
      <c r="B1694" s="735" t="s">
        <v>148</v>
      </c>
      <c r="C1694" s="666">
        <v>460000</v>
      </c>
      <c r="D1694" s="643">
        <f t="shared" si="206"/>
        <v>573000</v>
      </c>
      <c r="E1694" s="667">
        <f>SUM(H1694+K1694+N1694+Q1694)</f>
        <v>463495</v>
      </c>
      <c r="F1694" s="644">
        <f t="shared" si="200"/>
        <v>80.8891797556719</v>
      </c>
      <c r="G1694" s="667">
        <f>460000+113000</f>
        <v>573000</v>
      </c>
      <c r="H1694" s="730">
        <v>463495</v>
      </c>
      <c r="I1694" s="492">
        <f t="shared" si="204"/>
        <v>80.8891797556719</v>
      </c>
      <c r="J1694" s="730"/>
      <c r="K1694" s="667"/>
      <c r="L1694" s="647"/>
      <c r="M1694" s="667"/>
      <c r="N1694" s="667"/>
      <c r="O1694" s="647"/>
      <c r="P1694" s="667"/>
      <c r="Q1694" s="667"/>
      <c r="R1694" s="737"/>
    </row>
    <row r="1695" spans="1:18" ht="36">
      <c r="A1695" s="728">
        <v>6050</v>
      </c>
      <c r="B1695" s="735" t="s">
        <v>149</v>
      </c>
      <c r="C1695" s="666">
        <v>500000</v>
      </c>
      <c r="D1695" s="643">
        <f t="shared" si="206"/>
        <v>92000</v>
      </c>
      <c r="E1695" s="643">
        <f>H1695+K1695+Q1695+N1695</f>
        <v>0</v>
      </c>
      <c r="F1695" s="644">
        <f t="shared" si="200"/>
        <v>0</v>
      </c>
      <c r="G1695" s="666">
        <f>500000-20000-388000</f>
        <v>92000</v>
      </c>
      <c r="H1695" s="900"/>
      <c r="I1695" s="492">
        <f t="shared" si="204"/>
        <v>0</v>
      </c>
      <c r="J1695" s="730"/>
      <c r="K1695" s="667"/>
      <c r="L1695" s="647"/>
      <c r="M1695" s="730"/>
      <c r="N1695" s="785"/>
      <c r="O1695" s="647"/>
      <c r="P1695" s="730"/>
      <c r="Q1695" s="667"/>
      <c r="R1695" s="737"/>
    </row>
    <row r="1696" spans="1:18" s="723" customFormat="1" ht="27" customHeight="1">
      <c r="A1696" s="724">
        <v>90015</v>
      </c>
      <c r="B1696" s="854" t="s">
        <v>150</v>
      </c>
      <c r="C1696" s="726">
        <f>SUM(C1697:C1700)</f>
        <v>3680000</v>
      </c>
      <c r="D1696" s="674">
        <f t="shared" si="206"/>
        <v>3704600</v>
      </c>
      <c r="E1696" s="657">
        <f t="shared" si="206"/>
        <v>2584589</v>
      </c>
      <c r="F1696" s="658">
        <f t="shared" si="200"/>
        <v>69.76701938130972</v>
      </c>
      <c r="G1696" s="657">
        <f>SUM(G1697:G1700)</f>
        <v>2252600</v>
      </c>
      <c r="H1696" s="662">
        <f>SUM(H1697:H1700)</f>
        <v>1643494</v>
      </c>
      <c r="I1696" s="890">
        <f t="shared" si="204"/>
        <v>72.95986859628873</v>
      </c>
      <c r="J1696" s="662"/>
      <c r="K1696" s="657"/>
      <c r="L1696" s="665"/>
      <c r="M1696" s="657">
        <f>SUM(M1697:M1700)</f>
        <v>1452000</v>
      </c>
      <c r="N1696" s="871">
        <f>SUM(N1697:N1700)</f>
        <v>941095</v>
      </c>
      <c r="O1696" s="890">
        <f>N1696/M1696*100</f>
        <v>64.81370523415978</v>
      </c>
      <c r="P1696" s="657"/>
      <c r="Q1696" s="657"/>
      <c r="R1696" s="842"/>
    </row>
    <row r="1697" spans="1:18" ht="15" customHeight="1">
      <c r="A1697" s="709">
        <v>4260</v>
      </c>
      <c r="B1697" s="1098" t="s">
        <v>711</v>
      </c>
      <c r="C1697" s="670">
        <v>1710000</v>
      </c>
      <c r="D1697" s="685">
        <f t="shared" si="206"/>
        <v>1710000</v>
      </c>
      <c r="E1697" s="686">
        <f aca="true" t="shared" si="208" ref="E1697:E1724">SUM(H1697+K1697+N1697+Q1697)</f>
        <v>1279925</v>
      </c>
      <c r="F1697" s="668">
        <f t="shared" si="200"/>
        <v>74.84941520467837</v>
      </c>
      <c r="G1697" s="686">
        <v>1000000</v>
      </c>
      <c r="H1697" s="777">
        <v>767310</v>
      </c>
      <c r="I1697" s="758">
        <f t="shared" si="204"/>
        <v>76.73100000000001</v>
      </c>
      <c r="J1697" s="777"/>
      <c r="K1697" s="686"/>
      <c r="L1697" s="652"/>
      <c r="M1697" s="686">
        <v>710000</v>
      </c>
      <c r="N1697" s="686">
        <v>512615</v>
      </c>
      <c r="O1697" s="492">
        <f>N1697/M1697*100</f>
        <v>72.1992957746479</v>
      </c>
      <c r="P1697" s="686"/>
      <c r="Q1697" s="686"/>
      <c r="R1697" s="760"/>
    </row>
    <row r="1698" spans="1:18" ht="24">
      <c r="A1698" s="728">
        <v>4270</v>
      </c>
      <c r="B1698" s="735" t="s">
        <v>713</v>
      </c>
      <c r="C1698" s="666">
        <v>1230000</v>
      </c>
      <c r="D1698" s="643">
        <f t="shared" si="206"/>
        <v>1230000</v>
      </c>
      <c r="E1698" s="667">
        <f t="shared" si="208"/>
        <v>1188480</v>
      </c>
      <c r="F1698" s="644">
        <f t="shared" si="200"/>
        <v>96.62439024390244</v>
      </c>
      <c r="G1698" s="667">
        <v>760000</v>
      </c>
      <c r="H1698" s="730">
        <v>760000</v>
      </c>
      <c r="I1698" s="492">
        <f t="shared" si="204"/>
        <v>100</v>
      </c>
      <c r="J1698" s="730"/>
      <c r="K1698" s="667"/>
      <c r="L1698" s="647"/>
      <c r="M1698" s="667">
        <v>470000</v>
      </c>
      <c r="N1698" s="667">
        <v>428480</v>
      </c>
      <c r="O1698" s="492">
        <f>N1698/M1698*100</f>
        <v>91.1659574468085</v>
      </c>
      <c r="P1698" s="667"/>
      <c r="Q1698" s="667"/>
      <c r="R1698" s="737"/>
    </row>
    <row r="1699" spans="1:18" ht="24" hidden="1">
      <c r="A1699" s="728">
        <v>4270</v>
      </c>
      <c r="B1699" s="735" t="s">
        <v>151</v>
      </c>
      <c r="C1699" s="666">
        <f>23600-23600</f>
        <v>0</v>
      </c>
      <c r="D1699" s="643">
        <f t="shared" si="206"/>
        <v>0</v>
      </c>
      <c r="E1699" s="667">
        <f t="shared" si="208"/>
        <v>0</v>
      </c>
      <c r="F1699" s="644" t="e">
        <f t="shared" si="200"/>
        <v>#DIV/0!</v>
      </c>
      <c r="G1699" s="667"/>
      <c r="H1699" s="730"/>
      <c r="I1699" s="492" t="e">
        <f t="shared" si="204"/>
        <v>#DIV/0!</v>
      </c>
      <c r="J1699" s="730"/>
      <c r="K1699" s="667"/>
      <c r="L1699" s="647"/>
      <c r="M1699" s="667"/>
      <c r="N1699" s="667"/>
      <c r="O1699" s="492" t="e">
        <f>N1699/M1699*100</f>
        <v>#DIV/0!</v>
      </c>
      <c r="P1699" s="667"/>
      <c r="Q1699" s="667"/>
      <c r="R1699" s="737"/>
    </row>
    <row r="1700" spans="1:18" ht="24">
      <c r="A1700" s="762">
        <v>6050</v>
      </c>
      <c r="B1700" s="780" t="s">
        <v>735</v>
      </c>
      <c r="C1700" s="781">
        <v>740000</v>
      </c>
      <c r="D1700" s="765">
        <f t="shared" si="206"/>
        <v>764600</v>
      </c>
      <c r="E1700" s="785">
        <f t="shared" si="208"/>
        <v>116184</v>
      </c>
      <c r="F1700" s="705">
        <f t="shared" si="200"/>
        <v>15.19539628563955</v>
      </c>
      <c r="G1700" s="785">
        <f>540000+24600-72000</f>
        <v>492600</v>
      </c>
      <c r="H1700" s="782">
        <v>116184</v>
      </c>
      <c r="I1700" s="492">
        <f t="shared" si="204"/>
        <v>23.585870889159562</v>
      </c>
      <c r="J1700" s="782"/>
      <c r="K1700" s="785"/>
      <c r="L1700" s="707"/>
      <c r="M1700" s="785">
        <f>200000+72000</f>
        <v>272000</v>
      </c>
      <c r="N1700" s="785"/>
      <c r="O1700" s="492">
        <f>N1700/M1700*100</f>
        <v>0</v>
      </c>
      <c r="P1700" s="785"/>
      <c r="Q1700" s="785"/>
      <c r="R1700" s="770"/>
    </row>
    <row r="1701" spans="1:18" ht="24" customHeight="1">
      <c r="A1701" s="724">
        <v>90095</v>
      </c>
      <c r="B1701" s="854" t="s">
        <v>311</v>
      </c>
      <c r="C1701" s="841">
        <f>SUM(C1702:C1712)</f>
        <v>3413100</v>
      </c>
      <c r="D1701" s="674">
        <f t="shared" si="206"/>
        <v>4437904</v>
      </c>
      <c r="E1701" s="674">
        <f t="shared" si="208"/>
        <v>1038313</v>
      </c>
      <c r="F1701" s="658">
        <f t="shared" si="200"/>
        <v>23.396472749297867</v>
      </c>
      <c r="G1701" s="657">
        <f>SUM(G1702:G1710)+G1712</f>
        <v>4437904</v>
      </c>
      <c r="H1701" s="657">
        <f>SUM(H1702:H1710)+H1712</f>
        <v>1038313</v>
      </c>
      <c r="I1701" s="890">
        <f t="shared" si="204"/>
        <v>23.396472749297867</v>
      </c>
      <c r="J1701" s="1091"/>
      <c r="K1701" s="657"/>
      <c r="L1701" s="665"/>
      <c r="M1701" s="657"/>
      <c r="N1701" s="657"/>
      <c r="O1701" s="665"/>
      <c r="P1701" s="657"/>
      <c r="Q1701" s="657"/>
      <c r="R1701" s="317"/>
    </row>
    <row r="1702" spans="1:18" ht="24">
      <c r="A1702" s="728">
        <v>4210</v>
      </c>
      <c r="B1702" s="735" t="s">
        <v>707</v>
      </c>
      <c r="C1702" s="1099">
        <f>80000+60000-140000</f>
        <v>0</v>
      </c>
      <c r="D1702" s="643">
        <f t="shared" si="206"/>
        <v>5000</v>
      </c>
      <c r="E1702" s="667">
        <f t="shared" si="208"/>
        <v>117</v>
      </c>
      <c r="F1702" s="644">
        <f t="shared" si="200"/>
        <v>2.34</v>
      </c>
      <c r="G1702" s="1099">
        <v>5000</v>
      </c>
      <c r="H1702" s="730">
        <v>117</v>
      </c>
      <c r="I1702" s="492">
        <f>H1702/G1702*100</f>
        <v>2.34</v>
      </c>
      <c r="J1702" s="730"/>
      <c r="K1702" s="667"/>
      <c r="L1702" s="647"/>
      <c r="M1702" s="667"/>
      <c r="N1702" s="667"/>
      <c r="O1702" s="647"/>
      <c r="P1702" s="667"/>
      <c r="Q1702" s="667"/>
      <c r="R1702" s="737"/>
    </row>
    <row r="1703" spans="1:18" ht="36">
      <c r="A1703" s="728">
        <v>4270</v>
      </c>
      <c r="B1703" s="735" t="s">
        <v>152</v>
      </c>
      <c r="C1703" s="1099">
        <f>100000+110000+421900</f>
        <v>631900</v>
      </c>
      <c r="D1703" s="643">
        <f t="shared" si="206"/>
        <v>509000</v>
      </c>
      <c r="E1703" s="667">
        <f t="shared" si="208"/>
        <v>171847</v>
      </c>
      <c r="F1703" s="644">
        <f t="shared" si="200"/>
        <v>33.761689587426325</v>
      </c>
      <c r="G1703" s="1099">
        <f>631900+111400+21700-80000-116000-60000</f>
        <v>509000</v>
      </c>
      <c r="H1703" s="730">
        <v>171847</v>
      </c>
      <c r="I1703" s="492">
        <f>H1703/G1703*100</f>
        <v>33.761689587426325</v>
      </c>
      <c r="J1703" s="730"/>
      <c r="K1703" s="667"/>
      <c r="L1703" s="647"/>
      <c r="M1703" s="667"/>
      <c r="N1703" s="667"/>
      <c r="O1703" s="647"/>
      <c r="P1703" s="667"/>
      <c r="Q1703" s="667"/>
      <c r="R1703" s="737"/>
    </row>
    <row r="1704" spans="1:18" ht="24">
      <c r="A1704" s="728">
        <v>4300</v>
      </c>
      <c r="B1704" s="735" t="s">
        <v>715</v>
      </c>
      <c r="C1704" s="142">
        <v>201200</v>
      </c>
      <c r="D1704" s="643">
        <f t="shared" si="206"/>
        <v>201200</v>
      </c>
      <c r="E1704" s="667">
        <f t="shared" si="208"/>
        <v>165094</v>
      </c>
      <c r="F1704" s="644">
        <f t="shared" si="200"/>
        <v>82.05467196819085</v>
      </c>
      <c r="G1704" s="142">
        <f>201200-5000+5000</f>
        <v>201200</v>
      </c>
      <c r="H1704" s="648">
        <v>165094</v>
      </c>
      <c r="I1704" s="492">
        <f t="shared" si="204"/>
        <v>82.05467196819085</v>
      </c>
      <c r="J1704" s="730"/>
      <c r="K1704" s="667"/>
      <c r="L1704" s="647"/>
      <c r="M1704" s="667"/>
      <c r="N1704" s="667"/>
      <c r="O1704" s="647"/>
      <c r="P1704" s="667"/>
      <c r="Q1704" s="667"/>
      <c r="R1704" s="737"/>
    </row>
    <row r="1705" spans="1:18" ht="12.75" hidden="1">
      <c r="A1705" s="728">
        <v>4430</v>
      </c>
      <c r="B1705" s="735" t="s">
        <v>717</v>
      </c>
      <c r="C1705" s="142"/>
      <c r="D1705" s="643">
        <f>G1705+J1705+P1705+M1705</f>
        <v>0</v>
      </c>
      <c r="E1705" s="667">
        <f>SUM(H1705+K1705+N1705+Q1705)</f>
        <v>0</v>
      </c>
      <c r="F1705" s="644" t="e">
        <f>E1705/D1705*100</f>
        <v>#DIV/0!</v>
      </c>
      <c r="G1705" s="142">
        <f>-655+655</f>
        <v>0</v>
      </c>
      <c r="H1705" s="648"/>
      <c r="I1705" s="492" t="e">
        <f t="shared" si="204"/>
        <v>#DIV/0!</v>
      </c>
      <c r="J1705" s="730"/>
      <c r="K1705" s="667"/>
      <c r="L1705" s="647"/>
      <c r="M1705" s="667"/>
      <c r="N1705" s="667"/>
      <c r="O1705" s="647"/>
      <c r="P1705" s="667"/>
      <c r="Q1705" s="667"/>
      <c r="R1705" s="737"/>
    </row>
    <row r="1706" spans="1:18" s="761" customFormat="1" ht="12.75" hidden="1">
      <c r="A1706" s="829">
        <v>4580</v>
      </c>
      <c r="B1706" s="865" t="s">
        <v>412</v>
      </c>
      <c r="C1706" s="1099"/>
      <c r="D1706" s="643">
        <f>G1706+J1706+P1706+M1706</f>
        <v>0</v>
      </c>
      <c r="E1706" s="667">
        <f t="shared" si="208"/>
        <v>0</v>
      </c>
      <c r="F1706" s="644" t="e">
        <f t="shared" si="200"/>
        <v>#DIV/0!</v>
      </c>
      <c r="G1706" s="1099"/>
      <c r="H1706" s="648"/>
      <c r="I1706" s="492" t="e">
        <f t="shared" si="204"/>
        <v>#DIV/0!</v>
      </c>
      <c r="J1706" s="648"/>
      <c r="K1706" s="643"/>
      <c r="L1706" s="647"/>
      <c r="M1706" s="643"/>
      <c r="N1706" s="643"/>
      <c r="O1706" s="793"/>
      <c r="P1706" s="643"/>
      <c r="Q1706" s="643"/>
      <c r="R1706" s="737"/>
    </row>
    <row r="1707" spans="1:18" s="761" customFormat="1" ht="36" hidden="1">
      <c r="A1707" s="829">
        <v>4590</v>
      </c>
      <c r="B1707" s="865" t="s">
        <v>838</v>
      </c>
      <c r="C1707" s="1099"/>
      <c r="D1707" s="643">
        <f>G1707+J1707+P1707+M1707</f>
        <v>0</v>
      </c>
      <c r="E1707" s="667">
        <f>SUM(H1707+K1707+N1707+Q1707)</f>
        <v>0</v>
      </c>
      <c r="F1707" s="644" t="e">
        <f>E1707/D1707*100</f>
        <v>#DIV/0!</v>
      </c>
      <c r="G1707" s="1099"/>
      <c r="H1707" s="648"/>
      <c r="I1707" s="492" t="e">
        <f t="shared" si="204"/>
        <v>#DIV/0!</v>
      </c>
      <c r="J1707" s="648"/>
      <c r="K1707" s="643"/>
      <c r="L1707" s="647"/>
      <c r="M1707" s="643"/>
      <c r="N1707" s="643"/>
      <c r="O1707" s="793"/>
      <c r="P1707" s="643"/>
      <c r="Q1707" s="643"/>
      <c r="R1707" s="737"/>
    </row>
    <row r="1708" spans="1:18" s="761" customFormat="1" ht="36" hidden="1">
      <c r="A1708" s="829">
        <v>4610</v>
      </c>
      <c r="B1708" s="865" t="s">
        <v>744</v>
      </c>
      <c r="C1708" s="1099"/>
      <c r="D1708" s="643">
        <f>G1708+J1708+P1708+M1708</f>
        <v>0</v>
      </c>
      <c r="E1708" s="667">
        <f>SUM(H1708+K1708+N1708+Q1708)</f>
        <v>0</v>
      </c>
      <c r="F1708" s="644" t="e">
        <f>E1708/D1708*100</f>
        <v>#DIV/0!</v>
      </c>
      <c r="G1708" s="1099"/>
      <c r="H1708" s="648"/>
      <c r="I1708" s="492" t="e">
        <f t="shared" si="204"/>
        <v>#DIV/0!</v>
      </c>
      <c r="J1708" s="648"/>
      <c r="K1708" s="643"/>
      <c r="L1708" s="647"/>
      <c r="M1708" s="643"/>
      <c r="N1708" s="643"/>
      <c r="O1708" s="793"/>
      <c r="P1708" s="643"/>
      <c r="Q1708" s="643"/>
      <c r="R1708" s="737"/>
    </row>
    <row r="1709" spans="1:18" ht="24">
      <c r="A1709" s="990">
        <v>6050</v>
      </c>
      <c r="B1709" s="735" t="s">
        <v>735</v>
      </c>
      <c r="C1709" s="1099">
        <v>2450000</v>
      </c>
      <c r="D1709" s="643">
        <f>G1709+J1709+P1709+M1709</f>
        <v>3592704</v>
      </c>
      <c r="E1709" s="667">
        <f t="shared" si="208"/>
        <v>696766</v>
      </c>
      <c r="F1709" s="644">
        <f t="shared" si="200"/>
        <v>19.39391611443637</v>
      </c>
      <c r="G1709" s="1099">
        <f>2450000+100000+93000+38000+91411-30000+180000-51411+10000-78000+715996+73708</f>
        <v>3592704</v>
      </c>
      <c r="H1709" s="984">
        <v>696766</v>
      </c>
      <c r="I1709" s="492">
        <f t="shared" si="204"/>
        <v>19.39391611443637</v>
      </c>
      <c r="J1709" s="881"/>
      <c r="K1709" s="880"/>
      <c r="L1709" s="647"/>
      <c r="M1709" s="667"/>
      <c r="N1709" s="667"/>
      <c r="O1709" s="647"/>
      <c r="P1709" s="667"/>
      <c r="Q1709" s="667"/>
      <c r="R1709" s="737"/>
    </row>
    <row r="1710" spans="1:18" s="882" customFormat="1" ht="96" hidden="1">
      <c r="A1710" s="728">
        <v>6230</v>
      </c>
      <c r="B1710" s="735" t="s">
        <v>153</v>
      </c>
      <c r="C1710" s="1099"/>
      <c r="D1710" s="643">
        <f aca="true" t="shared" si="209" ref="D1710:D1724">G1710+J1710+P1710+M1710</f>
        <v>0</v>
      </c>
      <c r="E1710" s="667">
        <f t="shared" si="208"/>
        <v>0</v>
      </c>
      <c r="F1710" s="644" t="e">
        <f>E1710/D1710*100</f>
        <v>#DIV/0!</v>
      </c>
      <c r="G1710" s="1099"/>
      <c r="H1710" s="1100"/>
      <c r="I1710" s="492" t="e">
        <f t="shared" si="204"/>
        <v>#DIV/0!</v>
      </c>
      <c r="J1710" s="881"/>
      <c r="K1710" s="880"/>
      <c r="L1710" s="647"/>
      <c r="M1710" s="880"/>
      <c r="N1710" s="880"/>
      <c r="O1710" s="647"/>
      <c r="P1710" s="880"/>
      <c r="Q1710" s="880"/>
      <c r="R1710" s="821"/>
    </row>
    <row r="1711" spans="1:18" ht="60" hidden="1">
      <c r="A1711" s="728">
        <v>6010</v>
      </c>
      <c r="B1711" s="735" t="s">
        <v>154</v>
      </c>
      <c r="C1711" s="666">
        <v>0</v>
      </c>
      <c r="D1711" s="643">
        <f t="shared" si="209"/>
        <v>0</v>
      </c>
      <c r="E1711" s="667">
        <f t="shared" si="208"/>
        <v>0</v>
      </c>
      <c r="F1711" s="644" t="e">
        <f>E1711/D1711*100</f>
        <v>#DIV/0!</v>
      </c>
      <c r="G1711" s="667">
        <v>0</v>
      </c>
      <c r="H1711" s="730">
        <v>0</v>
      </c>
      <c r="I1711" s="492" t="e">
        <f t="shared" si="204"/>
        <v>#DIV/0!</v>
      </c>
      <c r="J1711" s="730"/>
      <c r="K1711" s="667"/>
      <c r="L1711" s="647"/>
      <c r="M1711" s="667"/>
      <c r="N1711" s="667"/>
      <c r="O1711" s="647"/>
      <c r="P1711" s="667"/>
      <c r="Q1711" s="667"/>
      <c r="R1711" s="737"/>
    </row>
    <row r="1712" spans="1:18" s="775" customFormat="1" ht="12.75">
      <c r="A1712" s="746"/>
      <c r="B1712" s="926" t="s">
        <v>155</v>
      </c>
      <c r="C1712" s="748">
        <f>SUM(C1713:C1724)</f>
        <v>130000</v>
      </c>
      <c r="D1712" s="749">
        <f t="shared" si="209"/>
        <v>130000</v>
      </c>
      <c r="E1712" s="749">
        <f t="shared" si="208"/>
        <v>4489</v>
      </c>
      <c r="F1712" s="700">
        <f>E1712/D1712*100</f>
        <v>3.453076923076923</v>
      </c>
      <c r="G1712" s="750">
        <f>SUM(G1713:G1724)</f>
        <v>130000</v>
      </c>
      <c r="H1712" s="750">
        <f>SUM(H1713:H1724)</f>
        <v>4489</v>
      </c>
      <c r="I1712" s="492">
        <f t="shared" si="204"/>
        <v>3.453076923076923</v>
      </c>
      <c r="J1712" s="750"/>
      <c r="K1712" s="749"/>
      <c r="L1712" s="754"/>
      <c r="M1712" s="750"/>
      <c r="N1712" s="750"/>
      <c r="O1712" s="1071"/>
      <c r="P1712" s="750"/>
      <c r="Q1712" s="749"/>
      <c r="R1712" s="755"/>
    </row>
    <row r="1713" spans="1:18" ht="24">
      <c r="A1713" s="728">
        <v>4178</v>
      </c>
      <c r="B1713" s="735" t="s">
        <v>156</v>
      </c>
      <c r="C1713" s="666">
        <v>10000</v>
      </c>
      <c r="D1713" s="643">
        <f t="shared" si="209"/>
        <v>10000</v>
      </c>
      <c r="E1713" s="667">
        <f t="shared" si="208"/>
        <v>0</v>
      </c>
      <c r="F1713" s="644">
        <f>E1713/D1713*100</f>
        <v>0</v>
      </c>
      <c r="G1713" s="730">
        <v>10000</v>
      </c>
      <c r="H1713" s="730"/>
      <c r="I1713" s="492">
        <f t="shared" si="204"/>
        <v>0</v>
      </c>
      <c r="J1713" s="730"/>
      <c r="K1713" s="667"/>
      <c r="L1713" s="647"/>
      <c r="M1713" s="730"/>
      <c r="N1713" s="730"/>
      <c r="O1713" s="699"/>
      <c r="P1713" s="730"/>
      <c r="Q1713" s="667"/>
      <c r="R1713" s="737"/>
    </row>
    <row r="1714" spans="1:18" ht="24">
      <c r="A1714" s="728">
        <v>4210</v>
      </c>
      <c r="B1714" s="735" t="s">
        <v>707</v>
      </c>
      <c r="C1714" s="666">
        <v>100</v>
      </c>
      <c r="D1714" s="643">
        <f>G1714+J1714+P1714+M1714</f>
        <v>100</v>
      </c>
      <c r="E1714" s="667">
        <f>SUM(H1714+K1714+N1714+Q1714)</f>
        <v>0</v>
      </c>
      <c r="F1714" s="644">
        <f>E1714/D1714*100</f>
        <v>0</v>
      </c>
      <c r="G1714" s="730">
        <v>100</v>
      </c>
      <c r="H1714" s="730"/>
      <c r="I1714" s="492">
        <f t="shared" si="204"/>
        <v>0</v>
      </c>
      <c r="J1714" s="730"/>
      <c r="K1714" s="667"/>
      <c r="L1714" s="647"/>
      <c r="M1714" s="730"/>
      <c r="N1714" s="730"/>
      <c r="O1714" s="699"/>
      <c r="P1714" s="730"/>
      <c r="Q1714" s="667"/>
      <c r="R1714" s="737"/>
    </row>
    <row r="1715" spans="1:18" ht="24">
      <c r="A1715" s="728">
        <v>4218</v>
      </c>
      <c r="B1715" s="735" t="s">
        <v>707</v>
      </c>
      <c r="C1715" s="666">
        <v>3000</v>
      </c>
      <c r="D1715" s="643">
        <f t="shared" si="209"/>
        <v>3000</v>
      </c>
      <c r="E1715" s="667">
        <f t="shared" si="208"/>
        <v>0</v>
      </c>
      <c r="F1715" s="644">
        <f aca="true" t="shared" si="210" ref="F1715:F1776">E1715/D1715*100</f>
        <v>0</v>
      </c>
      <c r="G1715" s="730">
        <v>3000</v>
      </c>
      <c r="H1715" s="730"/>
      <c r="I1715" s="492">
        <f t="shared" si="204"/>
        <v>0</v>
      </c>
      <c r="J1715" s="730"/>
      <c r="K1715" s="667"/>
      <c r="L1715" s="647"/>
      <c r="M1715" s="730"/>
      <c r="N1715" s="730"/>
      <c r="O1715" s="699"/>
      <c r="P1715" s="730"/>
      <c r="Q1715" s="667"/>
      <c r="R1715" s="737"/>
    </row>
    <row r="1716" spans="1:18" ht="24">
      <c r="A1716" s="728">
        <v>4219</v>
      </c>
      <c r="B1716" s="735" t="s">
        <v>707</v>
      </c>
      <c r="C1716" s="666">
        <v>700</v>
      </c>
      <c r="D1716" s="643">
        <f t="shared" si="209"/>
        <v>700</v>
      </c>
      <c r="E1716" s="667">
        <f t="shared" si="208"/>
        <v>0</v>
      </c>
      <c r="F1716" s="644">
        <f t="shared" si="210"/>
        <v>0</v>
      </c>
      <c r="G1716" s="730">
        <v>700</v>
      </c>
      <c r="H1716" s="730"/>
      <c r="I1716" s="492">
        <f t="shared" si="204"/>
        <v>0</v>
      </c>
      <c r="J1716" s="730"/>
      <c r="K1716" s="667"/>
      <c r="L1716" s="647"/>
      <c r="M1716" s="730"/>
      <c r="N1716" s="730"/>
      <c r="O1716" s="699"/>
      <c r="P1716" s="730"/>
      <c r="Q1716" s="667"/>
      <c r="R1716" s="737"/>
    </row>
    <row r="1717" spans="1:18" ht="24" hidden="1">
      <c r="A1717" s="728">
        <v>4300</v>
      </c>
      <c r="B1717" s="735" t="s">
        <v>733</v>
      </c>
      <c r="C1717" s="666"/>
      <c r="D1717" s="643">
        <f t="shared" si="209"/>
        <v>0</v>
      </c>
      <c r="E1717" s="667">
        <f>SUM(H1717+K1717+N1717+Q1717)</f>
        <v>0</v>
      </c>
      <c r="F1717" s="644" t="e">
        <f>E1717/D1717*100</f>
        <v>#DIV/0!</v>
      </c>
      <c r="G1717" s="730"/>
      <c r="H1717" s="730"/>
      <c r="I1717" s="492" t="e">
        <f t="shared" si="204"/>
        <v>#DIV/0!</v>
      </c>
      <c r="J1717" s="730"/>
      <c r="K1717" s="667"/>
      <c r="L1717" s="647"/>
      <c r="M1717" s="730"/>
      <c r="N1717" s="730"/>
      <c r="O1717" s="699"/>
      <c r="P1717" s="730"/>
      <c r="Q1717" s="667"/>
      <c r="R1717" s="737"/>
    </row>
    <row r="1718" spans="1:18" ht="24">
      <c r="A1718" s="728">
        <v>4308</v>
      </c>
      <c r="B1718" s="735" t="s">
        <v>733</v>
      </c>
      <c r="C1718" s="666">
        <v>10000</v>
      </c>
      <c r="D1718" s="643">
        <f t="shared" si="209"/>
        <v>10000</v>
      </c>
      <c r="E1718" s="667">
        <f t="shared" si="208"/>
        <v>0</v>
      </c>
      <c r="F1718" s="644">
        <f t="shared" si="210"/>
        <v>0</v>
      </c>
      <c r="G1718" s="730">
        <v>10000</v>
      </c>
      <c r="H1718" s="730"/>
      <c r="I1718" s="492">
        <f t="shared" si="204"/>
        <v>0</v>
      </c>
      <c r="J1718" s="730"/>
      <c r="K1718" s="667"/>
      <c r="L1718" s="647"/>
      <c r="M1718" s="730"/>
      <c r="N1718" s="730"/>
      <c r="O1718" s="699"/>
      <c r="P1718" s="730"/>
      <c r="Q1718" s="667"/>
      <c r="R1718" s="737"/>
    </row>
    <row r="1719" spans="1:18" ht="24">
      <c r="A1719" s="728">
        <v>4309</v>
      </c>
      <c r="B1719" s="735" t="s">
        <v>733</v>
      </c>
      <c r="C1719" s="666">
        <v>2200</v>
      </c>
      <c r="D1719" s="643">
        <f t="shared" si="209"/>
        <v>2200</v>
      </c>
      <c r="E1719" s="667">
        <f t="shared" si="208"/>
        <v>0</v>
      </c>
      <c r="F1719" s="644">
        <f t="shared" si="210"/>
        <v>0</v>
      </c>
      <c r="G1719" s="730">
        <v>2200</v>
      </c>
      <c r="H1719" s="730"/>
      <c r="I1719" s="492">
        <f t="shared" si="204"/>
        <v>0</v>
      </c>
      <c r="J1719" s="730"/>
      <c r="K1719" s="667"/>
      <c r="L1719" s="647"/>
      <c r="M1719" s="730"/>
      <c r="N1719" s="730"/>
      <c r="O1719" s="699"/>
      <c r="P1719" s="730"/>
      <c r="Q1719" s="667"/>
      <c r="R1719" s="737"/>
    </row>
    <row r="1720" spans="1:18" ht="36">
      <c r="A1720" s="762">
        <v>4388</v>
      </c>
      <c r="B1720" s="780" t="s">
        <v>1022</v>
      </c>
      <c r="C1720" s="781">
        <v>2800</v>
      </c>
      <c r="D1720" s="765">
        <f t="shared" si="209"/>
        <v>2800</v>
      </c>
      <c r="E1720" s="785">
        <f t="shared" si="208"/>
        <v>0</v>
      </c>
      <c r="F1720" s="705">
        <f t="shared" si="210"/>
        <v>0</v>
      </c>
      <c r="G1720" s="782">
        <v>2800</v>
      </c>
      <c r="H1720" s="782"/>
      <c r="I1720" s="766">
        <f t="shared" si="204"/>
        <v>0</v>
      </c>
      <c r="J1720" s="782"/>
      <c r="K1720" s="785"/>
      <c r="L1720" s="707"/>
      <c r="M1720" s="782"/>
      <c r="N1720" s="782"/>
      <c r="O1720" s="815"/>
      <c r="P1720" s="782"/>
      <c r="Q1720" s="785"/>
      <c r="R1720" s="770"/>
    </row>
    <row r="1721" spans="1:18" ht="36">
      <c r="A1721" s="728">
        <v>4398</v>
      </c>
      <c r="B1721" s="865" t="s">
        <v>743</v>
      </c>
      <c r="C1721" s="666">
        <v>90000</v>
      </c>
      <c r="D1721" s="643">
        <f t="shared" si="209"/>
        <v>90000</v>
      </c>
      <c r="E1721" s="667">
        <f t="shared" si="208"/>
        <v>0</v>
      </c>
      <c r="F1721" s="644">
        <f t="shared" si="210"/>
        <v>0</v>
      </c>
      <c r="G1721" s="730">
        <v>90000</v>
      </c>
      <c r="H1721" s="730"/>
      <c r="I1721" s="492">
        <f t="shared" si="204"/>
        <v>0</v>
      </c>
      <c r="J1721" s="730"/>
      <c r="K1721" s="667"/>
      <c r="L1721" s="647"/>
      <c r="M1721" s="730"/>
      <c r="N1721" s="730"/>
      <c r="O1721" s="699"/>
      <c r="P1721" s="730"/>
      <c r="Q1721" s="667"/>
      <c r="R1721" s="737"/>
    </row>
    <row r="1722" spans="1:18" ht="36">
      <c r="A1722" s="728">
        <v>4399</v>
      </c>
      <c r="B1722" s="865" t="s">
        <v>743</v>
      </c>
      <c r="C1722" s="666">
        <v>800</v>
      </c>
      <c r="D1722" s="643">
        <f t="shared" si="209"/>
        <v>800</v>
      </c>
      <c r="E1722" s="667">
        <f t="shared" si="208"/>
        <v>0</v>
      </c>
      <c r="F1722" s="644">
        <f t="shared" si="210"/>
        <v>0</v>
      </c>
      <c r="G1722" s="730">
        <v>800</v>
      </c>
      <c r="H1722" s="730"/>
      <c r="I1722" s="492">
        <f t="shared" si="204"/>
        <v>0</v>
      </c>
      <c r="J1722" s="730"/>
      <c r="K1722" s="667"/>
      <c r="L1722" s="647"/>
      <c r="M1722" s="730"/>
      <c r="N1722" s="730"/>
      <c r="O1722" s="699"/>
      <c r="P1722" s="730"/>
      <c r="Q1722" s="667"/>
      <c r="R1722" s="737"/>
    </row>
    <row r="1723" spans="1:18" ht="24">
      <c r="A1723" s="728">
        <v>4420</v>
      </c>
      <c r="B1723" s="735" t="s">
        <v>823</v>
      </c>
      <c r="C1723" s="666">
        <v>400</v>
      </c>
      <c r="D1723" s="643">
        <f t="shared" si="209"/>
        <v>400</v>
      </c>
      <c r="E1723" s="667">
        <f t="shared" si="208"/>
        <v>0</v>
      </c>
      <c r="F1723" s="644">
        <f t="shared" si="210"/>
        <v>0</v>
      </c>
      <c r="G1723" s="730">
        <v>400</v>
      </c>
      <c r="H1723" s="730"/>
      <c r="I1723" s="492">
        <f t="shared" si="204"/>
        <v>0</v>
      </c>
      <c r="J1723" s="730"/>
      <c r="K1723" s="667"/>
      <c r="L1723" s="647"/>
      <c r="M1723" s="730"/>
      <c r="N1723" s="730"/>
      <c r="O1723" s="699"/>
      <c r="P1723" s="730"/>
      <c r="Q1723" s="667"/>
      <c r="R1723" s="737"/>
    </row>
    <row r="1724" spans="1:18" ht="24.75" thickBot="1">
      <c r="A1724" s="728">
        <v>4428</v>
      </c>
      <c r="B1724" s="735" t="s">
        <v>823</v>
      </c>
      <c r="C1724" s="666">
        <v>10000</v>
      </c>
      <c r="D1724" s="643">
        <f t="shared" si="209"/>
        <v>10000</v>
      </c>
      <c r="E1724" s="667">
        <f t="shared" si="208"/>
        <v>4489</v>
      </c>
      <c r="F1724" s="644">
        <f t="shared" si="210"/>
        <v>44.89</v>
      </c>
      <c r="G1724" s="730">
        <v>10000</v>
      </c>
      <c r="H1724" s="730">
        <v>4489</v>
      </c>
      <c r="I1724" s="492">
        <f t="shared" si="204"/>
        <v>44.89</v>
      </c>
      <c r="J1724" s="730"/>
      <c r="K1724" s="667"/>
      <c r="L1724" s="647"/>
      <c r="M1724" s="730"/>
      <c r="N1724" s="730"/>
      <c r="O1724" s="699"/>
      <c r="P1724" s="730"/>
      <c r="Q1724" s="667"/>
      <c r="R1724" s="737"/>
    </row>
    <row r="1725" spans="1:18" s="723" customFormat="1" ht="46.5" customHeight="1" thickBot="1" thickTop="1">
      <c r="A1725" s="738">
        <v>921</v>
      </c>
      <c r="B1725" s="739" t="s">
        <v>630</v>
      </c>
      <c r="C1725" s="720">
        <f>C1775+C1728+C1750+C1765+C1809+C1824+C1849+C1856+C1726</f>
        <v>20925900</v>
      </c>
      <c r="D1725" s="623">
        <f>D1775+D1728+D1750+D1765+D1809+D1824+D1849+D1856+D1726</f>
        <v>22486850</v>
      </c>
      <c r="E1725" s="623">
        <f>E1775+E1728+E1750+E1765+E1809+E1824+E1849+E1856+E1726</f>
        <v>18447031</v>
      </c>
      <c r="F1725" s="742">
        <f t="shared" si="210"/>
        <v>82.03474919786453</v>
      </c>
      <c r="G1725" s="720">
        <f>G1775+G1728+G1750+G1765+G1809+G1824+G1849+G1856+G1726</f>
        <v>5487400</v>
      </c>
      <c r="H1725" s="623">
        <f>H1775+H1728+H1750+H1765+H1809+H1824+H1849+H1856+H1726</f>
        <v>4180739</v>
      </c>
      <c r="I1725" s="742">
        <f>H1725/G1725*100</f>
        <v>76.18797609068046</v>
      </c>
      <c r="J1725" s="720">
        <f>J1765</f>
        <v>5000</v>
      </c>
      <c r="K1725" s="623">
        <f>K1765</f>
        <v>0</v>
      </c>
      <c r="L1725" s="624">
        <f>K1725/J1725*100</f>
        <v>0</v>
      </c>
      <c r="M1725" s="720">
        <f>M1775+M1728+M1750+M1765+M1809+M1824+M1849+M1856</f>
        <v>16924450</v>
      </c>
      <c r="N1725" s="622">
        <f>N1775+N1728+N1750+N1765+N1809+N1824+N1849+N1856</f>
        <v>14196292</v>
      </c>
      <c r="O1725" s="852">
        <f>N1725/M1725*100</f>
        <v>83.88037425145278</v>
      </c>
      <c r="P1725" s="720">
        <f>P1775+P1728+P1750+P1765+P1809+P1824+P1849+P1856</f>
        <v>70000</v>
      </c>
      <c r="Q1725" s="622">
        <f>Q1775+Q1728+Q1750+Q1765+Q1809+Q1824+Q1849+Q1856</f>
        <v>70000</v>
      </c>
      <c r="R1725" s="852">
        <f>Q1725/P1725*100</f>
        <v>100</v>
      </c>
    </row>
    <row r="1726" spans="1:18" s="723" customFormat="1" ht="24.75" hidden="1" thickTop="1">
      <c r="A1726" s="883">
        <v>92103</v>
      </c>
      <c r="B1726" s="884" t="s">
        <v>157</v>
      </c>
      <c r="C1726" s="958"/>
      <c r="D1726" s="631">
        <f aca="true" t="shared" si="211" ref="D1726:E1741">G1726+J1726+P1726+M1726</f>
        <v>0</v>
      </c>
      <c r="E1726" s="637">
        <f t="shared" si="211"/>
        <v>0</v>
      </c>
      <c r="F1726" s="632" t="e">
        <f t="shared" si="210"/>
        <v>#DIV/0!</v>
      </c>
      <c r="G1726" s="958">
        <f>G1727</f>
        <v>0</v>
      </c>
      <c r="H1726" s="1101">
        <f>H1727</f>
        <v>0</v>
      </c>
      <c r="I1726" s="1010" t="e">
        <f>H1726/G1726*100</f>
        <v>#DIV/0!</v>
      </c>
      <c r="J1726" s="636"/>
      <c r="K1726" s="637"/>
      <c r="L1726" s="638"/>
      <c r="M1726" s="636"/>
      <c r="N1726" s="637"/>
      <c r="O1726" s="855"/>
      <c r="P1726" s="636"/>
      <c r="Q1726" s="637"/>
      <c r="R1726" s="989"/>
    </row>
    <row r="1727" spans="1:18" s="761" customFormat="1" ht="36.75" hidden="1" thickTop="1">
      <c r="A1727" s="829">
        <v>2550</v>
      </c>
      <c r="B1727" s="892" t="s">
        <v>158</v>
      </c>
      <c r="C1727" s="697"/>
      <c r="D1727" s="765">
        <f t="shared" si="211"/>
        <v>0</v>
      </c>
      <c r="E1727" s="765">
        <f t="shared" si="211"/>
        <v>0</v>
      </c>
      <c r="F1727" s="705" t="e">
        <f t="shared" si="210"/>
        <v>#DIV/0!</v>
      </c>
      <c r="G1727" s="948"/>
      <c r="H1727" s="643"/>
      <c r="I1727" s="766" t="e">
        <f>H1727/G1727*100</f>
        <v>#DIV/0!</v>
      </c>
      <c r="J1727" s="648"/>
      <c r="K1727" s="643"/>
      <c r="L1727" s="649"/>
      <c r="M1727" s="648"/>
      <c r="N1727" s="643"/>
      <c r="O1727" s="699"/>
      <c r="P1727" s="648"/>
      <c r="Q1727" s="643"/>
      <c r="R1727" s="737"/>
    </row>
    <row r="1728" spans="1:18" ht="24" customHeight="1" thickTop="1">
      <c r="A1728" s="724">
        <v>92105</v>
      </c>
      <c r="B1728" s="854" t="s">
        <v>632</v>
      </c>
      <c r="C1728" s="726">
        <f>SUM(C1729:C1738)</f>
        <v>419000</v>
      </c>
      <c r="D1728" s="674">
        <f t="shared" si="211"/>
        <v>506600</v>
      </c>
      <c r="E1728" s="657">
        <f t="shared" si="211"/>
        <v>396606</v>
      </c>
      <c r="F1728" s="658">
        <f t="shared" si="210"/>
        <v>78.28780102645085</v>
      </c>
      <c r="G1728" s="657">
        <f>SUM(G1729:G1739)</f>
        <v>506600</v>
      </c>
      <c r="H1728" s="657">
        <f>SUM(H1729:H1739)</f>
        <v>396606</v>
      </c>
      <c r="I1728" s="890">
        <f>H1728/G1728*100</f>
        <v>78.28780102645085</v>
      </c>
      <c r="J1728" s="662"/>
      <c r="K1728" s="657"/>
      <c r="L1728" s="663"/>
      <c r="M1728" s="657"/>
      <c r="N1728" s="657"/>
      <c r="O1728" s="317"/>
      <c r="P1728" s="657"/>
      <c r="Q1728" s="657"/>
      <c r="R1728" s="842"/>
    </row>
    <row r="1729" spans="1:18" ht="36" hidden="1">
      <c r="A1729" s="709">
        <v>3020</v>
      </c>
      <c r="B1729" s="776" t="s">
        <v>159</v>
      </c>
      <c r="C1729" s="670"/>
      <c r="D1729" s="685">
        <f t="shared" si="211"/>
        <v>0</v>
      </c>
      <c r="E1729" s="686">
        <f aca="true" t="shared" si="212" ref="E1729:E1749">SUM(H1729+K1729+N1729+Q1729)</f>
        <v>0</v>
      </c>
      <c r="F1729" s="668"/>
      <c r="G1729" s="670"/>
      <c r="H1729" s="686"/>
      <c r="I1729" s="758"/>
      <c r="J1729" s="777"/>
      <c r="K1729" s="686"/>
      <c r="L1729" s="690"/>
      <c r="M1729" s="686"/>
      <c r="N1729" s="686"/>
      <c r="O1729" s="779"/>
      <c r="P1729" s="686"/>
      <c r="Q1729" s="686"/>
      <c r="R1729" s="760"/>
    </row>
    <row r="1730" spans="1:18" ht="48">
      <c r="A1730" s="728">
        <v>3040</v>
      </c>
      <c r="B1730" s="735" t="s">
        <v>43</v>
      </c>
      <c r="C1730" s="666">
        <v>52000</v>
      </c>
      <c r="D1730" s="643">
        <f t="shared" si="211"/>
        <v>52000</v>
      </c>
      <c r="E1730" s="667">
        <f t="shared" si="212"/>
        <v>13550</v>
      </c>
      <c r="F1730" s="644">
        <f t="shared" si="210"/>
        <v>26.05769230769231</v>
      </c>
      <c r="G1730" s="666">
        <v>52000</v>
      </c>
      <c r="H1730" s="667">
        <v>13550</v>
      </c>
      <c r="I1730" s="492">
        <f aca="true" t="shared" si="213" ref="I1730:I1748">H1730/G1730*100</f>
        <v>26.05769230769231</v>
      </c>
      <c r="J1730" s="730"/>
      <c r="K1730" s="667"/>
      <c r="L1730" s="649"/>
      <c r="M1730" s="667"/>
      <c r="N1730" s="667"/>
      <c r="O1730" s="731"/>
      <c r="P1730" s="667"/>
      <c r="Q1730" s="667"/>
      <c r="R1730" s="737"/>
    </row>
    <row r="1731" spans="1:18" ht="26.25" customHeight="1">
      <c r="A1731" s="728">
        <v>4210</v>
      </c>
      <c r="B1731" s="735" t="s">
        <v>707</v>
      </c>
      <c r="C1731" s="666">
        <v>17000</v>
      </c>
      <c r="D1731" s="643">
        <f t="shared" si="211"/>
        <v>22000</v>
      </c>
      <c r="E1731" s="667">
        <f t="shared" si="212"/>
        <v>11324</v>
      </c>
      <c r="F1731" s="644">
        <f t="shared" si="210"/>
        <v>51.47272727272727</v>
      </c>
      <c r="G1731" s="666">
        <f>17000+5000</f>
        <v>22000</v>
      </c>
      <c r="H1731" s="667">
        <v>11324</v>
      </c>
      <c r="I1731" s="492">
        <f t="shared" si="213"/>
        <v>51.47272727272727</v>
      </c>
      <c r="J1731" s="730"/>
      <c r="K1731" s="667"/>
      <c r="L1731" s="649"/>
      <c r="M1731" s="667"/>
      <c r="N1731" s="667"/>
      <c r="O1731" s="731"/>
      <c r="P1731" s="667"/>
      <c r="Q1731" s="667"/>
      <c r="R1731" s="737"/>
    </row>
    <row r="1732" spans="1:18" ht="27" customHeight="1" hidden="1">
      <c r="A1732" s="728">
        <v>4300</v>
      </c>
      <c r="B1732" s="735" t="s">
        <v>160</v>
      </c>
      <c r="C1732" s="666"/>
      <c r="D1732" s="643">
        <f t="shared" si="211"/>
        <v>0</v>
      </c>
      <c r="E1732" s="667">
        <f t="shared" si="212"/>
        <v>0</v>
      </c>
      <c r="F1732" s="644" t="e">
        <f t="shared" si="210"/>
        <v>#DIV/0!</v>
      </c>
      <c r="G1732" s="666"/>
      <c r="H1732" s="667"/>
      <c r="I1732" s="492" t="e">
        <f t="shared" si="213"/>
        <v>#DIV/0!</v>
      </c>
      <c r="J1732" s="730"/>
      <c r="K1732" s="667"/>
      <c r="L1732" s="649"/>
      <c r="M1732" s="667"/>
      <c r="N1732" s="667"/>
      <c r="O1732" s="731"/>
      <c r="P1732" s="667"/>
      <c r="Q1732" s="667"/>
      <c r="R1732" s="737"/>
    </row>
    <row r="1733" spans="1:18" ht="27" customHeight="1" hidden="1">
      <c r="A1733" s="728">
        <v>4210</v>
      </c>
      <c r="B1733" s="735" t="s">
        <v>161</v>
      </c>
      <c r="C1733" s="666"/>
      <c r="D1733" s="643">
        <f t="shared" si="211"/>
        <v>0</v>
      </c>
      <c r="E1733" s="667">
        <f t="shared" si="212"/>
        <v>0</v>
      </c>
      <c r="F1733" s="644" t="e">
        <f t="shared" si="210"/>
        <v>#DIV/0!</v>
      </c>
      <c r="G1733" s="666"/>
      <c r="H1733" s="667"/>
      <c r="I1733" s="492" t="e">
        <f t="shared" si="213"/>
        <v>#DIV/0!</v>
      </c>
      <c r="J1733" s="730"/>
      <c r="K1733" s="667"/>
      <c r="L1733" s="649"/>
      <c r="M1733" s="667"/>
      <c r="N1733" s="667"/>
      <c r="O1733" s="731"/>
      <c r="P1733" s="667"/>
      <c r="Q1733" s="667"/>
      <c r="R1733" s="737"/>
    </row>
    <row r="1734" spans="1:18" ht="24" hidden="1">
      <c r="A1734" s="728">
        <v>4170</v>
      </c>
      <c r="B1734" s="735" t="s">
        <v>742</v>
      </c>
      <c r="C1734" s="666"/>
      <c r="D1734" s="643">
        <f t="shared" si="211"/>
        <v>0</v>
      </c>
      <c r="E1734" s="667">
        <f t="shared" si="212"/>
        <v>0</v>
      </c>
      <c r="F1734" s="644" t="e">
        <f t="shared" si="210"/>
        <v>#DIV/0!</v>
      </c>
      <c r="G1734" s="666"/>
      <c r="H1734" s="667"/>
      <c r="I1734" s="492" t="e">
        <f t="shared" si="213"/>
        <v>#DIV/0!</v>
      </c>
      <c r="J1734" s="730"/>
      <c r="K1734" s="667"/>
      <c r="L1734" s="649"/>
      <c r="M1734" s="667"/>
      <c r="N1734" s="667"/>
      <c r="O1734" s="731"/>
      <c r="P1734" s="667"/>
      <c r="Q1734" s="667"/>
      <c r="R1734" s="737"/>
    </row>
    <row r="1735" spans="1:18" ht="12.75">
      <c r="A1735" s="728">
        <v>4430</v>
      </c>
      <c r="B1735" s="735" t="s">
        <v>717</v>
      </c>
      <c r="C1735" s="666"/>
      <c r="D1735" s="643">
        <f t="shared" si="211"/>
        <v>220</v>
      </c>
      <c r="E1735" s="667">
        <f t="shared" si="212"/>
        <v>0</v>
      </c>
      <c r="F1735" s="644">
        <f t="shared" si="210"/>
        <v>0</v>
      </c>
      <c r="G1735" s="666">
        <v>220</v>
      </c>
      <c r="H1735" s="667"/>
      <c r="I1735" s="492">
        <f t="shared" si="213"/>
        <v>0</v>
      </c>
      <c r="J1735" s="730"/>
      <c r="K1735" s="667"/>
      <c r="L1735" s="649"/>
      <c r="M1735" s="667"/>
      <c r="N1735" s="667"/>
      <c r="O1735" s="731"/>
      <c r="P1735" s="667"/>
      <c r="Q1735" s="667"/>
      <c r="R1735" s="737"/>
    </row>
    <row r="1736" spans="1:18" ht="24">
      <c r="A1736" s="728">
        <v>4300</v>
      </c>
      <c r="B1736" s="735" t="s">
        <v>715</v>
      </c>
      <c r="C1736" s="666">
        <v>140000</v>
      </c>
      <c r="D1736" s="643">
        <f t="shared" si="211"/>
        <v>117780</v>
      </c>
      <c r="E1736" s="667">
        <f t="shared" si="212"/>
        <v>60096</v>
      </c>
      <c r="F1736" s="644">
        <f t="shared" si="210"/>
        <v>51.02394294447274</v>
      </c>
      <c r="G1736" s="666">
        <f>140000-12000-20000+10000-220</f>
        <v>117780</v>
      </c>
      <c r="H1736" s="667">
        <v>60096</v>
      </c>
      <c r="I1736" s="492">
        <f t="shared" si="213"/>
        <v>51.02394294447274</v>
      </c>
      <c r="J1736" s="730"/>
      <c r="K1736" s="667"/>
      <c r="L1736" s="649"/>
      <c r="M1736" s="667"/>
      <c r="N1736" s="667"/>
      <c r="O1736" s="731"/>
      <c r="P1736" s="667"/>
      <c r="Q1736" s="667"/>
      <c r="R1736" s="737"/>
    </row>
    <row r="1737" spans="1:18" ht="12.75" hidden="1">
      <c r="A1737" s="728">
        <v>4430</v>
      </c>
      <c r="B1737" s="735" t="s">
        <v>717</v>
      </c>
      <c r="C1737" s="666"/>
      <c r="D1737" s="643">
        <f t="shared" si="211"/>
        <v>0</v>
      </c>
      <c r="E1737" s="667">
        <f t="shared" si="212"/>
        <v>0</v>
      </c>
      <c r="F1737" s="644" t="e">
        <f t="shared" si="210"/>
        <v>#DIV/0!</v>
      </c>
      <c r="G1737" s="666"/>
      <c r="H1737" s="667"/>
      <c r="I1737" s="492" t="e">
        <f t="shared" si="213"/>
        <v>#DIV/0!</v>
      </c>
      <c r="J1737" s="730"/>
      <c r="K1737" s="667"/>
      <c r="L1737" s="649"/>
      <c r="M1737" s="667"/>
      <c r="N1737" s="667"/>
      <c r="O1737" s="731"/>
      <c r="P1737" s="667"/>
      <c r="Q1737" s="667"/>
      <c r="R1737" s="737"/>
    </row>
    <row r="1738" spans="1:18" ht="72">
      <c r="A1738" s="728">
        <v>2820</v>
      </c>
      <c r="B1738" s="735" t="s">
        <v>162</v>
      </c>
      <c r="C1738" s="666">
        <v>210000</v>
      </c>
      <c r="D1738" s="643">
        <f t="shared" si="211"/>
        <v>210000</v>
      </c>
      <c r="E1738" s="667">
        <f t="shared" si="212"/>
        <v>209800</v>
      </c>
      <c r="F1738" s="644">
        <f t="shared" si="210"/>
        <v>99.90476190476191</v>
      </c>
      <c r="G1738" s="666">
        <v>210000</v>
      </c>
      <c r="H1738" s="667">
        <v>209800</v>
      </c>
      <c r="I1738" s="492">
        <f t="shared" si="213"/>
        <v>99.90476190476191</v>
      </c>
      <c r="J1738" s="730"/>
      <c r="K1738" s="667"/>
      <c r="L1738" s="649"/>
      <c r="M1738" s="667"/>
      <c r="N1738" s="667"/>
      <c r="O1738" s="731"/>
      <c r="P1738" s="667"/>
      <c r="Q1738" s="667"/>
      <c r="R1738" s="737"/>
    </row>
    <row r="1739" spans="1:18" s="775" customFormat="1" ht="48">
      <c r="A1739" s="746"/>
      <c r="B1739" s="926" t="s">
        <v>163</v>
      </c>
      <c r="C1739" s="748"/>
      <c r="D1739" s="749">
        <f t="shared" si="211"/>
        <v>104600</v>
      </c>
      <c r="E1739" s="749">
        <f t="shared" si="212"/>
        <v>101836</v>
      </c>
      <c r="F1739" s="644">
        <f t="shared" si="210"/>
        <v>97.35755258126196</v>
      </c>
      <c r="G1739" s="750">
        <f>SUM(G1740:G1749)</f>
        <v>104600</v>
      </c>
      <c r="H1739" s="749">
        <f>SUM(H1740:H1749)</f>
        <v>101836</v>
      </c>
      <c r="I1739" s="492">
        <f t="shared" si="213"/>
        <v>97.35755258126196</v>
      </c>
      <c r="J1739" s="750"/>
      <c r="K1739" s="749"/>
      <c r="L1739" s="774"/>
      <c r="M1739" s="749"/>
      <c r="N1739" s="749"/>
      <c r="O1739" s="774"/>
      <c r="P1739" s="749"/>
      <c r="Q1739" s="749"/>
      <c r="R1739" s="755"/>
    </row>
    <row r="1740" spans="1:18" ht="24">
      <c r="A1740" s="728">
        <v>4110</v>
      </c>
      <c r="B1740" s="735" t="s">
        <v>703</v>
      </c>
      <c r="C1740" s="666"/>
      <c r="D1740" s="643">
        <f t="shared" si="211"/>
        <v>550</v>
      </c>
      <c r="E1740" s="667">
        <f t="shared" si="212"/>
        <v>267</v>
      </c>
      <c r="F1740" s="644">
        <f t="shared" si="210"/>
        <v>48.54545454545455</v>
      </c>
      <c r="G1740" s="730">
        <f>350+200</f>
        <v>550</v>
      </c>
      <c r="H1740" s="667">
        <v>267</v>
      </c>
      <c r="I1740" s="492">
        <f t="shared" si="213"/>
        <v>48.54545454545455</v>
      </c>
      <c r="J1740" s="730"/>
      <c r="K1740" s="667"/>
      <c r="L1740" s="649"/>
      <c r="M1740" s="667"/>
      <c r="N1740" s="667"/>
      <c r="O1740" s="731"/>
      <c r="P1740" s="667"/>
      <c r="Q1740" s="667"/>
      <c r="R1740" s="737"/>
    </row>
    <row r="1741" spans="1:18" ht="12.75">
      <c r="A1741" s="728">
        <v>4120</v>
      </c>
      <c r="B1741" s="735" t="s">
        <v>847</v>
      </c>
      <c r="C1741" s="666"/>
      <c r="D1741" s="643">
        <f t="shared" si="211"/>
        <v>200</v>
      </c>
      <c r="E1741" s="667">
        <f t="shared" si="212"/>
        <v>43</v>
      </c>
      <c r="F1741" s="644">
        <f t="shared" si="210"/>
        <v>21.5</v>
      </c>
      <c r="G1741" s="730">
        <f>100+100</f>
        <v>200</v>
      </c>
      <c r="H1741" s="667">
        <v>43</v>
      </c>
      <c r="I1741" s="492">
        <f t="shared" si="213"/>
        <v>21.5</v>
      </c>
      <c r="J1741" s="730"/>
      <c r="K1741" s="667"/>
      <c r="L1741" s="649"/>
      <c r="M1741" s="667"/>
      <c r="N1741" s="667"/>
      <c r="O1741" s="731"/>
      <c r="P1741" s="667"/>
      <c r="Q1741" s="667"/>
      <c r="R1741" s="737"/>
    </row>
    <row r="1742" spans="1:18" ht="24">
      <c r="A1742" s="728">
        <v>4178</v>
      </c>
      <c r="B1742" s="735" t="s">
        <v>156</v>
      </c>
      <c r="C1742" s="666"/>
      <c r="D1742" s="643">
        <f aca="true" t="shared" si="214" ref="D1742:D1788">G1742+J1742+P1742+M1742</f>
        <v>19500</v>
      </c>
      <c r="E1742" s="667">
        <f t="shared" si="212"/>
        <v>19170</v>
      </c>
      <c r="F1742" s="644">
        <f t="shared" si="210"/>
        <v>98.3076923076923</v>
      </c>
      <c r="G1742" s="730">
        <f>17500+2000</f>
        <v>19500</v>
      </c>
      <c r="H1742" s="667">
        <v>19170</v>
      </c>
      <c r="I1742" s="492">
        <f t="shared" si="213"/>
        <v>98.3076923076923</v>
      </c>
      <c r="J1742" s="730"/>
      <c r="K1742" s="667"/>
      <c r="L1742" s="649"/>
      <c r="M1742" s="667"/>
      <c r="N1742" s="667"/>
      <c r="O1742" s="731"/>
      <c r="P1742" s="667"/>
      <c r="Q1742" s="667"/>
      <c r="R1742" s="737"/>
    </row>
    <row r="1743" spans="1:18" ht="24">
      <c r="A1743" s="728">
        <v>4179</v>
      </c>
      <c r="B1743" s="735" t="s">
        <v>156</v>
      </c>
      <c r="C1743" s="666"/>
      <c r="D1743" s="643">
        <f t="shared" si="214"/>
        <v>6650</v>
      </c>
      <c r="E1743" s="667">
        <f t="shared" si="212"/>
        <v>6390</v>
      </c>
      <c r="F1743" s="644">
        <f t="shared" si="210"/>
        <v>96.09022556390977</v>
      </c>
      <c r="G1743" s="730">
        <f>5750+900</f>
        <v>6650</v>
      </c>
      <c r="H1743" s="667">
        <v>6390</v>
      </c>
      <c r="I1743" s="492">
        <f t="shared" si="213"/>
        <v>96.09022556390977</v>
      </c>
      <c r="J1743" s="730"/>
      <c r="K1743" s="667"/>
      <c r="L1743" s="649"/>
      <c r="M1743" s="667"/>
      <c r="N1743" s="667"/>
      <c r="O1743" s="731"/>
      <c r="P1743" s="667"/>
      <c r="Q1743" s="667"/>
      <c r="R1743" s="737"/>
    </row>
    <row r="1744" spans="1:18" ht="24">
      <c r="A1744" s="709">
        <v>4218</v>
      </c>
      <c r="B1744" s="776" t="s">
        <v>707</v>
      </c>
      <c r="C1744" s="670"/>
      <c r="D1744" s="685">
        <f>G1744+J1744+P1744+M1744</f>
        <v>16500</v>
      </c>
      <c r="E1744" s="686">
        <f>SUM(H1744+K1744+N1744+Q1744)</f>
        <v>16101</v>
      </c>
      <c r="F1744" s="668">
        <f>E1744/D1744*100</f>
        <v>97.58181818181818</v>
      </c>
      <c r="G1744" s="777">
        <v>16500</v>
      </c>
      <c r="H1744" s="686">
        <v>16101</v>
      </c>
      <c r="I1744" s="758">
        <f t="shared" si="213"/>
        <v>97.58181818181818</v>
      </c>
      <c r="J1744" s="777"/>
      <c r="K1744" s="686"/>
      <c r="L1744" s="690"/>
      <c r="M1744" s="686"/>
      <c r="N1744" s="686"/>
      <c r="O1744" s="779"/>
      <c r="P1744" s="686"/>
      <c r="Q1744" s="686"/>
      <c r="R1744" s="760"/>
    </row>
    <row r="1745" spans="1:18" ht="24">
      <c r="A1745" s="728">
        <v>4219</v>
      </c>
      <c r="B1745" s="735" t="s">
        <v>707</v>
      </c>
      <c r="C1745" s="666"/>
      <c r="D1745" s="643">
        <f>G1745+J1745+P1745+M1745</f>
        <v>5400</v>
      </c>
      <c r="E1745" s="667">
        <f>SUM(H1745+K1745+N1745+Q1745)</f>
        <v>5367</v>
      </c>
      <c r="F1745" s="644">
        <f>E1745/D1745*100</f>
        <v>99.3888888888889</v>
      </c>
      <c r="G1745" s="730">
        <f>5600-200</f>
        <v>5400</v>
      </c>
      <c r="H1745" s="667">
        <v>5367</v>
      </c>
      <c r="I1745" s="492">
        <f t="shared" si="213"/>
        <v>99.3888888888889</v>
      </c>
      <c r="J1745" s="730"/>
      <c r="K1745" s="667"/>
      <c r="L1745" s="649"/>
      <c r="M1745" s="667"/>
      <c r="N1745" s="667"/>
      <c r="O1745" s="731"/>
      <c r="P1745" s="667"/>
      <c r="Q1745" s="667"/>
      <c r="R1745" s="737"/>
    </row>
    <row r="1746" spans="1:18" ht="24">
      <c r="A1746" s="728">
        <v>4308</v>
      </c>
      <c r="B1746" s="735" t="s">
        <v>715</v>
      </c>
      <c r="C1746" s="666"/>
      <c r="D1746" s="643">
        <f>G1746+J1746+P1746+M1746</f>
        <v>41050</v>
      </c>
      <c r="E1746" s="667">
        <f>SUM(H1746+K1746+N1746+Q1746)</f>
        <v>40873</v>
      </c>
      <c r="F1746" s="644">
        <f>E1746/D1746*100</f>
        <v>99.5688185140073</v>
      </c>
      <c r="G1746" s="730">
        <f>40250+800</f>
        <v>41050</v>
      </c>
      <c r="H1746" s="667">
        <v>40873</v>
      </c>
      <c r="I1746" s="492">
        <f t="shared" si="213"/>
        <v>99.5688185140073</v>
      </c>
      <c r="J1746" s="730"/>
      <c r="K1746" s="667"/>
      <c r="L1746" s="649"/>
      <c r="M1746" s="667"/>
      <c r="N1746" s="667"/>
      <c r="O1746" s="731"/>
      <c r="P1746" s="667"/>
      <c r="Q1746" s="667"/>
      <c r="R1746" s="737"/>
    </row>
    <row r="1747" spans="1:18" ht="24">
      <c r="A1747" s="728">
        <v>4309</v>
      </c>
      <c r="B1747" s="735" t="s">
        <v>715</v>
      </c>
      <c r="C1747" s="666"/>
      <c r="D1747" s="643">
        <f>G1747+J1747+P1747+M1747</f>
        <v>13750</v>
      </c>
      <c r="E1747" s="667">
        <f>SUM(H1747+K1747+N1747+Q1747)</f>
        <v>13625</v>
      </c>
      <c r="F1747" s="644">
        <f>E1747/D1747*100</f>
        <v>99.0909090909091</v>
      </c>
      <c r="G1747" s="730">
        <f>13450+300</f>
        <v>13750</v>
      </c>
      <c r="H1747" s="667">
        <f>13624+1</f>
        <v>13625</v>
      </c>
      <c r="I1747" s="492">
        <f t="shared" si="213"/>
        <v>99.0909090909091</v>
      </c>
      <c r="J1747" s="730"/>
      <c r="K1747" s="667"/>
      <c r="L1747" s="649"/>
      <c r="M1747" s="667"/>
      <c r="N1747" s="667"/>
      <c r="O1747" s="731"/>
      <c r="P1747" s="667"/>
      <c r="Q1747" s="667"/>
      <c r="R1747" s="737"/>
    </row>
    <row r="1748" spans="1:18" ht="36">
      <c r="A1748" s="728">
        <v>4388</v>
      </c>
      <c r="B1748" s="735" t="s">
        <v>1022</v>
      </c>
      <c r="C1748" s="666"/>
      <c r="D1748" s="643">
        <f t="shared" si="214"/>
        <v>1000</v>
      </c>
      <c r="E1748" s="667">
        <f t="shared" si="212"/>
        <v>0</v>
      </c>
      <c r="F1748" s="644">
        <f t="shared" si="210"/>
        <v>0</v>
      </c>
      <c r="G1748" s="730">
        <f>3800-2800</f>
        <v>1000</v>
      </c>
      <c r="H1748" s="667"/>
      <c r="I1748" s="492">
        <f t="shared" si="213"/>
        <v>0</v>
      </c>
      <c r="J1748" s="730"/>
      <c r="K1748" s="667"/>
      <c r="L1748" s="649"/>
      <c r="M1748" s="667"/>
      <c r="N1748" s="667"/>
      <c r="O1748" s="731"/>
      <c r="P1748" s="667"/>
      <c r="Q1748" s="667"/>
      <c r="R1748" s="737"/>
    </row>
    <row r="1749" spans="1:18" ht="36">
      <c r="A1749" s="728">
        <v>4389</v>
      </c>
      <c r="B1749" s="735" t="s">
        <v>1022</v>
      </c>
      <c r="C1749" s="666"/>
      <c r="D1749" s="643">
        <f t="shared" si="214"/>
        <v>0</v>
      </c>
      <c r="E1749" s="667">
        <f t="shared" si="212"/>
        <v>0</v>
      </c>
      <c r="F1749" s="644" t="e">
        <f t="shared" si="210"/>
        <v>#DIV/0!</v>
      </c>
      <c r="G1749" s="730">
        <f>1300-1300</f>
        <v>0</v>
      </c>
      <c r="H1749" s="785"/>
      <c r="I1749" s="492"/>
      <c r="J1749" s="730"/>
      <c r="K1749" s="667"/>
      <c r="L1749" s="649"/>
      <c r="M1749" s="667"/>
      <c r="N1749" s="667"/>
      <c r="O1749" s="731"/>
      <c r="P1749" s="667"/>
      <c r="Q1749" s="667"/>
      <c r="R1749" s="737"/>
    </row>
    <row r="1750" spans="1:18" s="775" customFormat="1" ht="17.25" customHeight="1">
      <c r="A1750" s="787">
        <v>92106</v>
      </c>
      <c r="B1750" s="856" t="s">
        <v>164</v>
      </c>
      <c r="C1750" s="673">
        <f>C1751+SUM(C1760:C1762)</f>
        <v>8593600</v>
      </c>
      <c r="D1750" s="674">
        <f t="shared" si="214"/>
        <v>8436600</v>
      </c>
      <c r="E1750" s="674">
        <f>H1750+K1750+Q1750+N1750</f>
        <v>7563182</v>
      </c>
      <c r="F1750" s="675">
        <f t="shared" si="210"/>
        <v>89.64727496858924</v>
      </c>
      <c r="G1750" s="674"/>
      <c r="H1750" s="674"/>
      <c r="I1750" s="890"/>
      <c r="J1750" s="677"/>
      <c r="K1750" s="674"/>
      <c r="L1750" s="663"/>
      <c r="M1750" s="674">
        <f>SUM(M1751)+M1762+M1761+M1760+M1763</f>
        <v>8436600</v>
      </c>
      <c r="N1750" s="674">
        <f>SUM(N1751)+N1762+N1761+N1760+N1763</f>
        <v>7563182</v>
      </c>
      <c r="O1750" s="972">
        <f aca="true" t="shared" si="215" ref="O1750:O1774">N1750/M1750*100</f>
        <v>89.64727496858924</v>
      </c>
      <c r="P1750" s="674"/>
      <c r="Q1750" s="674"/>
      <c r="R1750" s="828"/>
    </row>
    <row r="1751" spans="1:18" ht="48">
      <c r="A1751" s="709">
        <v>2480</v>
      </c>
      <c r="B1751" s="776" t="s">
        <v>165</v>
      </c>
      <c r="C1751" s="670">
        <f>SUM(C1752:C1759)</f>
        <v>2593600</v>
      </c>
      <c r="D1751" s="685">
        <f t="shared" si="214"/>
        <v>2637400</v>
      </c>
      <c r="E1751" s="686">
        <f aca="true" t="shared" si="216" ref="E1751:E1762">SUM(H1751+K1751+N1751+Q1751)</f>
        <v>1882000</v>
      </c>
      <c r="F1751" s="668">
        <f t="shared" si="210"/>
        <v>71.35815575946008</v>
      </c>
      <c r="G1751" s="686"/>
      <c r="H1751" s="777"/>
      <c r="I1751" s="758"/>
      <c r="J1751" s="777"/>
      <c r="K1751" s="686"/>
      <c r="L1751" s="690"/>
      <c r="M1751" s="670">
        <f>SUM(M1752:M1759)</f>
        <v>2637400</v>
      </c>
      <c r="N1751" s="686">
        <f>SUM(N1752:N1759)</f>
        <v>1882000</v>
      </c>
      <c r="O1751" s="758">
        <f t="shared" si="215"/>
        <v>71.35815575946008</v>
      </c>
      <c r="P1751" s="686">
        <f>N1751-N1752-N1753</f>
        <v>0</v>
      </c>
      <c r="Q1751" s="686"/>
      <c r="R1751" s="760"/>
    </row>
    <row r="1752" spans="1:18" s="801" customFormat="1" ht="12.75">
      <c r="A1752" s="795"/>
      <c r="B1752" s="796" t="s">
        <v>166</v>
      </c>
      <c r="C1752" s="797">
        <v>2493600</v>
      </c>
      <c r="D1752" s="798">
        <f t="shared" si="214"/>
        <v>2493600</v>
      </c>
      <c r="E1752" s="798">
        <f t="shared" si="216"/>
        <v>1870200</v>
      </c>
      <c r="F1752" s="644">
        <f t="shared" si="210"/>
        <v>75</v>
      </c>
      <c r="G1752" s="798"/>
      <c r="H1752" s="799"/>
      <c r="I1752" s="492"/>
      <c r="J1752" s="799"/>
      <c r="K1752" s="798"/>
      <c r="L1752" s="649"/>
      <c r="M1752" s="797">
        <v>2493600</v>
      </c>
      <c r="N1752" s="798">
        <f>207800+207800+207800+207800+207800+207800+207800+207800+207800</f>
        <v>1870200</v>
      </c>
      <c r="O1752" s="492">
        <f t="shared" si="215"/>
        <v>75</v>
      </c>
      <c r="P1752" s="798"/>
      <c r="Q1752" s="798"/>
      <c r="R1752" s="821"/>
    </row>
    <row r="1753" spans="1:18" s="801" customFormat="1" ht="12.75">
      <c r="A1753" s="795"/>
      <c r="B1753" s="796" t="s">
        <v>167</v>
      </c>
      <c r="C1753" s="797"/>
      <c r="D1753" s="798">
        <f t="shared" si="214"/>
        <v>11800</v>
      </c>
      <c r="E1753" s="798">
        <f t="shared" si="216"/>
        <v>11800</v>
      </c>
      <c r="F1753" s="644">
        <f t="shared" si="210"/>
        <v>100</v>
      </c>
      <c r="G1753" s="798"/>
      <c r="H1753" s="799"/>
      <c r="I1753" s="492"/>
      <c r="J1753" s="799"/>
      <c r="K1753" s="798"/>
      <c r="L1753" s="649"/>
      <c r="M1753" s="797">
        <v>11800</v>
      </c>
      <c r="N1753" s="798">
        <v>11800</v>
      </c>
      <c r="O1753" s="492">
        <f t="shared" si="215"/>
        <v>100</v>
      </c>
      <c r="P1753" s="798"/>
      <c r="Q1753" s="798"/>
      <c r="R1753" s="821"/>
    </row>
    <row r="1754" spans="1:18" s="801" customFormat="1" ht="12.75">
      <c r="A1754" s="795" t="s">
        <v>168</v>
      </c>
      <c r="B1754" s="796" t="s">
        <v>169</v>
      </c>
      <c r="C1754" s="797"/>
      <c r="D1754" s="798">
        <f>G1754+J1754+P1754+M1754</f>
        <v>20000</v>
      </c>
      <c r="E1754" s="798">
        <f>SUM(H1754+K1754+N1754+Q1754)</f>
        <v>0</v>
      </c>
      <c r="F1754" s="644"/>
      <c r="G1754" s="798"/>
      <c r="H1754" s="799"/>
      <c r="I1754" s="492"/>
      <c r="J1754" s="799"/>
      <c r="K1754" s="798"/>
      <c r="L1754" s="649"/>
      <c r="M1754" s="797">
        <v>20000</v>
      </c>
      <c r="N1754" s="798"/>
      <c r="O1754" s="492">
        <f t="shared" si="215"/>
        <v>0</v>
      </c>
      <c r="P1754" s="798"/>
      <c r="Q1754" s="798"/>
      <c r="R1754" s="821"/>
    </row>
    <row r="1755" spans="1:18" s="801" customFormat="1" ht="27" customHeight="1">
      <c r="A1755" s="795"/>
      <c r="B1755" s="796" t="s">
        <v>170</v>
      </c>
      <c r="C1755" s="797"/>
      <c r="D1755" s="798">
        <f>G1755+J1755+P1755+M1755</f>
        <v>32000</v>
      </c>
      <c r="E1755" s="798">
        <f>SUM(H1755+K1755+N1755+Q1755)</f>
        <v>0</v>
      </c>
      <c r="F1755" s="644"/>
      <c r="G1755" s="798"/>
      <c r="H1755" s="799"/>
      <c r="I1755" s="492"/>
      <c r="J1755" s="799"/>
      <c r="K1755" s="798"/>
      <c r="L1755" s="649"/>
      <c r="M1755" s="797">
        <v>32000</v>
      </c>
      <c r="N1755" s="798"/>
      <c r="O1755" s="492">
        <f t="shared" si="215"/>
        <v>0</v>
      </c>
      <c r="P1755" s="798"/>
      <c r="Q1755" s="798"/>
      <c r="R1755" s="821"/>
    </row>
    <row r="1756" spans="1:18" s="801" customFormat="1" ht="36">
      <c r="A1756" s="795"/>
      <c r="B1756" s="796" t="s">
        <v>171</v>
      </c>
      <c r="C1756" s="797">
        <v>100000</v>
      </c>
      <c r="D1756" s="798">
        <f t="shared" si="214"/>
        <v>80000</v>
      </c>
      <c r="E1756" s="798">
        <f t="shared" si="216"/>
        <v>0</v>
      </c>
      <c r="F1756" s="644">
        <f t="shared" si="210"/>
        <v>0</v>
      </c>
      <c r="G1756" s="798"/>
      <c r="H1756" s="799"/>
      <c r="I1756" s="492"/>
      <c r="J1756" s="799"/>
      <c r="K1756" s="798"/>
      <c r="L1756" s="649"/>
      <c r="M1756" s="797">
        <f>100000-20000</f>
        <v>80000</v>
      </c>
      <c r="N1756" s="798"/>
      <c r="O1756" s="492">
        <f t="shared" si="215"/>
        <v>0</v>
      </c>
      <c r="P1756" s="798"/>
      <c r="Q1756" s="798"/>
      <c r="R1756" s="821"/>
    </row>
    <row r="1757" spans="1:18" s="801" customFormat="1" ht="36" hidden="1">
      <c r="A1757" s="795"/>
      <c r="B1757" s="796" t="s">
        <v>172</v>
      </c>
      <c r="C1757" s="797"/>
      <c r="D1757" s="798">
        <f t="shared" si="214"/>
        <v>0</v>
      </c>
      <c r="E1757" s="798">
        <f t="shared" si="216"/>
        <v>0</v>
      </c>
      <c r="F1757" s="644" t="e">
        <f t="shared" si="210"/>
        <v>#DIV/0!</v>
      </c>
      <c r="G1757" s="798"/>
      <c r="H1757" s="799"/>
      <c r="I1757" s="492"/>
      <c r="J1757" s="799"/>
      <c r="K1757" s="798"/>
      <c r="L1757" s="649"/>
      <c r="M1757" s="797"/>
      <c r="N1757" s="798"/>
      <c r="O1757" s="492" t="e">
        <f t="shared" si="215"/>
        <v>#DIV/0!</v>
      </c>
      <c r="P1757" s="798"/>
      <c r="Q1757" s="798"/>
      <c r="R1757" s="821"/>
    </row>
    <row r="1758" spans="1:18" s="801" customFormat="1" ht="12.75" hidden="1">
      <c r="A1758" s="795"/>
      <c r="B1758" s="796" t="s">
        <v>173</v>
      </c>
      <c r="C1758" s="797"/>
      <c r="D1758" s="798">
        <f t="shared" si="214"/>
        <v>0</v>
      </c>
      <c r="E1758" s="798">
        <f t="shared" si="216"/>
        <v>0</v>
      </c>
      <c r="F1758" s="644" t="e">
        <f t="shared" si="210"/>
        <v>#DIV/0!</v>
      </c>
      <c r="G1758" s="798"/>
      <c r="H1758" s="799"/>
      <c r="I1758" s="492"/>
      <c r="J1758" s="799"/>
      <c r="K1758" s="798"/>
      <c r="L1758" s="649"/>
      <c r="M1758" s="797"/>
      <c r="N1758" s="798"/>
      <c r="O1758" s="492" t="e">
        <f t="shared" si="215"/>
        <v>#DIV/0!</v>
      </c>
      <c r="P1758" s="798"/>
      <c r="Q1758" s="798"/>
      <c r="R1758" s="821"/>
    </row>
    <row r="1759" spans="1:18" s="801" customFormat="1" ht="36" hidden="1">
      <c r="A1759" s="795"/>
      <c r="B1759" s="796" t="s">
        <v>174</v>
      </c>
      <c r="C1759" s="797"/>
      <c r="D1759" s="798">
        <f t="shared" si="214"/>
        <v>0</v>
      </c>
      <c r="E1759" s="798">
        <f t="shared" si="216"/>
        <v>0</v>
      </c>
      <c r="F1759" s="644" t="e">
        <f t="shared" si="210"/>
        <v>#DIV/0!</v>
      </c>
      <c r="G1759" s="798"/>
      <c r="H1759" s="799"/>
      <c r="I1759" s="492"/>
      <c r="J1759" s="799"/>
      <c r="K1759" s="798"/>
      <c r="L1759" s="649"/>
      <c r="M1759" s="797"/>
      <c r="N1759" s="798"/>
      <c r="O1759" s="492" t="e">
        <f t="shared" si="215"/>
        <v>#DIV/0!</v>
      </c>
      <c r="P1759" s="798"/>
      <c r="Q1759" s="798"/>
      <c r="R1759" s="821"/>
    </row>
    <row r="1760" spans="1:18" s="761" customFormat="1" ht="24">
      <c r="A1760" s="829">
        <v>6050</v>
      </c>
      <c r="B1760" s="865" t="s">
        <v>739</v>
      </c>
      <c r="C1760" s="697">
        <v>1346500</v>
      </c>
      <c r="D1760" s="643">
        <f>G1760+J1760+P1760+M1760</f>
        <v>1135500</v>
      </c>
      <c r="E1760" s="643">
        <f>SUM(H1760+K1760+N1760+Q1760)</f>
        <v>1017565</v>
      </c>
      <c r="F1760" s="866">
        <f>E1760/D1760*100</f>
        <v>89.61382650814619</v>
      </c>
      <c r="G1760" s="643"/>
      <c r="H1760" s="648"/>
      <c r="I1760" s="1000"/>
      <c r="J1760" s="648"/>
      <c r="K1760" s="643"/>
      <c r="L1760" s="649"/>
      <c r="M1760" s="697">
        <f>1346500-1000-10000-200000</f>
        <v>1135500</v>
      </c>
      <c r="N1760" s="643">
        <v>1017565</v>
      </c>
      <c r="O1760" s="492">
        <f t="shared" si="215"/>
        <v>89.61382650814619</v>
      </c>
      <c r="P1760" s="643"/>
      <c r="Q1760" s="643"/>
      <c r="R1760" s="737"/>
    </row>
    <row r="1761" spans="1:18" s="761" customFormat="1" ht="24">
      <c r="A1761" s="829">
        <v>6058</v>
      </c>
      <c r="B1761" s="865" t="s">
        <v>739</v>
      </c>
      <c r="C1761" s="697">
        <v>2691800</v>
      </c>
      <c r="D1761" s="643">
        <f>G1761+J1761+P1761+M1761</f>
        <v>2692500</v>
      </c>
      <c r="E1761" s="643">
        <f>SUM(H1761+K1761+N1761+Q1761)</f>
        <v>2692500</v>
      </c>
      <c r="F1761" s="866">
        <f>E1761/D1761*100</f>
        <v>100</v>
      </c>
      <c r="G1761" s="643"/>
      <c r="H1761" s="648"/>
      <c r="I1761" s="1000"/>
      <c r="J1761" s="648"/>
      <c r="K1761" s="643"/>
      <c r="L1761" s="649"/>
      <c r="M1761" s="697">
        <f>2691800+700</f>
        <v>2692500</v>
      </c>
      <c r="N1761" s="643">
        <v>2692500</v>
      </c>
      <c r="O1761" s="492">
        <f t="shared" si="215"/>
        <v>100</v>
      </c>
      <c r="P1761" s="643"/>
      <c r="Q1761" s="643"/>
      <c r="R1761" s="737"/>
    </row>
    <row r="1762" spans="1:18" ht="24">
      <c r="A1762" s="728">
        <v>6059</v>
      </c>
      <c r="B1762" s="735" t="s">
        <v>739</v>
      </c>
      <c r="C1762" s="666">
        <v>1961700</v>
      </c>
      <c r="D1762" s="643">
        <f t="shared" si="214"/>
        <v>1962000</v>
      </c>
      <c r="E1762" s="667">
        <f t="shared" si="216"/>
        <v>1961917</v>
      </c>
      <c r="F1762" s="644">
        <f t="shared" si="210"/>
        <v>99.99576962283385</v>
      </c>
      <c r="G1762" s="667"/>
      <c r="H1762" s="730"/>
      <c r="I1762" s="492"/>
      <c r="J1762" s="730"/>
      <c r="K1762" s="667"/>
      <c r="L1762" s="649"/>
      <c r="M1762" s="666">
        <f>1961700+300</f>
        <v>1962000</v>
      </c>
      <c r="N1762" s="667">
        <f>1961916+1</f>
        <v>1961917</v>
      </c>
      <c r="O1762" s="492">
        <f t="shared" si="215"/>
        <v>99.99576962283385</v>
      </c>
      <c r="P1762" s="667"/>
      <c r="Q1762" s="667"/>
      <c r="R1762" s="737"/>
    </row>
    <row r="1763" spans="1:18" ht="96">
      <c r="A1763" s="728">
        <v>6220</v>
      </c>
      <c r="B1763" s="735" t="s">
        <v>27</v>
      </c>
      <c r="C1763" s="666"/>
      <c r="D1763" s="643">
        <f>G1763+J1763+P1763+M1763</f>
        <v>9200</v>
      </c>
      <c r="E1763" s="667">
        <f>SUM(H1763+K1763+N1763+Q1763)</f>
        <v>9200</v>
      </c>
      <c r="F1763" s="644">
        <f>E1763/D1763*100</f>
        <v>100</v>
      </c>
      <c r="G1763" s="667"/>
      <c r="H1763" s="730"/>
      <c r="I1763" s="492"/>
      <c r="J1763" s="730"/>
      <c r="K1763" s="667"/>
      <c r="L1763" s="649"/>
      <c r="M1763" s="730">
        <f>SUM(M1764)</f>
        <v>9200</v>
      </c>
      <c r="N1763" s="667">
        <f>SUM(N1764)</f>
        <v>9200</v>
      </c>
      <c r="O1763" s="492">
        <f t="shared" si="215"/>
        <v>100</v>
      </c>
      <c r="P1763" s="667"/>
      <c r="Q1763" s="667"/>
      <c r="R1763" s="737"/>
    </row>
    <row r="1764" spans="1:18" s="801" customFormat="1" ht="24">
      <c r="A1764" s="1102"/>
      <c r="B1764" s="1103" t="s">
        <v>175</v>
      </c>
      <c r="C1764" s="1104"/>
      <c r="D1764" s="805">
        <f>G1764+J1764+P1764+M1764</f>
        <v>9200</v>
      </c>
      <c r="E1764" s="805">
        <f>SUM(H1764+K1764+N1764+Q1764)</f>
        <v>9200</v>
      </c>
      <c r="F1764" s="668">
        <f>E1764/D1764*100</f>
        <v>100</v>
      </c>
      <c r="G1764" s="1105"/>
      <c r="H1764" s="1106"/>
      <c r="I1764" s="890"/>
      <c r="J1764" s="1106"/>
      <c r="K1764" s="1105"/>
      <c r="L1764" s="897"/>
      <c r="M1764" s="1106">
        <v>9200</v>
      </c>
      <c r="N1764" s="1105">
        <v>9200</v>
      </c>
      <c r="O1764" s="758">
        <f t="shared" si="215"/>
        <v>100</v>
      </c>
      <c r="P1764" s="1105"/>
      <c r="Q1764" s="1105"/>
      <c r="R1764" s="1107"/>
    </row>
    <row r="1765" spans="1:18" ht="22.5" customHeight="1">
      <c r="A1765" s="724">
        <v>92108</v>
      </c>
      <c r="B1765" s="854" t="s">
        <v>176</v>
      </c>
      <c r="C1765" s="726">
        <f>SUM(C1766:C1766)+C1773</f>
        <v>3129600</v>
      </c>
      <c r="D1765" s="674">
        <f t="shared" si="214"/>
        <v>3142600</v>
      </c>
      <c r="E1765" s="657">
        <f>H1765+K1765+Q1765+N1765</f>
        <v>2459830</v>
      </c>
      <c r="F1765" s="658">
        <f t="shared" si="210"/>
        <v>78.27372239546872</v>
      </c>
      <c r="G1765" s="674"/>
      <c r="H1765" s="677"/>
      <c r="I1765" s="665"/>
      <c r="J1765" s="677">
        <f>J1766+J1772+J1773</f>
        <v>5000</v>
      </c>
      <c r="K1765" s="677">
        <f>K1766+K1772+K1773</f>
        <v>0</v>
      </c>
      <c r="L1765" s="696">
        <f>K1765/J1765*100</f>
        <v>0</v>
      </c>
      <c r="M1765" s="657">
        <f>SUM(M1766)+M1773+M1774</f>
        <v>3137600</v>
      </c>
      <c r="N1765" s="657">
        <f>SUM(N1766)+N1773+N1774</f>
        <v>2459830</v>
      </c>
      <c r="O1765" s="890">
        <f t="shared" si="215"/>
        <v>78.39845741968384</v>
      </c>
      <c r="P1765" s="657"/>
      <c r="Q1765" s="657"/>
      <c r="R1765" s="842"/>
    </row>
    <row r="1766" spans="1:18" ht="48">
      <c r="A1766" s="709">
        <v>2480</v>
      </c>
      <c r="B1766" s="776" t="s">
        <v>177</v>
      </c>
      <c r="C1766" s="670">
        <f>SUM(C1767:C1771)</f>
        <v>3029600</v>
      </c>
      <c r="D1766" s="685">
        <f t="shared" si="214"/>
        <v>2937600</v>
      </c>
      <c r="E1766" s="686">
        <f aca="true" t="shared" si="217" ref="E1766:E1773">SUM(H1766+K1766+N1766+Q1766)</f>
        <v>2459830</v>
      </c>
      <c r="F1766" s="668">
        <f t="shared" si="210"/>
        <v>83.73604302832244</v>
      </c>
      <c r="G1766" s="686"/>
      <c r="H1766" s="689"/>
      <c r="I1766" s="652"/>
      <c r="J1766" s="777"/>
      <c r="K1766" s="686"/>
      <c r="L1766" s="1052"/>
      <c r="M1766" s="670">
        <f>SUM(M1767:M1771)</f>
        <v>2937600</v>
      </c>
      <c r="N1766" s="686">
        <f>SUM(N1767:N1771)</f>
        <v>2459830</v>
      </c>
      <c r="O1766" s="758">
        <f t="shared" si="215"/>
        <v>83.73604302832244</v>
      </c>
      <c r="P1766" s="686"/>
      <c r="Q1766" s="686"/>
      <c r="R1766" s="760"/>
    </row>
    <row r="1767" spans="1:18" s="801" customFormat="1" ht="12.75">
      <c r="A1767" s="795"/>
      <c r="B1767" s="796" t="s">
        <v>166</v>
      </c>
      <c r="C1767" s="797">
        <v>2818600</v>
      </c>
      <c r="D1767" s="798">
        <f t="shared" si="214"/>
        <v>2818600</v>
      </c>
      <c r="E1767" s="798">
        <f t="shared" si="217"/>
        <v>2348830</v>
      </c>
      <c r="F1767" s="644">
        <f t="shared" si="210"/>
        <v>83.333215071312</v>
      </c>
      <c r="G1767" s="798"/>
      <c r="H1767" s="799"/>
      <c r="I1767" s="647"/>
      <c r="J1767" s="799"/>
      <c r="K1767" s="798"/>
      <c r="L1767" s="396"/>
      <c r="M1767" s="797">
        <v>2818600</v>
      </c>
      <c r="N1767" s="798">
        <f>234883+234883+234883+234883+234883+234883+234883+234883+234883+234883</f>
        <v>2348830</v>
      </c>
      <c r="O1767" s="492">
        <f t="shared" si="215"/>
        <v>83.333215071312</v>
      </c>
      <c r="P1767" s="798"/>
      <c r="Q1767" s="798"/>
      <c r="R1767" s="821"/>
    </row>
    <row r="1768" spans="1:18" s="801" customFormat="1" ht="24">
      <c r="A1768" s="795"/>
      <c r="B1768" s="796" t="s">
        <v>178</v>
      </c>
      <c r="C1768" s="797"/>
      <c r="D1768" s="798">
        <f t="shared" si="214"/>
        <v>8000</v>
      </c>
      <c r="E1768" s="798"/>
      <c r="F1768" s="644">
        <f t="shared" si="210"/>
        <v>0</v>
      </c>
      <c r="G1768" s="798"/>
      <c r="H1768" s="799"/>
      <c r="I1768" s="647"/>
      <c r="J1768" s="799"/>
      <c r="K1768" s="798"/>
      <c r="L1768" s="396"/>
      <c r="M1768" s="797">
        <v>8000</v>
      </c>
      <c r="N1768" s="798"/>
      <c r="O1768" s="492">
        <f t="shared" si="215"/>
        <v>0</v>
      </c>
      <c r="P1768" s="798"/>
      <c r="Q1768" s="798"/>
      <c r="R1768" s="821"/>
    </row>
    <row r="1769" spans="1:18" s="801" customFormat="1" ht="36">
      <c r="A1769" s="795"/>
      <c r="B1769" s="796" t="s">
        <v>171</v>
      </c>
      <c r="C1769" s="797">
        <v>100000</v>
      </c>
      <c r="D1769" s="798">
        <f t="shared" si="214"/>
        <v>0</v>
      </c>
      <c r="E1769" s="798">
        <f t="shared" si="217"/>
        <v>0</v>
      </c>
      <c r="F1769" s="644" t="e">
        <f t="shared" si="210"/>
        <v>#DIV/0!</v>
      </c>
      <c r="G1769" s="798"/>
      <c r="H1769" s="799"/>
      <c r="I1769" s="647"/>
      <c r="J1769" s="799"/>
      <c r="K1769" s="798"/>
      <c r="L1769" s="396"/>
      <c r="M1769" s="797">
        <f>100000-100000</f>
        <v>0</v>
      </c>
      <c r="N1769" s="798"/>
      <c r="O1769" s="492" t="e">
        <f t="shared" si="215"/>
        <v>#DIV/0!</v>
      </c>
      <c r="P1769" s="798"/>
      <c r="Q1769" s="798"/>
      <c r="R1769" s="821"/>
    </row>
    <row r="1770" spans="1:18" s="801" customFormat="1" ht="24">
      <c r="A1770" s="795"/>
      <c r="B1770" s="796" t="s">
        <v>179</v>
      </c>
      <c r="C1770" s="797">
        <v>72000</v>
      </c>
      <c r="D1770" s="798">
        <f t="shared" si="214"/>
        <v>72000</v>
      </c>
      <c r="E1770" s="798">
        <f t="shared" si="217"/>
        <v>72000</v>
      </c>
      <c r="F1770" s="644">
        <f t="shared" si="210"/>
        <v>100</v>
      </c>
      <c r="G1770" s="798"/>
      <c r="H1770" s="799"/>
      <c r="I1770" s="647"/>
      <c r="J1770" s="799"/>
      <c r="K1770" s="798"/>
      <c r="L1770" s="396"/>
      <c r="M1770" s="797">
        <v>72000</v>
      </c>
      <c r="N1770" s="798">
        <v>72000</v>
      </c>
      <c r="O1770" s="492">
        <f t="shared" si="215"/>
        <v>100</v>
      </c>
      <c r="P1770" s="798"/>
      <c r="Q1770" s="798"/>
      <c r="R1770" s="821"/>
    </row>
    <row r="1771" spans="1:18" s="801" customFormat="1" ht="24">
      <c r="A1771" s="795"/>
      <c r="B1771" s="796" t="s">
        <v>180</v>
      </c>
      <c r="C1771" s="797">
        <v>39000</v>
      </c>
      <c r="D1771" s="798">
        <f t="shared" si="214"/>
        <v>39000</v>
      </c>
      <c r="E1771" s="798">
        <f t="shared" si="217"/>
        <v>39000</v>
      </c>
      <c r="F1771" s="644">
        <f t="shared" si="210"/>
        <v>100</v>
      </c>
      <c r="G1771" s="798"/>
      <c r="H1771" s="799"/>
      <c r="I1771" s="647"/>
      <c r="J1771" s="799"/>
      <c r="K1771" s="798"/>
      <c r="L1771" s="396"/>
      <c r="M1771" s="797">
        <v>39000</v>
      </c>
      <c r="N1771" s="798">
        <v>39000</v>
      </c>
      <c r="O1771" s="492">
        <f t="shared" si="215"/>
        <v>100</v>
      </c>
      <c r="P1771" s="798"/>
      <c r="Q1771" s="798"/>
      <c r="R1771" s="821"/>
    </row>
    <row r="1772" spans="1:18" ht="26.25" customHeight="1">
      <c r="A1772" s="728">
        <v>4210</v>
      </c>
      <c r="B1772" s="735" t="s">
        <v>181</v>
      </c>
      <c r="C1772" s="666"/>
      <c r="D1772" s="643">
        <f t="shared" si="214"/>
        <v>5000</v>
      </c>
      <c r="E1772" s="667">
        <f t="shared" si="217"/>
        <v>0</v>
      </c>
      <c r="F1772" s="644">
        <f t="shared" si="210"/>
        <v>0</v>
      </c>
      <c r="G1772" s="667"/>
      <c r="H1772" s="648"/>
      <c r="I1772" s="647"/>
      <c r="J1772" s="730">
        <f>2100-2100+5000</f>
        <v>5000</v>
      </c>
      <c r="K1772" s="667"/>
      <c r="L1772" s="396">
        <f>K1772/J1772*100</f>
        <v>0</v>
      </c>
      <c r="M1772" s="730"/>
      <c r="N1772" s="667"/>
      <c r="O1772" s="492"/>
      <c r="P1772" s="667"/>
      <c r="Q1772" s="667"/>
      <c r="R1772" s="737"/>
    </row>
    <row r="1773" spans="1:18" ht="36">
      <c r="A1773" s="728">
        <v>6050</v>
      </c>
      <c r="B1773" s="865" t="s">
        <v>182</v>
      </c>
      <c r="C1773" s="666">
        <v>100000</v>
      </c>
      <c r="D1773" s="643">
        <f t="shared" si="214"/>
        <v>100000</v>
      </c>
      <c r="E1773" s="667">
        <f t="shared" si="217"/>
        <v>0</v>
      </c>
      <c r="F1773" s="644">
        <f t="shared" si="210"/>
        <v>0</v>
      </c>
      <c r="G1773" s="666"/>
      <c r="H1773" s="648"/>
      <c r="I1773" s="647"/>
      <c r="J1773" s="730"/>
      <c r="K1773" s="667"/>
      <c r="L1773" s="649"/>
      <c r="M1773" s="730">
        <v>100000</v>
      </c>
      <c r="N1773" s="667"/>
      <c r="O1773" s="492">
        <f t="shared" si="215"/>
        <v>0</v>
      </c>
      <c r="P1773" s="667"/>
      <c r="Q1773" s="667"/>
      <c r="R1773" s="737"/>
    </row>
    <row r="1774" spans="1:18" ht="94.5" customHeight="1">
      <c r="A1774" s="728">
        <v>6220</v>
      </c>
      <c r="B1774" s="780" t="s">
        <v>183</v>
      </c>
      <c r="C1774" s="781"/>
      <c r="D1774" s="643">
        <f t="shared" si="214"/>
        <v>100000</v>
      </c>
      <c r="E1774" s="667"/>
      <c r="F1774" s="644"/>
      <c r="G1774" s="781"/>
      <c r="H1774" s="767"/>
      <c r="I1774" s="707"/>
      <c r="J1774" s="782"/>
      <c r="K1774" s="785"/>
      <c r="L1774" s="768"/>
      <c r="M1774" s="782">
        <v>100000</v>
      </c>
      <c r="N1774" s="785"/>
      <c r="O1774" s="766">
        <f t="shared" si="215"/>
        <v>0</v>
      </c>
      <c r="P1774" s="785"/>
      <c r="Q1774" s="785"/>
      <c r="R1774" s="770"/>
    </row>
    <row r="1775" spans="1:18" ht="28.5" customHeight="1">
      <c r="A1775" s="724">
        <v>92109</v>
      </c>
      <c r="B1775" s="854" t="s">
        <v>184</v>
      </c>
      <c r="C1775" s="726">
        <f>C1776</f>
        <v>2341800</v>
      </c>
      <c r="D1775" s="674">
        <f t="shared" si="214"/>
        <v>2881800</v>
      </c>
      <c r="E1775" s="657">
        <f>H1775+K1775+Q1775+N1775</f>
        <v>2581676</v>
      </c>
      <c r="F1775" s="658">
        <f t="shared" si="210"/>
        <v>89.58553681726698</v>
      </c>
      <c r="G1775" s="657">
        <f>G1776</f>
        <v>2881800</v>
      </c>
      <c r="H1775" s="657">
        <f>H1776</f>
        <v>2581676</v>
      </c>
      <c r="I1775" s="890">
        <f>H1775/G1775*100</f>
        <v>89.58553681726698</v>
      </c>
      <c r="J1775" s="662"/>
      <c r="K1775" s="657"/>
      <c r="L1775" s="663"/>
      <c r="M1775" s="657"/>
      <c r="N1775" s="657"/>
      <c r="O1775" s="665"/>
      <c r="P1775" s="657"/>
      <c r="Q1775" s="657"/>
      <c r="R1775" s="842"/>
    </row>
    <row r="1776" spans="1:18" s="801" customFormat="1" ht="24">
      <c r="A1776" s="1108"/>
      <c r="B1776" s="1109" t="s">
        <v>185</v>
      </c>
      <c r="C1776" s="1110">
        <f>SUM(C1777:C1790)+C1808+C1805+C1806</f>
        <v>2341800</v>
      </c>
      <c r="D1776" s="1111">
        <f t="shared" si="214"/>
        <v>2881800</v>
      </c>
      <c r="E1776" s="1111">
        <f>H1776+K1776+Q1776+N1776</f>
        <v>2581676</v>
      </c>
      <c r="F1776" s="658">
        <f t="shared" si="210"/>
        <v>89.58553681726698</v>
      </c>
      <c r="G1776" s="1111">
        <f>SUM(G1777:G1790)+G1805+G1806</f>
        <v>2881800</v>
      </c>
      <c r="H1776" s="1111">
        <f>SUM(H1777:H1790)+H1805+H1806</f>
        <v>2581676</v>
      </c>
      <c r="I1776" s="890">
        <f>H1776/G1776*100</f>
        <v>89.58553681726698</v>
      </c>
      <c r="J1776" s="1112"/>
      <c r="K1776" s="1111"/>
      <c r="L1776" s="663"/>
      <c r="M1776" s="1111"/>
      <c r="N1776" s="1111"/>
      <c r="O1776" s="665"/>
      <c r="P1776" s="1111"/>
      <c r="Q1776" s="1111"/>
      <c r="R1776" s="1107"/>
    </row>
    <row r="1777" spans="1:18" ht="40.5" customHeight="1" hidden="1">
      <c r="A1777" s="728">
        <v>3020</v>
      </c>
      <c r="B1777" s="735" t="s">
        <v>934</v>
      </c>
      <c r="C1777" s="666"/>
      <c r="D1777" s="643">
        <f t="shared" si="214"/>
        <v>0</v>
      </c>
      <c r="E1777" s="667">
        <f>SUM(H1777+K1777+N1777+Q1777)</f>
        <v>0</v>
      </c>
      <c r="F1777" s="644"/>
      <c r="G1777" s="847"/>
      <c r="H1777" s="848"/>
      <c r="I1777" s="492"/>
      <c r="J1777" s="848"/>
      <c r="K1777" s="847"/>
      <c r="L1777" s="751"/>
      <c r="M1777" s="666"/>
      <c r="N1777" s="667"/>
      <c r="O1777" s="647"/>
      <c r="P1777" s="667"/>
      <c r="Q1777" s="667"/>
      <c r="R1777" s="737"/>
    </row>
    <row r="1778" spans="1:18" ht="24.75" customHeight="1" hidden="1">
      <c r="A1778" s="728">
        <v>4010</v>
      </c>
      <c r="B1778" s="735" t="s">
        <v>697</v>
      </c>
      <c r="C1778" s="666"/>
      <c r="D1778" s="643">
        <f t="shared" si="214"/>
        <v>0</v>
      </c>
      <c r="E1778" s="667">
        <f aca="true" t="shared" si="218" ref="E1778:E1784">SUM(H1778+K1778+N1778+Q1778)</f>
        <v>0</v>
      </c>
      <c r="F1778" s="644"/>
      <c r="G1778" s="847"/>
      <c r="H1778" s="848"/>
      <c r="I1778" s="492"/>
      <c r="J1778" s="848"/>
      <c r="K1778" s="847"/>
      <c r="L1778" s="751"/>
      <c r="M1778" s="666"/>
      <c r="N1778" s="667"/>
      <c r="O1778" s="647"/>
      <c r="P1778" s="667"/>
      <c r="Q1778" s="667"/>
      <c r="R1778" s="737"/>
    </row>
    <row r="1779" spans="1:18" ht="27" customHeight="1" hidden="1">
      <c r="A1779" s="728">
        <v>4040</v>
      </c>
      <c r="B1779" s="735" t="s">
        <v>701</v>
      </c>
      <c r="C1779" s="666"/>
      <c r="D1779" s="643">
        <f t="shared" si="214"/>
        <v>0</v>
      </c>
      <c r="E1779" s="667">
        <f t="shared" si="218"/>
        <v>0</v>
      </c>
      <c r="F1779" s="644"/>
      <c r="G1779" s="847"/>
      <c r="H1779" s="848"/>
      <c r="I1779" s="492"/>
      <c r="J1779" s="848"/>
      <c r="K1779" s="847"/>
      <c r="L1779" s="751"/>
      <c r="M1779" s="666"/>
      <c r="N1779" s="667"/>
      <c r="O1779" s="647"/>
      <c r="P1779" s="667"/>
      <c r="Q1779" s="667"/>
      <c r="R1779" s="737"/>
    </row>
    <row r="1780" spans="1:18" ht="27" customHeight="1" hidden="1">
      <c r="A1780" s="728">
        <v>4110</v>
      </c>
      <c r="B1780" s="735" t="s">
        <v>703</v>
      </c>
      <c r="C1780" s="666"/>
      <c r="D1780" s="643">
        <f t="shared" si="214"/>
        <v>0</v>
      </c>
      <c r="E1780" s="667">
        <f t="shared" si="218"/>
        <v>0</v>
      </c>
      <c r="F1780" s="644"/>
      <c r="G1780" s="847"/>
      <c r="H1780" s="848"/>
      <c r="I1780" s="492"/>
      <c r="J1780" s="848"/>
      <c r="K1780" s="847"/>
      <c r="L1780" s="751"/>
      <c r="M1780" s="666"/>
      <c r="N1780" s="667"/>
      <c r="O1780" s="647"/>
      <c r="P1780" s="667"/>
      <c r="Q1780" s="667"/>
      <c r="R1780" s="737"/>
    </row>
    <row r="1781" spans="1:18" ht="19.5" customHeight="1" hidden="1">
      <c r="A1781" s="728">
        <v>4120</v>
      </c>
      <c r="B1781" s="735" t="s">
        <v>847</v>
      </c>
      <c r="C1781" s="666"/>
      <c r="D1781" s="643">
        <f t="shared" si="214"/>
        <v>0</v>
      </c>
      <c r="E1781" s="667">
        <f t="shared" si="218"/>
        <v>0</v>
      </c>
      <c r="F1781" s="644"/>
      <c r="G1781" s="847"/>
      <c r="H1781" s="848"/>
      <c r="I1781" s="492"/>
      <c r="J1781" s="848"/>
      <c r="K1781" s="847"/>
      <c r="L1781" s="751"/>
      <c r="M1781" s="666"/>
      <c r="N1781" s="667"/>
      <c r="O1781" s="647"/>
      <c r="P1781" s="667"/>
      <c r="Q1781" s="667"/>
      <c r="R1781" s="737"/>
    </row>
    <row r="1782" spans="1:18" ht="25.5" customHeight="1" hidden="1">
      <c r="A1782" s="728">
        <v>4210</v>
      </c>
      <c r="B1782" s="735" t="s">
        <v>707</v>
      </c>
      <c r="C1782" s="666"/>
      <c r="D1782" s="643">
        <f t="shared" si="214"/>
        <v>0</v>
      </c>
      <c r="E1782" s="667">
        <f t="shared" si="218"/>
        <v>0</v>
      </c>
      <c r="F1782" s="644"/>
      <c r="G1782" s="847"/>
      <c r="H1782" s="848"/>
      <c r="I1782" s="492"/>
      <c r="J1782" s="848"/>
      <c r="K1782" s="847"/>
      <c r="L1782" s="751"/>
      <c r="M1782" s="666"/>
      <c r="N1782" s="667"/>
      <c r="O1782" s="647"/>
      <c r="P1782" s="667"/>
      <c r="Q1782" s="667"/>
      <c r="R1782" s="737"/>
    </row>
    <row r="1783" spans="1:18" ht="38.25" customHeight="1" hidden="1">
      <c r="A1783" s="728">
        <v>4240</v>
      </c>
      <c r="B1783" s="735" t="s">
        <v>832</v>
      </c>
      <c r="C1783" s="666"/>
      <c r="D1783" s="643">
        <f t="shared" si="214"/>
        <v>0</v>
      </c>
      <c r="E1783" s="667">
        <f t="shared" si="218"/>
        <v>0</v>
      </c>
      <c r="F1783" s="644"/>
      <c r="G1783" s="847"/>
      <c r="H1783" s="848"/>
      <c r="I1783" s="492"/>
      <c r="J1783" s="848"/>
      <c r="K1783" s="847"/>
      <c r="L1783" s="751"/>
      <c r="M1783" s="666"/>
      <c r="N1783" s="667"/>
      <c r="O1783" s="647"/>
      <c r="P1783" s="667"/>
      <c r="Q1783" s="667"/>
      <c r="R1783" s="737"/>
    </row>
    <row r="1784" spans="1:18" ht="15" customHeight="1" hidden="1">
      <c r="A1784" s="728">
        <v>4260</v>
      </c>
      <c r="B1784" s="735" t="s">
        <v>711</v>
      </c>
      <c r="C1784" s="666"/>
      <c r="D1784" s="643">
        <f t="shared" si="214"/>
        <v>0</v>
      </c>
      <c r="E1784" s="667">
        <f t="shared" si="218"/>
        <v>0</v>
      </c>
      <c r="F1784" s="644"/>
      <c r="G1784" s="847"/>
      <c r="H1784" s="848"/>
      <c r="I1784" s="492"/>
      <c r="J1784" s="848"/>
      <c r="K1784" s="847"/>
      <c r="L1784" s="751"/>
      <c r="M1784" s="666"/>
      <c r="N1784" s="667"/>
      <c r="O1784" s="647"/>
      <c r="P1784" s="667"/>
      <c r="Q1784" s="667"/>
      <c r="R1784" s="737"/>
    </row>
    <row r="1785" spans="1:18" ht="21" customHeight="1" hidden="1">
      <c r="A1785" s="728">
        <v>4300</v>
      </c>
      <c r="B1785" s="735" t="s">
        <v>715</v>
      </c>
      <c r="C1785" s="666"/>
      <c r="D1785" s="643">
        <f t="shared" si="214"/>
        <v>0</v>
      </c>
      <c r="E1785" s="667">
        <f>SUM(H1785+K1785+N1785+Q1785)</f>
        <v>0</v>
      </c>
      <c r="F1785" s="644"/>
      <c r="G1785" s="847"/>
      <c r="H1785" s="848"/>
      <c r="I1785" s="492"/>
      <c r="J1785" s="848"/>
      <c r="K1785" s="847"/>
      <c r="L1785" s="751"/>
      <c r="M1785" s="666"/>
      <c r="N1785" s="667"/>
      <c r="O1785" s="647"/>
      <c r="P1785" s="667"/>
      <c r="Q1785" s="667"/>
      <c r="R1785" s="737"/>
    </row>
    <row r="1786" spans="1:18" ht="15.75" customHeight="1" hidden="1">
      <c r="A1786" s="728">
        <v>4410</v>
      </c>
      <c r="B1786" s="735" t="s">
        <v>689</v>
      </c>
      <c r="C1786" s="666"/>
      <c r="D1786" s="643">
        <f t="shared" si="214"/>
        <v>0</v>
      </c>
      <c r="E1786" s="667">
        <f>SUM(H1786+K1786+N1786+Q1786)</f>
        <v>0</v>
      </c>
      <c r="F1786" s="644"/>
      <c r="G1786" s="847"/>
      <c r="H1786" s="848"/>
      <c r="I1786" s="492"/>
      <c r="J1786" s="848"/>
      <c r="K1786" s="847"/>
      <c r="L1786" s="751"/>
      <c r="M1786" s="666"/>
      <c r="N1786" s="667"/>
      <c r="O1786" s="647"/>
      <c r="P1786" s="667"/>
      <c r="Q1786" s="667"/>
      <c r="R1786" s="737"/>
    </row>
    <row r="1787" spans="1:18" ht="15.75" customHeight="1" hidden="1">
      <c r="A1787" s="728">
        <v>4430</v>
      </c>
      <c r="B1787" s="735" t="s">
        <v>717</v>
      </c>
      <c r="C1787" s="666"/>
      <c r="D1787" s="643">
        <f t="shared" si="214"/>
        <v>0</v>
      </c>
      <c r="E1787" s="667">
        <f>SUM(H1787+K1787+N1787+Q1787)</f>
        <v>0</v>
      </c>
      <c r="F1787" s="644"/>
      <c r="G1787" s="847"/>
      <c r="H1787" s="848"/>
      <c r="I1787" s="492"/>
      <c r="J1787" s="848"/>
      <c r="K1787" s="847"/>
      <c r="L1787" s="751"/>
      <c r="M1787" s="666"/>
      <c r="N1787" s="667"/>
      <c r="O1787" s="647"/>
      <c r="P1787" s="667"/>
      <c r="Q1787" s="667"/>
      <c r="R1787" s="737"/>
    </row>
    <row r="1788" spans="1:18" ht="18" customHeight="1" hidden="1">
      <c r="A1788" s="728">
        <v>4440</v>
      </c>
      <c r="B1788" s="735" t="s">
        <v>719</v>
      </c>
      <c r="C1788" s="666"/>
      <c r="D1788" s="643">
        <f t="shared" si="214"/>
        <v>0</v>
      </c>
      <c r="E1788" s="667">
        <f>SUM(H1788+K1788+N1788+Q1788)</f>
        <v>0</v>
      </c>
      <c r="F1788" s="644"/>
      <c r="G1788" s="847"/>
      <c r="H1788" s="848"/>
      <c r="I1788" s="492"/>
      <c r="J1788" s="848"/>
      <c r="K1788" s="847"/>
      <c r="L1788" s="751"/>
      <c r="M1788" s="666"/>
      <c r="N1788" s="667"/>
      <c r="O1788" s="647"/>
      <c r="P1788" s="667"/>
      <c r="Q1788" s="667"/>
      <c r="R1788" s="737"/>
    </row>
    <row r="1789" spans="1:18" ht="19.5" customHeight="1" hidden="1">
      <c r="A1789" s="728">
        <v>4480</v>
      </c>
      <c r="B1789" s="735" t="s">
        <v>426</v>
      </c>
      <c r="C1789" s="666"/>
      <c r="D1789" s="643"/>
      <c r="E1789" s="667"/>
      <c r="F1789" s="644"/>
      <c r="G1789" s="846"/>
      <c r="H1789" s="847"/>
      <c r="I1789" s="492"/>
      <c r="J1789" s="848"/>
      <c r="K1789" s="847"/>
      <c r="L1789" s="751"/>
      <c r="M1789" s="666"/>
      <c r="N1789" s="667"/>
      <c r="O1789" s="647"/>
      <c r="P1789" s="667"/>
      <c r="Q1789" s="667"/>
      <c r="R1789" s="737"/>
    </row>
    <row r="1790" spans="1:18" s="882" customFormat="1" ht="48">
      <c r="A1790" s="709">
        <v>2480</v>
      </c>
      <c r="B1790" s="776" t="s">
        <v>165</v>
      </c>
      <c r="C1790" s="666">
        <f>SUM(C1791:C1808)</f>
        <v>2341800</v>
      </c>
      <c r="D1790" s="643">
        <f aca="true" t="shared" si="219" ref="D1790:E1810">G1790+J1790+P1790+M1790</f>
        <v>2881800</v>
      </c>
      <c r="E1790" s="667">
        <f t="shared" si="219"/>
        <v>2581676</v>
      </c>
      <c r="F1790" s="644">
        <f>E1790/D1790*100</f>
        <v>89.58553681726698</v>
      </c>
      <c r="G1790" s="666">
        <f>SUM(G1791:G1804)</f>
        <v>2881800</v>
      </c>
      <c r="H1790" s="667">
        <f>SUM(H1791:H1804)</f>
        <v>2581676</v>
      </c>
      <c r="I1790" s="492">
        <f>H1790/G1790*100</f>
        <v>89.58553681726698</v>
      </c>
      <c r="J1790" s="730"/>
      <c r="K1790" s="667"/>
      <c r="L1790" s="649"/>
      <c r="M1790" s="667"/>
      <c r="N1790" s="667"/>
      <c r="O1790" s="731"/>
      <c r="P1790" s="667"/>
      <c r="Q1790" s="667"/>
      <c r="R1790" s="737"/>
    </row>
    <row r="1791" spans="1:18" s="801" customFormat="1" ht="12.75">
      <c r="A1791" s="795"/>
      <c r="B1791" s="796" t="s">
        <v>166</v>
      </c>
      <c r="C1791" s="797">
        <v>1587800</v>
      </c>
      <c r="D1791" s="798">
        <f t="shared" si="219"/>
        <v>1587800</v>
      </c>
      <c r="E1791" s="798">
        <f t="shared" si="219"/>
        <v>1318529</v>
      </c>
      <c r="F1791" s="644">
        <f aca="true" t="shared" si="220" ref="F1791:F1804">E1791/D1791*100</f>
        <v>83.04125204685728</v>
      </c>
      <c r="G1791" s="797">
        <v>1587800</v>
      </c>
      <c r="H1791" s="798">
        <f>132317+132316+132316+132316+132316+132316+132316+132316+130000+130000</f>
        <v>1318529</v>
      </c>
      <c r="I1791" s="492">
        <f aca="true" t="shared" si="221" ref="I1791:I1804">H1791/G1791*100</f>
        <v>83.04125204685728</v>
      </c>
      <c r="J1791" s="799"/>
      <c r="K1791" s="798"/>
      <c r="L1791" s="649"/>
      <c r="M1791" s="798"/>
      <c r="N1791" s="798"/>
      <c r="O1791" s="649"/>
      <c r="P1791" s="798"/>
      <c r="Q1791" s="798"/>
      <c r="R1791" s="821"/>
    </row>
    <row r="1792" spans="1:18" s="801" customFormat="1" ht="12.75">
      <c r="A1792" s="809"/>
      <c r="B1792" s="810" t="s">
        <v>186</v>
      </c>
      <c r="C1792" s="811">
        <v>532000</v>
      </c>
      <c r="D1792" s="812">
        <f t="shared" si="219"/>
        <v>737000</v>
      </c>
      <c r="E1792" s="812">
        <f t="shared" si="219"/>
        <v>736147</v>
      </c>
      <c r="F1792" s="705">
        <f t="shared" si="220"/>
        <v>99.8842605156038</v>
      </c>
      <c r="G1792" s="811">
        <f>532000+205000</f>
        <v>737000</v>
      </c>
      <c r="H1792" s="812">
        <f>44333+26407+26407+80000-80000+150000+150000-110000+80000+120000+44000+205000</f>
        <v>736147</v>
      </c>
      <c r="I1792" s="766">
        <f t="shared" si="221"/>
        <v>99.8842605156038</v>
      </c>
      <c r="J1792" s="813"/>
      <c r="K1792" s="812"/>
      <c r="L1792" s="768"/>
      <c r="M1792" s="812"/>
      <c r="N1792" s="812"/>
      <c r="O1792" s="768"/>
      <c r="P1792" s="812"/>
      <c r="Q1792" s="812"/>
      <c r="R1792" s="915"/>
    </row>
    <row r="1793" spans="1:18" s="801" customFormat="1" ht="36">
      <c r="A1793" s="795"/>
      <c r="B1793" s="796" t="s">
        <v>171</v>
      </c>
      <c r="C1793" s="797">
        <v>100000</v>
      </c>
      <c r="D1793" s="798">
        <f t="shared" si="219"/>
        <v>30000</v>
      </c>
      <c r="E1793" s="798">
        <f t="shared" si="219"/>
        <v>0</v>
      </c>
      <c r="F1793" s="644">
        <f t="shared" si="220"/>
        <v>0</v>
      </c>
      <c r="G1793" s="797">
        <f>100000-70000</f>
        <v>30000</v>
      </c>
      <c r="H1793" s="798"/>
      <c r="I1793" s="492">
        <f t="shared" si="221"/>
        <v>0</v>
      </c>
      <c r="J1793" s="799"/>
      <c r="K1793" s="798"/>
      <c r="L1793" s="649"/>
      <c r="M1793" s="798"/>
      <c r="N1793" s="798"/>
      <c r="O1793" s="649"/>
      <c r="P1793" s="798"/>
      <c r="Q1793" s="798"/>
      <c r="R1793" s="821"/>
    </row>
    <row r="1794" spans="1:18" s="801" customFormat="1" ht="24">
      <c r="A1794" s="795" t="s">
        <v>168</v>
      </c>
      <c r="B1794" s="796" t="s">
        <v>187</v>
      </c>
      <c r="C1794" s="797"/>
      <c r="D1794" s="798">
        <f>G1794+J1794+P1794+M1794</f>
        <v>70000</v>
      </c>
      <c r="E1794" s="798">
        <f>H1794+K1794+Q1794+N1794</f>
        <v>70000</v>
      </c>
      <c r="F1794" s="644">
        <f>E1794/D1794*100</f>
        <v>100</v>
      </c>
      <c r="G1794" s="797">
        <v>70000</v>
      </c>
      <c r="H1794" s="798">
        <v>70000</v>
      </c>
      <c r="I1794" s="492">
        <f t="shared" si="221"/>
        <v>100</v>
      </c>
      <c r="J1794" s="799"/>
      <c r="K1794" s="798"/>
      <c r="L1794" s="649"/>
      <c r="M1794" s="798"/>
      <c r="N1794" s="798"/>
      <c r="O1794" s="649"/>
      <c r="P1794" s="798"/>
      <c r="Q1794" s="798"/>
      <c r="R1794" s="821"/>
    </row>
    <row r="1795" spans="1:18" s="801" customFormat="1" ht="24">
      <c r="A1795" s="795"/>
      <c r="B1795" s="796" t="s">
        <v>188</v>
      </c>
      <c r="C1795" s="797"/>
      <c r="D1795" s="798">
        <f t="shared" si="219"/>
        <v>100000</v>
      </c>
      <c r="E1795" s="798">
        <f t="shared" si="219"/>
        <v>100000</v>
      </c>
      <c r="F1795" s="644">
        <f t="shared" si="220"/>
        <v>100</v>
      </c>
      <c r="G1795" s="797">
        <f>100000</f>
        <v>100000</v>
      </c>
      <c r="H1795" s="798">
        <f>80000-80000+100000</f>
        <v>100000</v>
      </c>
      <c r="I1795" s="492">
        <f t="shared" si="221"/>
        <v>100</v>
      </c>
      <c r="J1795" s="799"/>
      <c r="K1795" s="798"/>
      <c r="L1795" s="649"/>
      <c r="M1795" s="798"/>
      <c r="N1795" s="798"/>
      <c r="O1795" s="649"/>
      <c r="P1795" s="798"/>
      <c r="Q1795" s="798"/>
      <c r="R1795" s="821"/>
    </row>
    <row r="1796" spans="1:18" s="801" customFormat="1" ht="12.75">
      <c r="A1796" s="795"/>
      <c r="B1796" s="796" t="s">
        <v>189</v>
      </c>
      <c r="C1796" s="797"/>
      <c r="D1796" s="798">
        <f t="shared" si="219"/>
        <v>0</v>
      </c>
      <c r="E1796" s="798"/>
      <c r="F1796" s="644"/>
      <c r="G1796" s="797"/>
      <c r="H1796" s="798"/>
      <c r="I1796" s="492"/>
      <c r="J1796" s="799"/>
      <c r="K1796" s="798"/>
      <c r="L1796" s="649"/>
      <c r="M1796" s="798"/>
      <c r="N1796" s="798"/>
      <c r="O1796" s="649"/>
      <c r="P1796" s="798"/>
      <c r="Q1796" s="798"/>
      <c r="R1796" s="821"/>
    </row>
    <row r="1797" spans="1:18" s="801" customFormat="1" ht="12.75">
      <c r="A1797" s="795"/>
      <c r="B1797" s="796" t="s">
        <v>190</v>
      </c>
      <c r="C1797" s="797">
        <v>62000</v>
      </c>
      <c r="D1797" s="798">
        <f t="shared" si="219"/>
        <v>62000</v>
      </c>
      <c r="E1797" s="798">
        <f t="shared" si="219"/>
        <v>62000</v>
      </c>
      <c r="F1797" s="644">
        <f t="shared" si="220"/>
        <v>100</v>
      </c>
      <c r="G1797" s="797">
        <v>62000</v>
      </c>
      <c r="H1797" s="798">
        <f>31000+31000</f>
        <v>62000</v>
      </c>
      <c r="I1797" s="492">
        <f t="shared" si="221"/>
        <v>100</v>
      </c>
      <c r="J1797" s="799"/>
      <c r="K1797" s="798"/>
      <c r="L1797" s="649"/>
      <c r="M1797" s="798"/>
      <c r="N1797" s="798"/>
      <c r="O1797" s="649"/>
      <c r="P1797" s="798"/>
      <c r="Q1797" s="798"/>
      <c r="R1797" s="821"/>
    </row>
    <row r="1798" spans="1:18" s="801" customFormat="1" ht="24">
      <c r="A1798" s="795"/>
      <c r="B1798" s="796" t="s">
        <v>191</v>
      </c>
      <c r="C1798" s="797">
        <v>15000</v>
      </c>
      <c r="D1798" s="798">
        <f t="shared" si="219"/>
        <v>15000</v>
      </c>
      <c r="E1798" s="798">
        <f t="shared" si="219"/>
        <v>15000</v>
      </c>
      <c r="F1798" s="644">
        <f t="shared" si="220"/>
        <v>100</v>
      </c>
      <c r="G1798" s="797">
        <f>15000</f>
        <v>15000</v>
      </c>
      <c r="H1798" s="798">
        <v>15000</v>
      </c>
      <c r="I1798" s="492">
        <f t="shared" si="221"/>
        <v>100</v>
      </c>
      <c r="J1798" s="799"/>
      <c r="K1798" s="798"/>
      <c r="L1798" s="649"/>
      <c r="M1798" s="798"/>
      <c r="N1798" s="798"/>
      <c r="O1798" s="649"/>
      <c r="P1798" s="798"/>
      <c r="Q1798" s="798"/>
      <c r="R1798" s="821"/>
    </row>
    <row r="1799" spans="1:18" s="801" customFormat="1" ht="12.75">
      <c r="A1799" s="795"/>
      <c r="B1799" s="796" t="s">
        <v>192</v>
      </c>
      <c r="C1799" s="797">
        <v>45000</v>
      </c>
      <c r="D1799" s="798">
        <f t="shared" si="219"/>
        <v>45000</v>
      </c>
      <c r="E1799" s="798">
        <f t="shared" si="219"/>
        <v>45000</v>
      </c>
      <c r="F1799" s="644">
        <f t="shared" si="220"/>
        <v>100</v>
      </c>
      <c r="G1799" s="797">
        <v>45000</v>
      </c>
      <c r="H1799" s="798">
        <v>45000</v>
      </c>
      <c r="I1799" s="492">
        <f t="shared" si="221"/>
        <v>100</v>
      </c>
      <c r="J1799" s="799"/>
      <c r="K1799" s="798"/>
      <c r="L1799" s="649"/>
      <c r="M1799" s="798"/>
      <c r="N1799" s="798"/>
      <c r="O1799" s="649"/>
      <c r="P1799" s="798"/>
      <c r="Q1799" s="798"/>
      <c r="R1799" s="821"/>
    </row>
    <row r="1800" spans="1:18" s="801" customFormat="1" ht="72">
      <c r="A1800" s="795"/>
      <c r="B1800" s="796" t="s">
        <v>193</v>
      </c>
      <c r="C1800" s="797"/>
      <c r="D1800" s="798">
        <f t="shared" si="219"/>
        <v>30000</v>
      </c>
      <c r="E1800" s="798">
        <f>H1800+K1800+Q1800+N1800</f>
        <v>30000</v>
      </c>
      <c r="F1800" s="644">
        <f>E1800/D1800*100</f>
        <v>100</v>
      </c>
      <c r="G1800" s="797">
        <v>30000</v>
      </c>
      <c r="H1800" s="798">
        <v>30000</v>
      </c>
      <c r="I1800" s="492">
        <f t="shared" si="221"/>
        <v>100</v>
      </c>
      <c r="J1800" s="799"/>
      <c r="K1800" s="798"/>
      <c r="L1800" s="649"/>
      <c r="M1800" s="798"/>
      <c r="N1800" s="798"/>
      <c r="O1800" s="649"/>
      <c r="P1800" s="798"/>
      <c r="Q1800" s="798"/>
      <c r="R1800" s="821"/>
    </row>
    <row r="1801" spans="1:18" s="801" customFormat="1" ht="24">
      <c r="A1801" s="795"/>
      <c r="B1801" s="796" t="s">
        <v>194</v>
      </c>
      <c r="C1801" s="797"/>
      <c r="D1801" s="798">
        <f>G1801+J1801+P1801+M1801</f>
        <v>110000</v>
      </c>
      <c r="E1801" s="798">
        <f>H1801+K1801+Q1801+N1801</f>
        <v>110000</v>
      </c>
      <c r="F1801" s="644">
        <f>E1801/D1801*100</f>
        <v>100</v>
      </c>
      <c r="G1801" s="797">
        <v>110000</v>
      </c>
      <c r="H1801" s="798">
        <v>110000</v>
      </c>
      <c r="I1801" s="492">
        <f t="shared" si="221"/>
        <v>100</v>
      </c>
      <c r="J1801" s="799"/>
      <c r="K1801" s="798"/>
      <c r="L1801" s="649"/>
      <c r="M1801" s="798"/>
      <c r="N1801" s="798"/>
      <c r="O1801" s="649"/>
      <c r="P1801" s="798"/>
      <c r="Q1801" s="798"/>
      <c r="R1801" s="821"/>
    </row>
    <row r="1802" spans="1:18" s="801" customFormat="1" ht="12.75">
      <c r="A1802" s="795"/>
      <c r="B1802" s="796" t="s">
        <v>195</v>
      </c>
      <c r="C1802" s="797"/>
      <c r="D1802" s="798">
        <f>G1802+J1802+P1802+M1802</f>
        <v>45000</v>
      </c>
      <c r="E1802" s="798">
        <f>H1802+K1802+Q1802+N1802</f>
        <v>45000</v>
      </c>
      <c r="F1802" s="644">
        <f>E1802/D1802*100</f>
        <v>100</v>
      </c>
      <c r="G1802" s="797">
        <v>45000</v>
      </c>
      <c r="H1802" s="798">
        <v>45000</v>
      </c>
      <c r="I1802" s="492">
        <f t="shared" si="221"/>
        <v>100</v>
      </c>
      <c r="J1802" s="799"/>
      <c r="K1802" s="798"/>
      <c r="L1802" s="649"/>
      <c r="M1802" s="798"/>
      <c r="N1802" s="798"/>
      <c r="O1802" s="649"/>
      <c r="P1802" s="798"/>
      <c r="Q1802" s="798"/>
      <c r="R1802" s="821"/>
    </row>
    <row r="1803" spans="1:18" s="801" customFormat="1" ht="12.75">
      <c r="A1803" s="795"/>
      <c r="B1803" s="796" t="s">
        <v>196</v>
      </c>
      <c r="C1803" s="797"/>
      <c r="D1803" s="798">
        <f>G1803+J1803+P1803+M1803</f>
        <v>15000</v>
      </c>
      <c r="E1803" s="798">
        <f>H1803+K1803+Q1803+N1803</f>
        <v>15000</v>
      </c>
      <c r="F1803" s="644">
        <f>E1803/D1803*100</f>
        <v>100</v>
      </c>
      <c r="G1803" s="797">
        <v>15000</v>
      </c>
      <c r="H1803" s="798">
        <v>15000</v>
      </c>
      <c r="I1803" s="492">
        <f t="shared" si="221"/>
        <v>100</v>
      </c>
      <c r="J1803" s="799"/>
      <c r="K1803" s="798"/>
      <c r="L1803" s="649"/>
      <c r="M1803" s="798"/>
      <c r="N1803" s="798"/>
      <c r="O1803" s="649"/>
      <c r="P1803" s="798"/>
      <c r="Q1803" s="798"/>
      <c r="R1803" s="821"/>
    </row>
    <row r="1804" spans="1:18" s="801" customFormat="1" ht="24">
      <c r="A1804" s="795"/>
      <c r="B1804" s="796" t="s">
        <v>197</v>
      </c>
      <c r="C1804" s="797"/>
      <c r="D1804" s="798">
        <f t="shared" si="219"/>
        <v>35000</v>
      </c>
      <c r="E1804" s="798">
        <f t="shared" si="219"/>
        <v>35000</v>
      </c>
      <c r="F1804" s="644">
        <f t="shared" si="220"/>
        <v>100</v>
      </c>
      <c r="G1804" s="797">
        <v>35000</v>
      </c>
      <c r="H1804" s="798">
        <v>35000</v>
      </c>
      <c r="I1804" s="492">
        <f t="shared" si="221"/>
        <v>100</v>
      </c>
      <c r="J1804" s="799"/>
      <c r="K1804" s="798"/>
      <c r="L1804" s="649"/>
      <c r="M1804" s="798"/>
      <c r="N1804" s="798"/>
      <c r="O1804" s="649"/>
      <c r="P1804" s="798"/>
      <c r="Q1804" s="798"/>
      <c r="R1804" s="821"/>
    </row>
    <row r="1805" spans="1:18" s="882" customFormat="1" ht="36" hidden="1">
      <c r="A1805" s="728">
        <v>6050</v>
      </c>
      <c r="B1805" s="735" t="s">
        <v>198</v>
      </c>
      <c r="C1805" s="666"/>
      <c r="D1805" s="643">
        <f t="shared" si="219"/>
        <v>0</v>
      </c>
      <c r="E1805" s="643">
        <f t="shared" si="219"/>
        <v>0</v>
      </c>
      <c r="F1805" s="644"/>
      <c r="G1805" s="666"/>
      <c r="H1805" s="667"/>
      <c r="I1805" s="492"/>
      <c r="J1805" s="730"/>
      <c r="K1805" s="667"/>
      <c r="L1805" s="649"/>
      <c r="M1805" s="667"/>
      <c r="N1805" s="667"/>
      <c r="O1805" s="731"/>
      <c r="P1805" s="667"/>
      <c r="Q1805" s="667"/>
      <c r="R1805" s="737"/>
    </row>
    <row r="1806" spans="1:18" ht="96" hidden="1">
      <c r="A1806" s="728">
        <v>6220</v>
      </c>
      <c r="B1806" s="735" t="s">
        <v>27</v>
      </c>
      <c r="C1806" s="666"/>
      <c r="D1806" s="643">
        <f t="shared" si="219"/>
        <v>0</v>
      </c>
      <c r="E1806" s="667">
        <f>SUM(H1806+K1806+N1806+Q1806)</f>
        <v>0</v>
      </c>
      <c r="F1806" s="644" t="e">
        <f>E1806/D1806*100</f>
        <v>#DIV/0!</v>
      </c>
      <c r="G1806" s="666"/>
      <c r="H1806" s="667"/>
      <c r="I1806" s="492" t="e">
        <f>H1806/G1806*100</f>
        <v>#DIV/0!</v>
      </c>
      <c r="J1806" s="730"/>
      <c r="K1806" s="667"/>
      <c r="L1806" s="649"/>
      <c r="M1806" s="667"/>
      <c r="N1806" s="667"/>
      <c r="O1806" s="731"/>
      <c r="P1806" s="667"/>
      <c r="Q1806" s="667"/>
      <c r="R1806" s="737"/>
    </row>
    <row r="1807" spans="1:18" s="801" customFormat="1" ht="25.5" customHeight="1" hidden="1">
      <c r="A1807" s="795"/>
      <c r="B1807" s="796" t="s">
        <v>199</v>
      </c>
      <c r="C1807" s="392"/>
      <c r="D1807" s="393">
        <f t="shared" si="219"/>
        <v>0</v>
      </c>
      <c r="E1807" s="393">
        <f>SUM(H1807+K1807+N1807+Q1807)</f>
        <v>0</v>
      </c>
      <c r="F1807" s="644" t="e">
        <f>E1807/D1807*100</f>
        <v>#DIV/0!</v>
      </c>
      <c r="G1807" s="392"/>
      <c r="H1807" s="393"/>
      <c r="I1807" s="492" t="e">
        <f>H1807/G1807*100</f>
        <v>#DIV/0!</v>
      </c>
      <c r="J1807" s="914"/>
      <c r="K1807" s="393"/>
      <c r="L1807" s="649"/>
      <c r="M1807" s="393"/>
      <c r="N1807" s="393"/>
      <c r="O1807" s="649"/>
      <c r="P1807" s="393"/>
      <c r="Q1807" s="393"/>
      <c r="R1807" s="821"/>
    </row>
    <row r="1808" spans="1:18" s="761" customFormat="1" ht="41.25" customHeight="1" hidden="1">
      <c r="A1808" s="874">
        <v>6050</v>
      </c>
      <c r="B1808" s="959" t="s">
        <v>200</v>
      </c>
      <c r="C1808" s="150"/>
      <c r="D1808" s="151">
        <f t="shared" si="219"/>
        <v>0</v>
      </c>
      <c r="E1808" s="151">
        <f>SUM(H1808+K1808+N1808+Q1808)</f>
        <v>0</v>
      </c>
      <c r="F1808" s="705"/>
      <c r="G1808" s="764"/>
      <c r="H1808" s="765"/>
      <c r="I1808" s="1113"/>
      <c r="J1808" s="767"/>
      <c r="K1808" s="765"/>
      <c r="L1808" s="768"/>
      <c r="M1808" s="150"/>
      <c r="N1808" s="765"/>
      <c r="O1808" s="707"/>
      <c r="P1808" s="765"/>
      <c r="Q1808" s="765"/>
      <c r="R1808" s="770"/>
    </row>
    <row r="1809" spans="1:18" ht="18" customHeight="1">
      <c r="A1809" s="724">
        <v>92116</v>
      </c>
      <c r="B1809" s="854" t="s">
        <v>644</v>
      </c>
      <c r="C1809" s="726">
        <f>SUM(C1810)</f>
        <v>3757200</v>
      </c>
      <c r="D1809" s="674">
        <f t="shared" si="219"/>
        <v>3887200</v>
      </c>
      <c r="E1809" s="657">
        <f>H1809+K1809+Q1809+N1809</f>
        <v>2801141</v>
      </c>
      <c r="F1809" s="658">
        <f aca="true" t="shared" si="222" ref="F1809:F1872">E1809/D1809*100</f>
        <v>72.0606349043013</v>
      </c>
      <c r="G1809" s="726">
        <f>G1810+G1822</f>
        <v>1426800</v>
      </c>
      <c r="H1809" s="657">
        <f>H1810+H1822</f>
        <v>937922</v>
      </c>
      <c r="I1809" s="890">
        <f aca="true" t="shared" si="223" ref="I1809:I1818">H1809/G1809*100</f>
        <v>65.73605270535464</v>
      </c>
      <c r="J1809" s="662"/>
      <c r="K1809" s="657"/>
      <c r="L1809" s="663"/>
      <c r="M1809" s="657">
        <f>SUM(M1810)+M1822</f>
        <v>2460400</v>
      </c>
      <c r="N1809" s="657">
        <f>SUM(N1810)+N1822</f>
        <v>1863219</v>
      </c>
      <c r="O1809" s="890">
        <f aca="true" t="shared" si="224" ref="O1809:O1848">N1809/M1809*100</f>
        <v>75.72829621199804</v>
      </c>
      <c r="P1809" s="657"/>
      <c r="Q1809" s="657"/>
      <c r="R1809" s="842"/>
    </row>
    <row r="1810" spans="1:18" s="723" customFormat="1" ht="48">
      <c r="A1810" s="709">
        <v>2480</v>
      </c>
      <c r="B1810" s="776" t="s">
        <v>165</v>
      </c>
      <c r="C1810" s="670">
        <f>SUM(C1811:C1821)</f>
        <v>3757200</v>
      </c>
      <c r="D1810" s="685">
        <f t="shared" si="219"/>
        <v>3887200</v>
      </c>
      <c r="E1810" s="686">
        <f>SUM(H1810+K1810+N1810+Q1810)</f>
        <v>2801141</v>
      </c>
      <c r="F1810" s="668">
        <f t="shared" si="222"/>
        <v>72.0606349043013</v>
      </c>
      <c r="G1810" s="670">
        <f>SUM(G1811:G1823)</f>
        <v>1426800</v>
      </c>
      <c r="H1810" s="686">
        <f>SUM(H1811:H1815)</f>
        <v>937922</v>
      </c>
      <c r="I1810" s="758">
        <f t="shared" si="223"/>
        <v>65.73605270535464</v>
      </c>
      <c r="J1810" s="777">
        <f>H1810-H1811-H1813</f>
        <v>0</v>
      </c>
      <c r="K1810" s="686"/>
      <c r="L1810" s="690"/>
      <c r="M1810" s="686">
        <f>SUM(M1811:M1821)</f>
        <v>2460400</v>
      </c>
      <c r="N1810" s="686">
        <f>SUM(N1811:N1821)</f>
        <v>1863219</v>
      </c>
      <c r="O1810" s="758">
        <f t="shared" si="224"/>
        <v>75.72829621199804</v>
      </c>
      <c r="P1810" s="686"/>
      <c r="Q1810" s="686"/>
      <c r="R1810" s="760"/>
    </row>
    <row r="1811" spans="1:18" s="864" customFormat="1" ht="12.75">
      <c r="A1811" s="795"/>
      <c r="B1811" s="796" t="s">
        <v>166</v>
      </c>
      <c r="C1811" s="797">
        <f>2319100+1176800</f>
        <v>3495900</v>
      </c>
      <c r="D1811" s="798">
        <f aca="true" t="shared" si="225" ref="D1811:D1895">G1811+J1811+P1811+M1811</f>
        <v>3567900</v>
      </c>
      <c r="E1811" s="798">
        <f aca="true" t="shared" si="226" ref="E1811:E1821">SUM(H1811+K1811+N1811+Q1811)</f>
        <v>2659244</v>
      </c>
      <c r="F1811" s="644">
        <f t="shared" si="222"/>
        <v>74.53247008043947</v>
      </c>
      <c r="G1811" s="800">
        <f>1100800+76000+72000+50000</f>
        <v>1298800</v>
      </c>
      <c r="H1811" s="798">
        <f>98066+98066+98066+98066+11250-11250+98066+98066+37328+98066+98066+98066</f>
        <v>919922</v>
      </c>
      <c r="I1811" s="492">
        <f t="shared" si="223"/>
        <v>70.82861102556205</v>
      </c>
      <c r="J1811" s="799"/>
      <c r="K1811" s="798"/>
      <c r="L1811" s="649"/>
      <c r="M1811" s="798">
        <f>2319100-50000</f>
        <v>2269100</v>
      </c>
      <c r="N1811" s="798">
        <f>193258+193258+193258+193258+193258+193258+193258+193258+193258</f>
        <v>1739322</v>
      </c>
      <c r="O1811" s="492">
        <f t="shared" si="224"/>
        <v>76.65250539861619</v>
      </c>
      <c r="P1811" s="798"/>
      <c r="Q1811" s="798"/>
      <c r="R1811" s="821"/>
    </row>
    <row r="1812" spans="1:18" s="864" customFormat="1" ht="12.75">
      <c r="A1812" s="795"/>
      <c r="B1812" s="796" t="s">
        <v>201</v>
      </c>
      <c r="C1812" s="797"/>
      <c r="D1812" s="798">
        <f>G1812+J1812+P1812+M1812</f>
        <v>30000</v>
      </c>
      <c r="E1812" s="798">
        <f>SUM(H1812+K1812+N1812+Q1812)</f>
        <v>30000</v>
      </c>
      <c r="F1812" s="644">
        <f>E1812/D1812*100</f>
        <v>100</v>
      </c>
      <c r="G1812" s="800"/>
      <c r="H1812" s="798"/>
      <c r="I1812" s="492"/>
      <c r="J1812" s="799"/>
      <c r="K1812" s="798"/>
      <c r="L1812" s="649"/>
      <c r="M1812" s="798">
        <v>30000</v>
      </c>
      <c r="N1812" s="798">
        <v>30000</v>
      </c>
      <c r="O1812" s="492">
        <f t="shared" si="224"/>
        <v>100</v>
      </c>
      <c r="P1812" s="798"/>
      <c r="Q1812" s="798"/>
      <c r="R1812" s="821"/>
    </row>
    <row r="1813" spans="1:18" s="864" customFormat="1" ht="24">
      <c r="A1813" s="795"/>
      <c r="B1813" s="796" t="s">
        <v>202</v>
      </c>
      <c r="C1813" s="797"/>
      <c r="D1813" s="798">
        <f>G1813+J1813+P1813+M1813</f>
        <v>118000</v>
      </c>
      <c r="E1813" s="798">
        <f>SUM(H1813+K1813+N1813+Q1813)</f>
        <v>18000</v>
      </c>
      <c r="F1813" s="644">
        <f>E1813/D1813*100</f>
        <v>15.254237288135593</v>
      </c>
      <c r="G1813" s="800">
        <f>18000+100000</f>
        <v>118000</v>
      </c>
      <c r="H1813" s="798">
        <v>18000</v>
      </c>
      <c r="I1813" s="492">
        <f t="shared" si="223"/>
        <v>15.254237288135593</v>
      </c>
      <c r="J1813" s="799"/>
      <c r="K1813" s="798"/>
      <c r="L1813" s="649"/>
      <c r="M1813" s="798"/>
      <c r="N1813" s="798"/>
      <c r="O1813" s="492"/>
      <c r="P1813" s="798"/>
      <c r="Q1813" s="798"/>
      <c r="R1813" s="821"/>
    </row>
    <row r="1814" spans="1:18" s="864" customFormat="1" ht="36">
      <c r="A1814" s="795"/>
      <c r="B1814" s="796" t="s">
        <v>171</v>
      </c>
      <c r="C1814" s="797">
        <v>100000</v>
      </c>
      <c r="D1814" s="798">
        <f t="shared" si="225"/>
        <v>0</v>
      </c>
      <c r="E1814" s="798">
        <f t="shared" si="226"/>
        <v>0</v>
      </c>
      <c r="F1814" s="644" t="e">
        <f t="shared" si="222"/>
        <v>#DIV/0!</v>
      </c>
      <c r="G1814" s="800"/>
      <c r="H1814" s="798"/>
      <c r="I1814" s="492"/>
      <c r="J1814" s="799"/>
      <c r="K1814" s="798"/>
      <c r="L1814" s="649"/>
      <c r="M1814" s="798">
        <f>100000-100000</f>
        <v>0</v>
      </c>
      <c r="N1814" s="798"/>
      <c r="O1814" s="492" t="e">
        <f t="shared" si="224"/>
        <v>#DIV/0!</v>
      </c>
      <c r="P1814" s="798"/>
      <c r="Q1814" s="798"/>
      <c r="R1814" s="821"/>
    </row>
    <row r="1815" spans="1:18" s="864" customFormat="1" ht="12.75" hidden="1">
      <c r="A1815" s="795"/>
      <c r="B1815" s="796" t="s">
        <v>203</v>
      </c>
      <c r="C1815" s="797"/>
      <c r="D1815" s="798">
        <f t="shared" si="225"/>
        <v>0</v>
      </c>
      <c r="E1815" s="798">
        <f t="shared" si="226"/>
        <v>0</v>
      </c>
      <c r="F1815" s="644" t="e">
        <f t="shared" si="222"/>
        <v>#DIV/0!</v>
      </c>
      <c r="G1815" s="800"/>
      <c r="H1815" s="798"/>
      <c r="I1815" s="492"/>
      <c r="J1815" s="799"/>
      <c r="K1815" s="798"/>
      <c r="L1815" s="649"/>
      <c r="M1815" s="798"/>
      <c r="N1815" s="798"/>
      <c r="O1815" s="492" t="e">
        <f t="shared" si="224"/>
        <v>#DIV/0!</v>
      </c>
      <c r="P1815" s="798"/>
      <c r="Q1815" s="798"/>
      <c r="R1815" s="821"/>
    </row>
    <row r="1816" spans="1:18" s="864" customFormat="1" ht="12.75">
      <c r="A1816" s="795"/>
      <c r="B1816" s="796" t="s">
        <v>204</v>
      </c>
      <c r="C1816" s="797">
        <v>40000</v>
      </c>
      <c r="D1816" s="798">
        <f t="shared" si="225"/>
        <v>40000</v>
      </c>
      <c r="E1816" s="798">
        <f t="shared" si="226"/>
        <v>31450</v>
      </c>
      <c r="F1816" s="644">
        <f t="shared" si="222"/>
        <v>78.625</v>
      </c>
      <c r="G1816" s="800"/>
      <c r="H1816" s="798"/>
      <c r="I1816" s="492"/>
      <c r="J1816" s="799"/>
      <c r="K1816" s="798"/>
      <c r="L1816" s="649"/>
      <c r="M1816" s="798">
        <v>40000</v>
      </c>
      <c r="N1816" s="798">
        <f>10000+10000+11450</f>
        <v>31450</v>
      </c>
      <c r="O1816" s="492">
        <f t="shared" si="224"/>
        <v>78.625</v>
      </c>
      <c r="P1816" s="798"/>
      <c r="Q1816" s="798"/>
      <c r="R1816" s="821"/>
    </row>
    <row r="1817" spans="1:18" s="864" customFormat="1" ht="24">
      <c r="A1817" s="795"/>
      <c r="B1817" s="796" t="s">
        <v>205</v>
      </c>
      <c r="C1817" s="797">
        <v>61300</v>
      </c>
      <c r="D1817" s="798">
        <f t="shared" si="225"/>
        <v>61300</v>
      </c>
      <c r="E1817" s="798">
        <f>SUM(H1817+K1817+N1817+Q1817)</f>
        <v>32447</v>
      </c>
      <c r="F1817" s="644">
        <f>E1817/D1817*100</f>
        <v>52.93148450244698</v>
      </c>
      <c r="G1817" s="800"/>
      <c r="H1817" s="798"/>
      <c r="I1817" s="492"/>
      <c r="J1817" s="799"/>
      <c r="K1817" s="798"/>
      <c r="L1817" s="649"/>
      <c r="M1817" s="798">
        <v>61300</v>
      </c>
      <c r="N1817" s="798">
        <f>15300+15300+1847</f>
        <v>32447</v>
      </c>
      <c r="O1817" s="492">
        <f t="shared" si="224"/>
        <v>52.93148450244698</v>
      </c>
      <c r="P1817" s="798"/>
      <c r="Q1817" s="798"/>
      <c r="R1817" s="821"/>
    </row>
    <row r="1818" spans="1:18" s="864" customFormat="1" ht="12" customHeight="1" hidden="1">
      <c r="A1818" s="795"/>
      <c r="B1818" s="796" t="s">
        <v>206</v>
      </c>
      <c r="C1818" s="797"/>
      <c r="D1818" s="798">
        <f t="shared" si="225"/>
        <v>0</v>
      </c>
      <c r="E1818" s="798">
        <f>SUM(H1818+K1818+N1818+Q1818)</f>
        <v>0</v>
      </c>
      <c r="F1818" s="644" t="e">
        <f>E1818/D1818*100</f>
        <v>#DIV/0!</v>
      </c>
      <c r="G1818" s="800"/>
      <c r="H1818" s="798"/>
      <c r="I1818" s="492" t="e">
        <f t="shared" si="223"/>
        <v>#DIV/0!</v>
      </c>
      <c r="J1818" s="799"/>
      <c r="K1818" s="798"/>
      <c r="L1818" s="649"/>
      <c r="M1818" s="798"/>
      <c r="N1818" s="798"/>
      <c r="O1818" s="492" t="e">
        <f t="shared" si="224"/>
        <v>#DIV/0!</v>
      </c>
      <c r="P1818" s="798"/>
      <c r="Q1818" s="798"/>
      <c r="R1818" s="821"/>
    </row>
    <row r="1819" spans="1:18" s="864" customFormat="1" ht="12.75">
      <c r="A1819" s="795"/>
      <c r="B1819" s="796" t="s">
        <v>207</v>
      </c>
      <c r="C1819" s="797">
        <v>15000</v>
      </c>
      <c r="D1819" s="798">
        <f t="shared" si="225"/>
        <v>15000</v>
      </c>
      <c r="E1819" s="798">
        <f t="shared" si="226"/>
        <v>7500</v>
      </c>
      <c r="F1819" s="644">
        <f t="shared" si="222"/>
        <v>50</v>
      </c>
      <c r="G1819" s="800"/>
      <c r="H1819" s="798"/>
      <c r="I1819" s="492"/>
      <c r="J1819" s="799"/>
      <c r="K1819" s="798"/>
      <c r="L1819" s="649"/>
      <c r="M1819" s="798">
        <v>15000</v>
      </c>
      <c r="N1819" s="798">
        <f>3750+3750</f>
        <v>7500</v>
      </c>
      <c r="O1819" s="492">
        <f t="shared" si="224"/>
        <v>50</v>
      </c>
      <c r="P1819" s="798"/>
      <c r="Q1819" s="798"/>
      <c r="R1819" s="821"/>
    </row>
    <row r="1820" spans="1:18" s="864" customFormat="1" ht="24" hidden="1">
      <c r="A1820" s="795"/>
      <c r="B1820" s="796" t="s">
        <v>208</v>
      </c>
      <c r="C1820" s="797"/>
      <c r="D1820" s="798">
        <f t="shared" si="225"/>
        <v>0</v>
      </c>
      <c r="E1820" s="798">
        <f t="shared" si="226"/>
        <v>0</v>
      </c>
      <c r="F1820" s="644" t="e">
        <f t="shared" si="222"/>
        <v>#DIV/0!</v>
      </c>
      <c r="G1820" s="800"/>
      <c r="H1820" s="798"/>
      <c r="I1820" s="492"/>
      <c r="J1820" s="799"/>
      <c r="K1820" s="798"/>
      <c r="L1820" s="649"/>
      <c r="M1820" s="798"/>
      <c r="N1820" s="798"/>
      <c r="O1820" s="492" t="e">
        <f t="shared" si="224"/>
        <v>#DIV/0!</v>
      </c>
      <c r="P1820" s="798"/>
      <c r="Q1820" s="798"/>
      <c r="R1820" s="821"/>
    </row>
    <row r="1821" spans="1:18" s="864" customFormat="1" ht="24">
      <c r="A1821" s="809"/>
      <c r="B1821" s="810" t="s">
        <v>209</v>
      </c>
      <c r="C1821" s="811">
        <v>45000</v>
      </c>
      <c r="D1821" s="812">
        <f t="shared" si="225"/>
        <v>45000</v>
      </c>
      <c r="E1821" s="812">
        <f t="shared" si="226"/>
        <v>22500</v>
      </c>
      <c r="F1821" s="705">
        <f t="shared" si="222"/>
        <v>50</v>
      </c>
      <c r="G1821" s="814"/>
      <c r="H1821" s="812"/>
      <c r="I1821" s="766"/>
      <c r="J1821" s="813"/>
      <c r="K1821" s="812"/>
      <c r="L1821" s="768"/>
      <c r="M1821" s="812">
        <v>45000</v>
      </c>
      <c r="N1821" s="812">
        <f>11250+11250-11250+11250</f>
        <v>22500</v>
      </c>
      <c r="O1821" s="766">
        <f t="shared" si="224"/>
        <v>50</v>
      </c>
      <c r="P1821" s="812"/>
      <c r="Q1821" s="812"/>
      <c r="R1821" s="915"/>
    </row>
    <row r="1822" spans="1:18" s="723" customFormat="1" ht="108" hidden="1">
      <c r="A1822" s="762">
        <v>6220</v>
      </c>
      <c r="B1822" s="735" t="s">
        <v>210</v>
      </c>
      <c r="C1822" s="781"/>
      <c r="D1822" s="798">
        <f t="shared" si="225"/>
        <v>0</v>
      </c>
      <c r="E1822" s="785">
        <f>SUM(H1822+K1822+N1822+Q1822)</f>
        <v>0</v>
      </c>
      <c r="F1822" s="705" t="e">
        <f t="shared" si="222"/>
        <v>#DIV/0!</v>
      </c>
      <c r="G1822" s="907"/>
      <c r="H1822" s="785"/>
      <c r="I1822" s="492" t="e">
        <f>H1822/G1822*100</f>
        <v>#DIV/0!</v>
      </c>
      <c r="J1822" s="782"/>
      <c r="K1822" s="785"/>
      <c r="L1822" s="768"/>
      <c r="M1822" s="785"/>
      <c r="N1822" s="785"/>
      <c r="O1822" s="492" t="e">
        <f t="shared" si="224"/>
        <v>#DIV/0!</v>
      </c>
      <c r="P1822" s="785"/>
      <c r="Q1822" s="785"/>
      <c r="R1822" s="770"/>
    </row>
    <row r="1823" spans="1:18" s="938" customFormat="1" ht="36">
      <c r="A1823" s="1114"/>
      <c r="B1823" s="878" t="s">
        <v>211</v>
      </c>
      <c r="C1823" s="1115"/>
      <c r="D1823" s="880">
        <f t="shared" si="225"/>
        <v>10000</v>
      </c>
      <c r="E1823" s="1097"/>
      <c r="F1823" s="1116"/>
      <c r="G1823" s="1117">
        <v>10000</v>
      </c>
      <c r="H1823" s="1097"/>
      <c r="I1823" s="1118"/>
      <c r="J1823" s="1119"/>
      <c r="K1823" s="1097"/>
      <c r="L1823" s="1120"/>
      <c r="M1823" s="1097"/>
      <c r="N1823" s="1097"/>
      <c r="O1823" s="1118"/>
      <c r="P1823" s="1097"/>
      <c r="Q1823" s="1097"/>
      <c r="R1823" s="1121"/>
    </row>
    <row r="1824" spans="1:18" s="723" customFormat="1" ht="18.75" customHeight="1">
      <c r="A1824" s="724">
        <v>92118</v>
      </c>
      <c r="B1824" s="854" t="s">
        <v>646</v>
      </c>
      <c r="C1824" s="726">
        <f>SUM(C1825)+C1840+C1846+C1848+C1847</f>
        <v>2014200</v>
      </c>
      <c r="D1824" s="674">
        <f t="shared" si="225"/>
        <v>2959850</v>
      </c>
      <c r="E1824" s="657">
        <f>H1824+K1824+Q1824+N1824</f>
        <v>2380061</v>
      </c>
      <c r="F1824" s="658">
        <f t="shared" si="222"/>
        <v>80.41154112539488</v>
      </c>
      <c r="G1824" s="841"/>
      <c r="H1824" s="657"/>
      <c r="I1824" s="890"/>
      <c r="J1824" s="662"/>
      <c r="K1824" s="657"/>
      <c r="L1824" s="663"/>
      <c r="M1824" s="657">
        <f>SUM(M1825)+M1840+M1846+M1848+M1847</f>
        <v>2889850</v>
      </c>
      <c r="N1824" s="657">
        <f>SUM(N1825)+N1840+N1846+N1848+N1847</f>
        <v>2310061</v>
      </c>
      <c r="O1824" s="890">
        <f t="shared" si="224"/>
        <v>79.93705555651678</v>
      </c>
      <c r="P1824" s="657">
        <f>P1825</f>
        <v>70000</v>
      </c>
      <c r="Q1824" s="657">
        <f>Q1825</f>
        <v>70000</v>
      </c>
      <c r="R1824" s="842"/>
    </row>
    <row r="1825" spans="1:18" s="723" customFormat="1" ht="48">
      <c r="A1825" s="709">
        <v>2480</v>
      </c>
      <c r="B1825" s="776" t="s">
        <v>165</v>
      </c>
      <c r="C1825" s="670">
        <f>SUM(C1826:C1838)</f>
        <v>1794200</v>
      </c>
      <c r="D1825" s="685">
        <f t="shared" si="225"/>
        <v>1926850</v>
      </c>
      <c r="E1825" s="686">
        <f>SUM(H1825+K1825+N1825+Q1825)</f>
        <v>1562747</v>
      </c>
      <c r="F1825" s="668">
        <f t="shared" si="222"/>
        <v>81.10371850429458</v>
      </c>
      <c r="G1825" s="666"/>
      <c r="H1825" s="643"/>
      <c r="I1825" s="758"/>
      <c r="J1825" s="730"/>
      <c r="K1825" s="667"/>
      <c r="L1825" s="649"/>
      <c r="M1825" s="670">
        <f>SUM(M1826:M1839)</f>
        <v>1856850</v>
      </c>
      <c r="N1825" s="686">
        <f>SUM(N1826:N1839)</f>
        <v>1492747</v>
      </c>
      <c r="O1825" s="492">
        <f t="shared" si="224"/>
        <v>80.39136171473193</v>
      </c>
      <c r="P1825" s="667">
        <f>P1839</f>
        <v>70000</v>
      </c>
      <c r="Q1825" s="667">
        <f>Q1839</f>
        <v>70000</v>
      </c>
      <c r="R1825" s="737"/>
    </row>
    <row r="1826" spans="1:18" s="864" customFormat="1" ht="12.75">
      <c r="A1826" s="795"/>
      <c r="B1826" s="796" t="s">
        <v>166</v>
      </c>
      <c r="C1826" s="797">
        <f>1523200+83000</f>
        <v>1606200</v>
      </c>
      <c r="D1826" s="798">
        <f t="shared" si="225"/>
        <v>1606200</v>
      </c>
      <c r="E1826" s="798">
        <f aca="true" t="shared" si="227" ref="E1826:E1842">SUM(H1826+K1826+N1826+Q1826)</f>
        <v>1338498</v>
      </c>
      <c r="F1826" s="644">
        <f t="shared" si="222"/>
        <v>83.33320881583862</v>
      </c>
      <c r="G1826" s="797"/>
      <c r="H1826" s="798"/>
      <c r="I1826" s="492"/>
      <c r="J1826" s="799"/>
      <c r="K1826" s="798"/>
      <c r="L1826" s="649"/>
      <c r="M1826" s="797">
        <f>1523200+83000</f>
        <v>1606200</v>
      </c>
      <c r="N1826" s="798">
        <f>126933+126933+13832+133850+133850+101000+133850-101000+133850+133850+133850+133850+133850</f>
        <v>1338498</v>
      </c>
      <c r="O1826" s="492">
        <f t="shared" si="224"/>
        <v>83.33320881583862</v>
      </c>
      <c r="P1826" s="798"/>
      <c r="Q1826" s="798"/>
      <c r="R1826" s="821"/>
    </row>
    <row r="1827" spans="1:18" s="864" customFormat="1" ht="24">
      <c r="A1827" s="795"/>
      <c r="B1827" s="796" t="s">
        <v>212</v>
      </c>
      <c r="C1827" s="797">
        <v>48000</v>
      </c>
      <c r="D1827" s="798">
        <f t="shared" si="225"/>
        <v>48000</v>
      </c>
      <c r="E1827" s="798">
        <f t="shared" si="227"/>
        <v>42599</v>
      </c>
      <c r="F1827" s="644">
        <f t="shared" si="222"/>
        <v>88.74791666666667</v>
      </c>
      <c r="G1827" s="797"/>
      <c r="H1827" s="798"/>
      <c r="I1827" s="492"/>
      <c r="J1827" s="799"/>
      <c r="K1827" s="798"/>
      <c r="L1827" s="649"/>
      <c r="M1827" s="797">
        <v>48000</v>
      </c>
      <c r="N1827" s="798">
        <f>10649+3600+28350</f>
        <v>42599</v>
      </c>
      <c r="O1827" s="492">
        <f t="shared" si="224"/>
        <v>88.74791666666667</v>
      </c>
      <c r="P1827" s="798"/>
      <c r="Q1827" s="798"/>
      <c r="R1827" s="821"/>
    </row>
    <row r="1828" spans="1:18" s="864" customFormat="1" ht="12.75">
      <c r="A1828" s="795"/>
      <c r="B1828" s="796" t="s">
        <v>213</v>
      </c>
      <c r="C1828" s="797"/>
      <c r="D1828" s="798">
        <f>G1828+J1828+P1828+M1828</f>
        <v>5650</v>
      </c>
      <c r="E1828" s="798">
        <f>SUM(H1828+K1828+N1828+Q1828)</f>
        <v>5650</v>
      </c>
      <c r="F1828" s="644">
        <f>E1828/D1828*100</f>
        <v>100</v>
      </c>
      <c r="G1828" s="797"/>
      <c r="H1828" s="798"/>
      <c r="I1828" s="492"/>
      <c r="J1828" s="799"/>
      <c r="K1828" s="798"/>
      <c r="L1828" s="649"/>
      <c r="M1828" s="797">
        <v>5650</v>
      </c>
      <c r="N1828" s="798">
        <v>5650</v>
      </c>
      <c r="O1828" s="492">
        <f t="shared" si="224"/>
        <v>100</v>
      </c>
      <c r="P1828" s="798"/>
      <c r="Q1828" s="798"/>
      <c r="R1828" s="821"/>
    </row>
    <row r="1829" spans="1:18" s="864" customFormat="1" ht="12.75">
      <c r="A1829" s="795"/>
      <c r="B1829" s="796" t="s">
        <v>214</v>
      </c>
      <c r="C1829" s="797"/>
      <c r="D1829" s="798">
        <f>G1829+J1829+P1829+M1829</f>
        <v>5000</v>
      </c>
      <c r="E1829" s="798"/>
      <c r="F1829" s="644">
        <f>E1829/D1829*100</f>
        <v>0</v>
      </c>
      <c r="G1829" s="797"/>
      <c r="H1829" s="798"/>
      <c r="I1829" s="492"/>
      <c r="J1829" s="799"/>
      <c r="K1829" s="798"/>
      <c r="L1829" s="649"/>
      <c r="M1829" s="797">
        <v>5000</v>
      </c>
      <c r="N1829" s="798"/>
      <c r="O1829" s="492">
        <f t="shared" si="224"/>
        <v>0</v>
      </c>
      <c r="P1829" s="798"/>
      <c r="Q1829" s="798"/>
      <c r="R1829" s="821"/>
    </row>
    <row r="1830" spans="1:18" s="864" customFormat="1" ht="24">
      <c r="A1830" s="795"/>
      <c r="B1830" s="796" t="s">
        <v>215</v>
      </c>
      <c r="C1830" s="797"/>
      <c r="D1830" s="798">
        <f t="shared" si="225"/>
        <v>12000</v>
      </c>
      <c r="E1830" s="798">
        <f t="shared" si="227"/>
        <v>0</v>
      </c>
      <c r="F1830" s="644">
        <f t="shared" si="222"/>
        <v>0</v>
      </c>
      <c r="G1830" s="797"/>
      <c r="H1830" s="798"/>
      <c r="I1830" s="492"/>
      <c r="J1830" s="799"/>
      <c r="K1830" s="798"/>
      <c r="L1830" s="649"/>
      <c r="M1830" s="797">
        <v>12000</v>
      </c>
      <c r="N1830" s="798"/>
      <c r="O1830" s="492">
        <f t="shared" si="224"/>
        <v>0</v>
      </c>
      <c r="P1830" s="798"/>
      <c r="Q1830" s="798"/>
      <c r="R1830" s="821"/>
    </row>
    <row r="1831" spans="1:18" s="864" customFormat="1" ht="24">
      <c r="A1831" s="795"/>
      <c r="B1831" s="796" t="s">
        <v>216</v>
      </c>
      <c r="C1831" s="797">
        <v>25000</v>
      </c>
      <c r="D1831" s="798">
        <f t="shared" si="225"/>
        <v>25000</v>
      </c>
      <c r="E1831" s="798">
        <f t="shared" si="227"/>
        <v>25000</v>
      </c>
      <c r="F1831" s="644">
        <f t="shared" si="222"/>
        <v>100</v>
      </c>
      <c r="G1831" s="797"/>
      <c r="H1831" s="798"/>
      <c r="I1831" s="492"/>
      <c r="J1831" s="799"/>
      <c r="K1831" s="798"/>
      <c r="L1831" s="649"/>
      <c r="M1831" s="797">
        <v>25000</v>
      </c>
      <c r="N1831" s="798">
        <v>25000</v>
      </c>
      <c r="O1831" s="492">
        <f t="shared" si="224"/>
        <v>100</v>
      </c>
      <c r="P1831" s="798"/>
      <c r="Q1831" s="798"/>
      <c r="R1831" s="821"/>
    </row>
    <row r="1832" spans="1:18" s="864" customFormat="1" ht="36">
      <c r="A1832" s="795"/>
      <c r="B1832" s="796" t="s">
        <v>171</v>
      </c>
      <c r="C1832" s="797">
        <v>100000</v>
      </c>
      <c r="D1832" s="798">
        <f t="shared" si="225"/>
        <v>0</v>
      </c>
      <c r="E1832" s="798">
        <f t="shared" si="227"/>
        <v>0</v>
      </c>
      <c r="F1832" s="644" t="e">
        <f t="shared" si="222"/>
        <v>#DIV/0!</v>
      </c>
      <c r="G1832" s="797"/>
      <c r="H1832" s="798"/>
      <c r="I1832" s="647"/>
      <c r="J1832" s="799"/>
      <c r="K1832" s="798"/>
      <c r="L1832" s="649"/>
      <c r="M1832" s="797">
        <f>100000-11000-19336-10664-59000</f>
        <v>0</v>
      </c>
      <c r="N1832" s="798">
        <f>10664+11000+19336-11000-19336-10664</f>
        <v>0</v>
      </c>
      <c r="O1832" s="492" t="e">
        <f t="shared" si="224"/>
        <v>#DIV/0!</v>
      </c>
      <c r="P1832" s="798"/>
      <c r="Q1832" s="798"/>
      <c r="R1832" s="821"/>
    </row>
    <row r="1833" spans="1:18" s="864" customFormat="1" ht="96">
      <c r="A1833" s="795" t="s">
        <v>168</v>
      </c>
      <c r="B1833" s="1122" t="s">
        <v>217</v>
      </c>
      <c r="C1833" s="797"/>
      <c r="D1833" s="798">
        <f>G1833+J1833+P1833+M1833</f>
        <v>11000</v>
      </c>
      <c r="E1833" s="798">
        <f>SUM(H1833+K1833+N1833+Q1833)</f>
        <v>11000</v>
      </c>
      <c r="F1833" s="644">
        <f>E1833/D1833*100</f>
        <v>100</v>
      </c>
      <c r="G1833" s="797"/>
      <c r="H1833" s="798"/>
      <c r="I1833" s="647"/>
      <c r="J1833" s="799"/>
      <c r="K1833" s="798"/>
      <c r="L1833" s="649"/>
      <c r="M1833" s="797">
        <v>11000</v>
      </c>
      <c r="N1833" s="798">
        <v>11000</v>
      </c>
      <c r="O1833" s="492">
        <f t="shared" si="224"/>
        <v>100</v>
      </c>
      <c r="P1833" s="798"/>
      <c r="Q1833" s="798"/>
      <c r="R1833" s="821"/>
    </row>
    <row r="1834" spans="1:18" s="864" customFormat="1" ht="24">
      <c r="A1834" s="795" t="s">
        <v>168</v>
      </c>
      <c r="B1834" s="1122" t="s">
        <v>218</v>
      </c>
      <c r="C1834" s="797"/>
      <c r="D1834" s="798">
        <f>G1834+J1834+P1834+M1834</f>
        <v>19336</v>
      </c>
      <c r="E1834" s="798">
        <f>SUM(H1834+K1834+N1834+Q1834)</f>
        <v>19336</v>
      </c>
      <c r="F1834" s="644">
        <f>E1834/D1834*100</f>
        <v>100</v>
      </c>
      <c r="G1834" s="797"/>
      <c r="H1834" s="798"/>
      <c r="I1834" s="647"/>
      <c r="J1834" s="799"/>
      <c r="K1834" s="798"/>
      <c r="L1834" s="649"/>
      <c r="M1834" s="797">
        <v>19336</v>
      </c>
      <c r="N1834" s="798">
        <v>19336</v>
      </c>
      <c r="O1834" s="492">
        <f t="shared" si="224"/>
        <v>100</v>
      </c>
      <c r="P1834" s="798"/>
      <c r="Q1834" s="798"/>
      <c r="R1834" s="821"/>
    </row>
    <row r="1835" spans="1:18" s="864" customFormat="1" ht="72">
      <c r="A1835" s="795" t="s">
        <v>168</v>
      </c>
      <c r="B1835" s="1122" t="s">
        <v>219</v>
      </c>
      <c r="C1835" s="797"/>
      <c r="D1835" s="798">
        <f>G1835+J1835+P1835+M1835</f>
        <v>10664</v>
      </c>
      <c r="E1835" s="798">
        <f>SUM(H1835+K1835+N1835+Q1835)</f>
        <v>10664</v>
      </c>
      <c r="F1835" s="644">
        <f>E1835/D1835*100</f>
        <v>100</v>
      </c>
      <c r="G1835" s="797"/>
      <c r="H1835" s="798"/>
      <c r="I1835" s="647"/>
      <c r="J1835" s="799"/>
      <c r="K1835" s="798"/>
      <c r="L1835" s="649"/>
      <c r="M1835" s="797">
        <v>10664</v>
      </c>
      <c r="N1835" s="798">
        <v>10664</v>
      </c>
      <c r="O1835" s="492">
        <f t="shared" si="224"/>
        <v>100</v>
      </c>
      <c r="P1835" s="798"/>
      <c r="Q1835" s="798"/>
      <c r="R1835" s="821"/>
    </row>
    <row r="1836" spans="1:18" s="864" customFormat="1" ht="72">
      <c r="A1836" s="795" t="s">
        <v>168</v>
      </c>
      <c r="B1836" s="1122" t="s">
        <v>220</v>
      </c>
      <c r="C1836" s="797"/>
      <c r="D1836" s="798">
        <f>G1836+J1836+P1836+M1836</f>
        <v>59000</v>
      </c>
      <c r="E1836" s="798"/>
      <c r="F1836" s="644"/>
      <c r="G1836" s="797"/>
      <c r="H1836" s="798"/>
      <c r="I1836" s="647"/>
      <c r="J1836" s="799"/>
      <c r="K1836" s="798"/>
      <c r="L1836" s="649"/>
      <c r="M1836" s="797">
        <v>59000</v>
      </c>
      <c r="N1836" s="798"/>
      <c r="O1836" s="492">
        <f t="shared" si="224"/>
        <v>0</v>
      </c>
      <c r="P1836" s="798"/>
      <c r="Q1836" s="798"/>
      <c r="R1836" s="821"/>
    </row>
    <row r="1837" spans="1:18" s="864" customFormat="1" ht="36">
      <c r="A1837" s="795"/>
      <c r="B1837" s="796" t="s">
        <v>221</v>
      </c>
      <c r="C1837" s="797"/>
      <c r="D1837" s="798">
        <f t="shared" si="225"/>
        <v>40000</v>
      </c>
      <c r="E1837" s="798">
        <f t="shared" si="227"/>
        <v>40000</v>
      </c>
      <c r="F1837" s="644">
        <f t="shared" si="222"/>
        <v>100</v>
      </c>
      <c r="G1837" s="797"/>
      <c r="H1837" s="798"/>
      <c r="I1837" s="647"/>
      <c r="J1837" s="799"/>
      <c r="K1837" s="798"/>
      <c r="L1837" s="649"/>
      <c r="M1837" s="797">
        <v>40000</v>
      </c>
      <c r="N1837" s="798">
        <v>40000</v>
      </c>
      <c r="O1837" s="492">
        <f t="shared" si="224"/>
        <v>100</v>
      </c>
      <c r="P1837" s="798"/>
      <c r="Q1837" s="798"/>
      <c r="R1837" s="821"/>
    </row>
    <row r="1838" spans="1:18" s="864" customFormat="1" ht="36">
      <c r="A1838" s="795"/>
      <c r="B1838" s="796" t="s">
        <v>222</v>
      </c>
      <c r="C1838" s="797">
        <v>15000</v>
      </c>
      <c r="D1838" s="798">
        <f t="shared" si="225"/>
        <v>15000</v>
      </c>
      <c r="E1838" s="798">
        <f t="shared" si="227"/>
        <v>0</v>
      </c>
      <c r="F1838" s="644">
        <f t="shared" si="222"/>
        <v>0</v>
      </c>
      <c r="G1838" s="797"/>
      <c r="H1838" s="798"/>
      <c r="I1838" s="647"/>
      <c r="J1838" s="799"/>
      <c r="K1838" s="798"/>
      <c r="L1838" s="649"/>
      <c r="M1838" s="797">
        <v>15000</v>
      </c>
      <c r="N1838" s="798"/>
      <c r="O1838" s="492">
        <f t="shared" si="224"/>
        <v>0</v>
      </c>
      <c r="P1838" s="798"/>
      <c r="Q1838" s="798"/>
      <c r="R1838" s="821"/>
    </row>
    <row r="1839" spans="1:18" s="864" customFormat="1" ht="12.75">
      <c r="A1839" s="795"/>
      <c r="B1839" s="796" t="s">
        <v>223</v>
      </c>
      <c r="C1839" s="797"/>
      <c r="D1839" s="798">
        <f t="shared" si="225"/>
        <v>70000</v>
      </c>
      <c r="E1839" s="798"/>
      <c r="F1839" s="644"/>
      <c r="G1839" s="797"/>
      <c r="H1839" s="798"/>
      <c r="I1839" s="647"/>
      <c r="J1839" s="799"/>
      <c r="K1839" s="798"/>
      <c r="L1839" s="649"/>
      <c r="M1839" s="799"/>
      <c r="N1839" s="798"/>
      <c r="O1839" s="492"/>
      <c r="P1839" s="798">
        <v>70000</v>
      </c>
      <c r="Q1839" s="798">
        <v>70000</v>
      </c>
      <c r="R1839" s="821"/>
    </row>
    <row r="1840" spans="1:18" s="723" customFormat="1" ht="96">
      <c r="A1840" s="728">
        <v>6220</v>
      </c>
      <c r="B1840" s="735" t="s">
        <v>224</v>
      </c>
      <c r="C1840" s="666">
        <f>SUM(C1842:C1845)</f>
        <v>0</v>
      </c>
      <c r="D1840" s="643">
        <f t="shared" si="225"/>
        <v>503000</v>
      </c>
      <c r="E1840" s="667">
        <f t="shared" si="227"/>
        <v>303000</v>
      </c>
      <c r="F1840" s="644">
        <f t="shared" si="222"/>
        <v>60.238568588469185</v>
      </c>
      <c r="G1840" s="666"/>
      <c r="H1840" s="643"/>
      <c r="I1840" s="647"/>
      <c r="J1840" s="730"/>
      <c r="K1840" s="667"/>
      <c r="L1840" s="649"/>
      <c r="M1840" s="730">
        <f>SUM(M1841:M1842)</f>
        <v>503000</v>
      </c>
      <c r="N1840" s="667">
        <f>SUM(N1841:N1842)</f>
        <v>303000</v>
      </c>
      <c r="O1840" s="492">
        <f>N1840/M1840*100</f>
        <v>60.238568588469185</v>
      </c>
      <c r="P1840" s="667"/>
      <c r="Q1840" s="667"/>
      <c r="R1840" s="737"/>
    </row>
    <row r="1841" spans="1:18" s="938" customFormat="1" ht="48">
      <c r="A1841" s="877"/>
      <c r="B1841" s="878" t="s">
        <v>225</v>
      </c>
      <c r="C1841" s="879"/>
      <c r="D1841" s="880">
        <f t="shared" si="225"/>
        <v>200000</v>
      </c>
      <c r="E1841" s="880"/>
      <c r="F1841" s="1123"/>
      <c r="G1841" s="879"/>
      <c r="H1841" s="880"/>
      <c r="I1841" s="1124"/>
      <c r="J1841" s="881"/>
      <c r="K1841" s="880"/>
      <c r="L1841" s="1125"/>
      <c r="M1841" s="881">
        <v>200000</v>
      </c>
      <c r="N1841" s="880"/>
      <c r="O1841" s="1118"/>
      <c r="P1841" s="880"/>
      <c r="Q1841" s="880"/>
      <c r="R1841" s="1126"/>
    </row>
    <row r="1842" spans="1:18" s="864" customFormat="1" ht="12.75">
      <c r="A1842" s="809"/>
      <c r="B1842" s="810" t="s">
        <v>226</v>
      </c>
      <c r="C1842" s="811"/>
      <c r="D1842" s="812">
        <f t="shared" si="225"/>
        <v>303000</v>
      </c>
      <c r="E1842" s="812">
        <f t="shared" si="227"/>
        <v>303000</v>
      </c>
      <c r="F1842" s="705">
        <f t="shared" si="222"/>
        <v>100</v>
      </c>
      <c r="G1842" s="811"/>
      <c r="H1842" s="812"/>
      <c r="I1842" s="707"/>
      <c r="J1842" s="813"/>
      <c r="K1842" s="812"/>
      <c r="L1842" s="768"/>
      <c r="M1842" s="813">
        <v>303000</v>
      </c>
      <c r="N1842" s="812">
        <f>101000+202000</f>
        <v>303000</v>
      </c>
      <c r="O1842" s="766">
        <f>N1842/M1842*100</f>
        <v>100</v>
      </c>
      <c r="P1842" s="812"/>
      <c r="Q1842" s="812"/>
      <c r="R1842" s="915"/>
    </row>
    <row r="1843" spans="1:18" s="864" customFormat="1" ht="36" hidden="1">
      <c r="A1843" s="795"/>
      <c r="B1843" s="796" t="s">
        <v>227</v>
      </c>
      <c r="C1843" s="797"/>
      <c r="D1843" s="798">
        <f>G1843+J1843+P1843+M1843</f>
        <v>0</v>
      </c>
      <c r="E1843" s="798">
        <f>SUM(H1843+K1843+N1843+Q1843)</f>
        <v>0</v>
      </c>
      <c r="F1843" s="644" t="e">
        <f>E1843/D1843*100</f>
        <v>#DIV/0!</v>
      </c>
      <c r="G1843" s="797"/>
      <c r="H1843" s="798"/>
      <c r="I1843" s="647"/>
      <c r="J1843" s="799"/>
      <c r="K1843" s="798"/>
      <c r="L1843" s="649"/>
      <c r="M1843" s="799"/>
      <c r="N1843" s="798"/>
      <c r="O1843" s="492" t="e">
        <f>N1843/M1843*100</f>
        <v>#DIV/0!</v>
      </c>
      <c r="P1843" s="798"/>
      <c r="Q1843" s="798"/>
      <c r="R1843" s="821"/>
    </row>
    <row r="1844" spans="1:18" s="864" customFormat="1" ht="48" hidden="1">
      <c r="A1844" s="795"/>
      <c r="B1844" s="796" t="s">
        <v>228</v>
      </c>
      <c r="C1844" s="797"/>
      <c r="D1844" s="798">
        <f>G1844+J1844+P1844+M1844</f>
        <v>0</v>
      </c>
      <c r="E1844" s="798">
        <f>SUM(H1844+K1844+N1844+Q1844)</f>
        <v>0</v>
      </c>
      <c r="F1844" s="644" t="e">
        <f>E1844/D1844*100</f>
        <v>#DIV/0!</v>
      </c>
      <c r="G1844" s="797"/>
      <c r="H1844" s="798"/>
      <c r="I1844" s="647"/>
      <c r="J1844" s="799"/>
      <c r="K1844" s="798"/>
      <c r="L1844" s="649"/>
      <c r="M1844" s="799"/>
      <c r="N1844" s="798"/>
      <c r="O1844" s="492" t="e">
        <f>N1844/M1844*100</f>
        <v>#DIV/0!</v>
      </c>
      <c r="P1844" s="798"/>
      <c r="Q1844" s="798"/>
      <c r="R1844" s="821"/>
    </row>
    <row r="1845" spans="1:18" s="864" customFormat="1" ht="24" hidden="1">
      <c r="A1845" s="795"/>
      <c r="B1845" s="796" t="s">
        <v>229</v>
      </c>
      <c r="C1845" s="797"/>
      <c r="D1845" s="798">
        <f>G1845+J1845+P1845+M1845</f>
        <v>0</v>
      </c>
      <c r="E1845" s="798">
        <f>SUM(H1845+K1845+N1845+Q1845)</f>
        <v>0</v>
      </c>
      <c r="F1845" s="644" t="e">
        <f>E1845/D1845*100</f>
        <v>#DIV/0!</v>
      </c>
      <c r="G1845" s="797"/>
      <c r="H1845" s="798"/>
      <c r="I1845" s="647"/>
      <c r="J1845" s="799"/>
      <c r="K1845" s="798"/>
      <c r="L1845" s="649"/>
      <c r="M1845" s="799"/>
      <c r="N1845" s="798"/>
      <c r="O1845" s="492"/>
      <c r="P1845" s="798"/>
      <c r="Q1845" s="798"/>
      <c r="R1845" s="821"/>
    </row>
    <row r="1846" spans="1:18" s="723" customFormat="1" ht="36">
      <c r="A1846" s="728">
        <v>6050</v>
      </c>
      <c r="B1846" s="735" t="s">
        <v>230</v>
      </c>
      <c r="C1846" s="666">
        <v>220000</v>
      </c>
      <c r="D1846" s="643">
        <f t="shared" si="225"/>
        <v>530000</v>
      </c>
      <c r="E1846" s="643">
        <f>H1846+K1846+Q1846+N1846</f>
        <v>514314</v>
      </c>
      <c r="F1846" s="644">
        <f t="shared" si="222"/>
        <v>97.04037735849057</v>
      </c>
      <c r="G1846" s="666"/>
      <c r="H1846" s="643"/>
      <c r="I1846" s="647"/>
      <c r="J1846" s="730"/>
      <c r="K1846" s="667"/>
      <c r="L1846" s="649"/>
      <c r="M1846" s="666">
        <f>220000+300000+10000</f>
        <v>530000</v>
      </c>
      <c r="N1846" s="667">
        <v>514314</v>
      </c>
      <c r="O1846" s="492">
        <f t="shared" si="224"/>
        <v>97.04037735849057</v>
      </c>
      <c r="P1846" s="667"/>
      <c r="Q1846" s="667"/>
      <c r="R1846" s="737"/>
    </row>
    <row r="1847" spans="1:18" s="723" customFormat="1" ht="24" hidden="1">
      <c r="A1847" s="728">
        <v>6058</v>
      </c>
      <c r="B1847" s="735" t="s">
        <v>739</v>
      </c>
      <c r="C1847" s="666"/>
      <c r="D1847" s="643">
        <f t="shared" si="225"/>
        <v>0</v>
      </c>
      <c r="E1847" s="643">
        <f>H1847+K1847+Q1847+N1847</f>
        <v>0</v>
      </c>
      <c r="F1847" s="644" t="e">
        <f t="shared" si="222"/>
        <v>#DIV/0!</v>
      </c>
      <c r="G1847" s="666"/>
      <c r="H1847" s="643"/>
      <c r="I1847" s="647"/>
      <c r="J1847" s="730"/>
      <c r="K1847" s="667"/>
      <c r="L1847" s="649"/>
      <c r="M1847" s="666"/>
      <c r="N1847" s="667"/>
      <c r="O1847" s="647" t="e">
        <f t="shared" si="224"/>
        <v>#DIV/0!</v>
      </c>
      <c r="P1847" s="667"/>
      <c r="Q1847" s="667"/>
      <c r="R1847" s="737"/>
    </row>
    <row r="1848" spans="1:18" s="723" customFormat="1" ht="24" hidden="1">
      <c r="A1848" s="728">
        <v>6059</v>
      </c>
      <c r="B1848" s="735" t="s">
        <v>739</v>
      </c>
      <c r="C1848" s="666"/>
      <c r="D1848" s="643">
        <f t="shared" si="225"/>
        <v>0</v>
      </c>
      <c r="E1848" s="667">
        <f>SUM(H1848+K1848+N1848+Q1848)</f>
        <v>0</v>
      </c>
      <c r="F1848" s="644" t="e">
        <f>E1848/D1848*100</f>
        <v>#DIV/0!</v>
      </c>
      <c r="G1848" s="666"/>
      <c r="H1848" s="643"/>
      <c r="I1848" s="707"/>
      <c r="J1848" s="730"/>
      <c r="K1848" s="667"/>
      <c r="L1848" s="649"/>
      <c r="M1848" s="666"/>
      <c r="N1848" s="667"/>
      <c r="O1848" s="647" t="e">
        <f t="shared" si="224"/>
        <v>#DIV/0!</v>
      </c>
      <c r="P1848" s="667"/>
      <c r="Q1848" s="667"/>
      <c r="R1848" s="737"/>
    </row>
    <row r="1849" spans="1:18" ht="24.75" customHeight="1">
      <c r="A1849" s="724">
        <v>92120</v>
      </c>
      <c r="B1849" s="854" t="s">
        <v>231</v>
      </c>
      <c r="C1849" s="726">
        <f>SUM(C1851:C1855)</f>
        <v>637000</v>
      </c>
      <c r="D1849" s="674">
        <f t="shared" si="225"/>
        <v>637000</v>
      </c>
      <c r="E1849" s="657">
        <f>H1849+K1849+Q1849+N1849</f>
        <v>251689</v>
      </c>
      <c r="F1849" s="658">
        <f t="shared" si="222"/>
        <v>39.5116169544741</v>
      </c>
      <c r="G1849" s="726">
        <f>SUM(G1850:G1855)</f>
        <v>637000</v>
      </c>
      <c r="H1849" s="657">
        <f>SUM(H1850:H1855)</f>
        <v>251689</v>
      </c>
      <c r="I1849" s="665">
        <f aca="true" t="shared" si="228" ref="I1849:I1857">H1849/G1849*100</f>
        <v>39.5116169544741</v>
      </c>
      <c r="J1849" s="662"/>
      <c r="K1849" s="657"/>
      <c r="L1849" s="663"/>
      <c r="M1849" s="657"/>
      <c r="N1849" s="657"/>
      <c r="O1849" s="317"/>
      <c r="P1849" s="657"/>
      <c r="Q1849" s="657"/>
      <c r="R1849" s="842"/>
    </row>
    <row r="1850" spans="1:18" s="761" customFormat="1" ht="72" hidden="1">
      <c r="A1850" s="756">
        <v>2820</v>
      </c>
      <c r="B1850" s="757" t="s">
        <v>918</v>
      </c>
      <c r="C1850" s="684"/>
      <c r="D1850" s="643">
        <f t="shared" si="225"/>
        <v>0</v>
      </c>
      <c r="E1850" s="667">
        <f aca="true" t="shared" si="229" ref="E1850:E1856">SUM(H1850+K1850+N1850+Q1850)</f>
        <v>0</v>
      </c>
      <c r="F1850" s="644" t="e">
        <f t="shared" si="222"/>
        <v>#DIV/0!</v>
      </c>
      <c r="G1850" s="684"/>
      <c r="H1850" s="685"/>
      <c r="I1850" s="647" t="e">
        <f t="shared" si="228"/>
        <v>#DIV/0!</v>
      </c>
      <c r="J1850" s="689"/>
      <c r="K1850" s="685"/>
      <c r="L1850" s="690"/>
      <c r="M1850" s="685"/>
      <c r="N1850" s="685"/>
      <c r="O1850" s="779"/>
      <c r="P1850" s="685"/>
      <c r="Q1850" s="685"/>
      <c r="R1850" s="760"/>
    </row>
    <row r="1851" spans="1:18" s="761" customFormat="1" ht="24">
      <c r="A1851" s="829">
        <v>4170</v>
      </c>
      <c r="B1851" s="865" t="s">
        <v>742</v>
      </c>
      <c r="C1851" s="697">
        <v>15000</v>
      </c>
      <c r="D1851" s="643">
        <f t="shared" si="225"/>
        <v>28500</v>
      </c>
      <c r="E1851" s="667">
        <f t="shared" si="229"/>
        <v>0</v>
      </c>
      <c r="F1851" s="644">
        <f t="shared" si="222"/>
        <v>0</v>
      </c>
      <c r="G1851" s="697">
        <f>15000+13500</f>
        <v>28500</v>
      </c>
      <c r="H1851" s="643"/>
      <c r="I1851" s="647">
        <f t="shared" si="228"/>
        <v>0</v>
      </c>
      <c r="J1851" s="648"/>
      <c r="K1851" s="643"/>
      <c r="L1851" s="649"/>
      <c r="M1851" s="643"/>
      <c r="N1851" s="643"/>
      <c r="O1851" s="731"/>
      <c r="P1851" s="643"/>
      <c r="Q1851" s="643"/>
      <c r="R1851" s="737"/>
    </row>
    <row r="1852" spans="1:18" s="723" customFormat="1" ht="25.5" customHeight="1" hidden="1">
      <c r="A1852" s="728">
        <v>4270</v>
      </c>
      <c r="B1852" s="735" t="s">
        <v>232</v>
      </c>
      <c r="C1852" s="666"/>
      <c r="D1852" s="643">
        <f>G1852+J1852+P1852+M1852</f>
        <v>0</v>
      </c>
      <c r="E1852" s="667">
        <f>SUM(H1852+K1852+N1852+Q1852)</f>
        <v>0</v>
      </c>
      <c r="F1852" s="644"/>
      <c r="G1852" s="666"/>
      <c r="H1852" s="667"/>
      <c r="I1852" s="647"/>
      <c r="J1852" s="730"/>
      <c r="K1852" s="667"/>
      <c r="L1852" s="649"/>
      <c r="M1852" s="667"/>
      <c r="N1852" s="667"/>
      <c r="O1852" s="731"/>
      <c r="P1852" s="667"/>
      <c r="Q1852" s="667"/>
      <c r="R1852" s="737"/>
    </row>
    <row r="1853" spans="1:18" s="723" customFormat="1" ht="24">
      <c r="A1853" s="728">
        <v>4300</v>
      </c>
      <c r="B1853" s="735" t="s">
        <v>715</v>
      </c>
      <c r="C1853" s="666">
        <v>12000</v>
      </c>
      <c r="D1853" s="643">
        <f>G1853+J1853+P1853+M1853</f>
        <v>7500</v>
      </c>
      <c r="E1853" s="667">
        <f>SUM(H1853+K1853+N1853+Q1853)</f>
        <v>138</v>
      </c>
      <c r="F1853" s="644">
        <f>E1853/D1853*100</f>
        <v>1.8399999999999999</v>
      </c>
      <c r="G1853" s="666">
        <f>12000-4500</f>
        <v>7500</v>
      </c>
      <c r="H1853" s="667">
        <v>138</v>
      </c>
      <c r="I1853" s="647">
        <f>H1853/G1853*100</f>
        <v>1.8399999999999999</v>
      </c>
      <c r="J1853" s="900"/>
      <c r="K1853" s="667"/>
      <c r="L1853" s="649"/>
      <c r="M1853" s="667"/>
      <c r="N1853" s="667"/>
      <c r="O1853" s="731"/>
      <c r="P1853" s="667"/>
      <c r="Q1853" s="667"/>
      <c r="R1853" s="737"/>
    </row>
    <row r="1854" spans="1:18" s="723" customFormat="1" ht="72">
      <c r="A1854" s="728">
        <v>4340</v>
      </c>
      <c r="B1854" s="735" t="s">
        <v>233</v>
      </c>
      <c r="C1854" s="666">
        <v>610000</v>
      </c>
      <c r="D1854" s="643">
        <f t="shared" si="225"/>
        <v>601000</v>
      </c>
      <c r="E1854" s="667">
        <f t="shared" si="229"/>
        <v>251551</v>
      </c>
      <c r="F1854" s="644">
        <f t="shared" si="222"/>
        <v>41.85540765391015</v>
      </c>
      <c r="G1854" s="666">
        <f>610000-9000</f>
        <v>601000</v>
      </c>
      <c r="H1854" s="667">
        <v>251551</v>
      </c>
      <c r="I1854" s="647">
        <f t="shared" si="228"/>
        <v>41.85540765391015</v>
      </c>
      <c r="J1854" s="900"/>
      <c r="K1854" s="667"/>
      <c r="L1854" s="649"/>
      <c r="M1854" s="667"/>
      <c r="N1854" s="667"/>
      <c r="O1854" s="731"/>
      <c r="P1854" s="667"/>
      <c r="Q1854" s="667"/>
      <c r="R1854" s="737"/>
    </row>
    <row r="1855" spans="1:18" s="723" customFormat="1" ht="36" hidden="1">
      <c r="A1855" s="762">
        <v>6060</v>
      </c>
      <c r="B1855" s="780" t="s">
        <v>856</v>
      </c>
      <c r="C1855" s="781"/>
      <c r="D1855" s="765">
        <f t="shared" si="225"/>
        <v>0</v>
      </c>
      <c r="E1855" s="785">
        <f t="shared" si="229"/>
        <v>0</v>
      </c>
      <c r="F1855" s="705" t="e">
        <f t="shared" si="222"/>
        <v>#DIV/0!</v>
      </c>
      <c r="G1855" s="781"/>
      <c r="H1855" s="785"/>
      <c r="I1855" s="707" t="e">
        <f t="shared" si="228"/>
        <v>#DIV/0!</v>
      </c>
      <c r="J1855" s="920"/>
      <c r="K1855" s="785"/>
      <c r="L1855" s="768"/>
      <c r="M1855" s="785"/>
      <c r="N1855" s="785"/>
      <c r="O1855" s="786"/>
      <c r="P1855" s="785"/>
      <c r="Q1855" s="785"/>
      <c r="R1855" s="770"/>
    </row>
    <row r="1856" spans="1:18" s="775" customFormat="1" ht="17.25" customHeight="1">
      <c r="A1856" s="787">
        <v>92195</v>
      </c>
      <c r="B1856" s="856" t="s">
        <v>311</v>
      </c>
      <c r="C1856" s="673">
        <f>SUM(C1857:C1863)</f>
        <v>33500</v>
      </c>
      <c r="D1856" s="674">
        <f t="shared" si="225"/>
        <v>35200</v>
      </c>
      <c r="E1856" s="674">
        <f t="shared" si="229"/>
        <v>12846</v>
      </c>
      <c r="F1856" s="658">
        <f t="shared" si="222"/>
        <v>36.49431818181818</v>
      </c>
      <c r="G1856" s="673">
        <f>SUM(G1857:G1865)</f>
        <v>35200</v>
      </c>
      <c r="H1856" s="674">
        <f>SUM(H1857:H1865)</f>
        <v>12846</v>
      </c>
      <c r="I1856" s="665">
        <f t="shared" si="228"/>
        <v>36.49431818181818</v>
      </c>
      <c r="J1856" s="901"/>
      <c r="K1856" s="674"/>
      <c r="L1856" s="663"/>
      <c r="M1856" s="674"/>
      <c r="N1856" s="674"/>
      <c r="O1856" s="827"/>
      <c r="P1856" s="674"/>
      <c r="Q1856" s="674"/>
      <c r="R1856" s="828"/>
    </row>
    <row r="1857" spans="1:18" s="761" customFormat="1" ht="61.5" customHeight="1" hidden="1">
      <c r="A1857" s="829">
        <v>2820</v>
      </c>
      <c r="B1857" s="865" t="s">
        <v>818</v>
      </c>
      <c r="C1857" s="697"/>
      <c r="D1857" s="643">
        <f t="shared" si="225"/>
        <v>0</v>
      </c>
      <c r="E1857" s="643">
        <f>H1857+K1857+Q1857+N1857</f>
        <v>0</v>
      </c>
      <c r="F1857" s="644" t="e">
        <f t="shared" si="222"/>
        <v>#DIV/0!</v>
      </c>
      <c r="G1857" s="697"/>
      <c r="H1857" s="643"/>
      <c r="I1857" s="647" t="e">
        <f t="shared" si="228"/>
        <v>#DIV/0!</v>
      </c>
      <c r="J1857" s="948"/>
      <c r="K1857" s="643"/>
      <c r="L1857" s="649"/>
      <c r="M1857" s="643"/>
      <c r="N1857" s="643"/>
      <c r="O1857" s="731"/>
      <c r="P1857" s="643"/>
      <c r="Q1857" s="643"/>
      <c r="R1857" s="737"/>
    </row>
    <row r="1858" spans="1:18" s="761" customFormat="1" ht="72" hidden="1">
      <c r="A1858" s="829">
        <v>2550</v>
      </c>
      <c r="B1858" s="865" t="s">
        <v>234</v>
      </c>
      <c r="C1858" s="697"/>
      <c r="D1858" s="643">
        <f t="shared" si="225"/>
        <v>0</v>
      </c>
      <c r="E1858" s="667">
        <f aca="true" t="shared" si="230" ref="E1858:E1884">SUM(H1858+K1858+N1858+Q1858)</f>
        <v>0</v>
      </c>
      <c r="F1858" s="644"/>
      <c r="G1858" s="697"/>
      <c r="H1858" s="643"/>
      <c r="I1858" s="647"/>
      <c r="J1858" s="948"/>
      <c r="K1858" s="643"/>
      <c r="L1858" s="649"/>
      <c r="M1858" s="643"/>
      <c r="N1858" s="643"/>
      <c r="O1858" s="731"/>
      <c r="P1858" s="643"/>
      <c r="Q1858" s="643"/>
      <c r="R1858" s="737"/>
    </row>
    <row r="1859" spans="1:18" s="723" customFormat="1" ht="48" hidden="1">
      <c r="A1859" s="728">
        <v>3040</v>
      </c>
      <c r="B1859" s="735" t="s">
        <v>235</v>
      </c>
      <c r="C1859" s="666"/>
      <c r="D1859" s="643">
        <f t="shared" si="225"/>
        <v>0</v>
      </c>
      <c r="E1859" s="667">
        <f t="shared" si="230"/>
        <v>0</v>
      </c>
      <c r="F1859" s="644" t="e">
        <f t="shared" si="222"/>
        <v>#DIV/0!</v>
      </c>
      <c r="G1859" s="666">
        <f>1500-1500</f>
        <v>0</v>
      </c>
      <c r="H1859" s="667"/>
      <c r="I1859" s="647" t="e">
        <f aca="true" t="shared" si="231" ref="I1859:I1899">H1859/G1859*100</f>
        <v>#DIV/0!</v>
      </c>
      <c r="J1859" s="900"/>
      <c r="K1859" s="667"/>
      <c r="L1859" s="649"/>
      <c r="M1859" s="667"/>
      <c r="N1859" s="667"/>
      <c r="O1859" s="731"/>
      <c r="P1859" s="667"/>
      <c r="Q1859" s="667"/>
      <c r="R1859" s="737"/>
    </row>
    <row r="1860" spans="1:18" s="723" customFormat="1" ht="28.5" customHeight="1">
      <c r="A1860" s="728">
        <v>4210</v>
      </c>
      <c r="B1860" s="735" t="s">
        <v>236</v>
      </c>
      <c r="C1860" s="666">
        <v>25300</v>
      </c>
      <c r="D1860" s="643">
        <f t="shared" si="225"/>
        <v>19506</v>
      </c>
      <c r="E1860" s="667">
        <f t="shared" si="230"/>
        <v>7969</v>
      </c>
      <c r="F1860" s="644">
        <f t="shared" si="222"/>
        <v>40.85409617553573</v>
      </c>
      <c r="G1860" s="666">
        <f>25300-94-3000-300-3100+700</f>
        <v>19506</v>
      </c>
      <c r="H1860" s="667">
        <v>7969</v>
      </c>
      <c r="I1860" s="492">
        <f t="shared" si="231"/>
        <v>40.85409617553573</v>
      </c>
      <c r="J1860" s="900"/>
      <c r="K1860" s="667"/>
      <c r="L1860" s="649"/>
      <c r="M1860" s="667"/>
      <c r="N1860" s="667"/>
      <c r="O1860" s="731"/>
      <c r="P1860" s="667"/>
      <c r="Q1860" s="667"/>
      <c r="R1860" s="737"/>
    </row>
    <row r="1861" spans="1:18" s="723" customFormat="1" ht="24" hidden="1">
      <c r="A1861" s="728">
        <v>4300</v>
      </c>
      <c r="B1861" s="735" t="s">
        <v>237</v>
      </c>
      <c r="C1861" s="666"/>
      <c r="D1861" s="643">
        <f t="shared" si="225"/>
        <v>0</v>
      </c>
      <c r="E1861" s="667">
        <f t="shared" si="230"/>
        <v>0</v>
      </c>
      <c r="F1861" s="644" t="e">
        <f t="shared" si="222"/>
        <v>#DIV/0!</v>
      </c>
      <c r="G1861" s="666"/>
      <c r="H1861" s="667"/>
      <c r="I1861" s="492" t="e">
        <f t="shared" si="231"/>
        <v>#DIV/0!</v>
      </c>
      <c r="J1861" s="900"/>
      <c r="K1861" s="667"/>
      <c r="L1861" s="649"/>
      <c r="M1861" s="667"/>
      <c r="N1861" s="667"/>
      <c r="O1861" s="731"/>
      <c r="P1861" s="667"/>
      <c r="Q1861" s="667"/>
      <c r="R1861" s="737"/>
    </row>
    <row r="1862" spans="1:18" s="723" customFormat="1" ht="24">
      <c r="A1862" s="728">
        <v>4300</v>
      </c>
      <c r="B1862" s="735" t="s">
        <v>238</v>
      </c>
      <c r="C1862" s="666">
        <v>8000</v>
      </c>
      <c r="D1862" s="643">
        <f t="shared" si="225"/>
        <v>15400</v>
      </c>
      <c r="E1862" s="667">
        <f t="shared" si="230"/>
        <v>4783</v>
      </c>
      <c r="F1862" s="644">
        <f t="shared" si="222"/>
        <v>31.058441558441558</v>
      </c>
      <c r="G1862" s="666">
        <f>8000+3000+300+3100+1000</f>
        <v>15400</v>
      </c>
      <c r="H1862" s="667">
        <v>4783</v>
      </c>
      <c r="I1862" s="492">
        <f t="shared" si="231"/>
        <v>31.058441558441558</v>
      </c>
      <c r="J1862" s="900"/>
      <c r="K1862" s="667"/>
      <c r="L1862" s="649"/>
      <c r="M1862" s="667"/>
      <c r="N1862" s="667"/>
      <c r="O1862" s="731"/>
      <c r="P1862" s="667"/>
      <c r="Q1862" s="667"/>
      <c r="R1862" s="737"/>
    </row>
    <row r="1863" spans="1:18" s="723" customFormat="1" ht="27" customHeight="1">
      <c r="A1863" s="728">
        <v>4430</v>
      </c>
      <c r="B1863" s="735" t="s">
        <v>239</v>
      </c>
      <c r="C1863" s="666">
        <v>200</v>
      </c>
      <c r="D1863" s="643">
        <f t="shared" si="225"/>
        <v>200</v>
      </c>
      <c r="E1863" s="667">
        <f t="shared" si="230"/>
        <v>0</v>
      </c>
      <c r="F1863" s="644">
        <f t="shared" si="222"/>
        <v>0</v>
      </c>
      <c r="G1863" s="666">
        <v>200</v>
      </c>
      <c r="H1863" s="667"/>
      <c r="I1863" s="492">
        <f t="shared" si="231"/>
        <v>0</v>
      </c>
      <c r="J1863" s="900"/>
      <c r="K1863" s="667"/>
      <c r="L1863" s="649"/>
      <c r="M1863" s="667"/>
      <c r="N1863" s="667"/>
      <c r="O1863" s="731"/>
      <c r="P1863" s="667"/>
      <c r="Q1863" s="667"/>
      <c r="R1863" s="737"/>
    </row>
    <row r="1864" spans="1:18" s="723" customFormat="1" ht="60.75" thickBot="1">
      <c r="A1864" s="728">
        <v>4740</v>
      </c>
      <c r="B1864" s="735" t="s">
        <v>240</v>
      </c>
      <c r="C1864" s="666"/>
      <c r="D1864" s="643">
        <f>G1864+J1864+P1864+M1864</f>
        <v>94</v>
      </c>
      <c r="E1864" s="667">
        <f>SUM(H1864+K1864+N1864+Q1864)</f>
        <v>94</v>
      </c>
      <c r="F1864" s="644">
        <f>E1864/D1864*100</f>
        <v>100</v>
      </c>
      <c r="G1864" s="666">
        <v>94</v>
      </c>
      <c r="H1864" s="667">
        <v>94</v>
      </c>
      <c r="I1864" s="492">
        <f t="shared" si="231"/>
        <v>100</v>
      </c>
      <c r="J1864" s="900"/>
      <c r="K1864" s="667"/>
      <c r="L1864" s="649"/>
      <c r="M1864" s="667"/>
      <c r="N1864" s="667"/>
      <c r="O1864" s="731"/>
      <c r="P1864" s="667"/>
      <c r="Q1864" s="667"/>
      <c r="R1864" s="737"/>
    </row>
    <row r="1865" spans="1:18" s="775" customFormat="1" ht="48.75" hidden="1" thickBot="1">
      <c r="A1865" s="746"/>
      <c r="B1865" s="926" t="s">
        <v>241</v>
      </c>
      <c r="C1865" s="748"/>
      <c r="D1865" s="749">
        <f t="shared" si="225"/>
        <v>0</v>
      </c>
      <c r="E1865" s="749">
        <f t="shared" si="230"/>
        <v>0</v>
      </c>
      <c r="F1865" s="700" t="e">
        <f t="shared" si="222"/>
        <v>#DIV/0!</v>
      </c>
      <c r="G1865" s="748">
        <f>SUM(G1866:G1884)</f>
        <v>0</v>
      </c>
      <c r="H1865" s="749">
        <f>SUM(H1866:H1884)</f>
        <v>0</v>
      </c>
      <c r="I1865" s="492" t="e">
        <f t="shared" si="231"/>
        <v>#DIV/0!</v>
      </c>
      <c r="J1865" s="1127"/>
      <c r="K1865" s="749"/>
      <c r="L1865" s="751"/>
      <c r="M1865" s="749"/>
      <c r="N1865" s="749"/>
      <c r="O1865" s="774"/>
      <c r="P1865" s="749"/>
      <c r="Q1865" s="749"/>
      <c r="R1865" s="755"/>
    </row>
    <row r="1866" spans="1:18" s="761" customFormat="1" ht="24.75" hidden="1" thickBot="1">
      <c r="A1866" s="829">
        <v>4110</v>
      </c>
      <c r="B1866" s="995" t="s">
        <v>703</v>
      </c>
      <c r="C1866" s="697"/>
      <c r="D1866" s="643">
        <f t="shared" si="225"/>
        <v>0</v>
      </c>
      <c r="E1866" s="667">
        <f t="shared" si="230"/>
        <v>0</v>
      </c>
      <c r="F1866" s="644" t="e">
        <f t="shared" si="222"/>
        <v>#DIV/0!</v>
      </c>
      <c r="G1866" s="697"/>
      <c r="H1866" s="643"/>
      <c r="I1866" s="492" t="e">
        <f t="shared" si="231"/>
        <v>#DIV/0!</v>
      </c>
      <c r="J1866" s="948"/>
      <c r="K1866" s="643"/>
      <c r="L1866" s="649"/>
      <c r="M1866" s="643"/>
      <c r="N1866" s="643"/>
      <c r="O1866" s="731"/>
      <c r="P1866" s="643"/>
      <c r="Q1866" s="643"/>
      <c r="R1866" s="737"/>
    </row>
    <row r="1867" spans="1:18" s="761" customFormat="1" ht="24.75" hidden="1" thickBot="1">
      <c r="A1867" s="829">
        <v>4118</v>
      </c>
      <c r="B1867" s="995" t="s">
        <v>703</v>
      </c>
      <c r="C1867" s="697"/>
      <c r="D1867" s="643">
        <f>G1867+J1867+P1867+M1867</f>
        <v>0</v>
      </c>
      <c r="E1867" s="667">
        <f>SUM(H1867+K1867+N1867+Q1867)</f>
        <v>0</v>
      </c>
      <c r="F1867" s="644" t="e">
        <f>E1867/D1867*100</f>
        <v>#DIV/0!</v>
      </c>
      <c r="G1867" s="697"/>
      <c r="H1867" s="643"/>
      <c r="I1867" s="492" t="e">
        <f t="shared" si="231"/>
        <v>#DIV/0!</v>
      </c>
      <c r="J1867" s="948"/>
      <c r="K1867" s="643"/>
      <c r="L1867" s="649"/>
      <c r="M1867" s="643"/>
      <c r="N1867" s="643"/>
      <c r="O1867" s="731"/>
      <c r="P1867" s="643"/>
      <c r="Q1867" s="643"/>
      <c r="R1867" s="737"/>
    </row>
    <row r="1868" spans="1:18" s="761" customFormat="1" ht="24.75" hidden="1" thickBot="1">
      <c r="A1868" s="829">
        <v>4119</v>
      </c>
      <c r="B1868" s="995" t="s">
        <v>703</v>
      </c>
      <c r="C1868" s="697"/>
      <c r="D1868" s="643">
        <f t="shared" si="225"/>
        <v>0</v>
      </c>
      <c r="E1868" s="667">
        <f t="shared" si="230"/>
        <v>0</v>
      </c>
      <c r="F1868" s="644" t="e">
        <f t="shared" si="222"/>
        <v>#DIV/0!</v>
      </c>
      <c r="G1868" s="697"/>
      <c r="H1868" s="643"/>
      <c r="I1868" s="492" t="e">
        <f t="shared" si="231"/>
        <v>#DIV/0!</v>
      </c>
      <c r="J1868" s="948"/>
      <c r="K1868" s="643"/>
      <c r="L1868" s="649"/>
      <c r="M1868" s="643"/>
      <c r="N1868" s="643"/>
      <c r="O1868" s="731"/>
      <c r="P1868" s="643"/>
      <c r="Q1868" s="643"/>
      <c r="R1868" s="737"/>
    </row>
    <row r="1869" spans="1:18" s="761" customFormat="1" ht="13.5" hidden="1" thickBot="1">
      <c r="A1869" s="829">
        <v>4120</v>
      </c>
      <c r="B1869" s="995" t="s">
        <v>847</v>
      </c>
      <c r="C1869" s="697"/>
      <c r="D1869" s="643">
        <f t="shared" si="225"/>
        <v>0</v>
      </c>
      <c r="E1869" s="667">
        <f t="shared" si="230"/>
        <v>0</v>
      </c>
      <c r="F1869" s="644" t="e">
        <f t="shared" si="222"/>
        <v>#DIV/0!</v>
      </c>
      <c r="G1869" s="697"/>
      <c r="H1869" s="643"/>
      <c r="I1869" s="492" t="e">
        <f t="shared" si="231"/>
        <v>#DIV/0!</v>
      </c>
      <c r="J1869" s="948"/>
      <c r="K1869" s="643"/>
      <c r="L1869" s="649"/>
      <c r="M1869" s="643"/>
      <c r="N1869" s="643"/>
      <c r="O1869" s="731"/>
      <c r="P1869" s="643"/>
      <c r="Q1869" s="643"/>
      <c r="R1869" s="737"/>
    </row>
    <row r="1870" spans="1:18" s="761" customFormat="1" ht="13.5" hidden="1" thickBot="1">
      <c r="A1870" s="829">
        <v>4128</v>
      </c>
      <c r="B1870" s="995" t="s">
        <v>847</v>
      </c>
      <c r="C1870" s="697"/>
      <c r="D1870" s="643">
        <f>G1870+J1870+P1870+M1870</f>
        <v>0</v>
      </c>
      <c r="E1870" s="667">
        <f>SUM(H1870+K1870+N1870+Q1870)</f>
        <v>0</v>
      </c>
      <c r="F1870" s="644" t="e">
        <f>E1870/D1870*100</f>
        <v>#DIV/0!</v>
      </c>
      <c r="G1870" s="697"/>
      <c r="H1870" s="643"/>
      <c r="I1870" s="492" t="e">
        <f t="shared" si="231"/>
        <v>#DIV/0!</v>
      </c>
      <c r="J1870" s="948"/>
      <c r="K1870" s="643"/>
      <c r="L1870" s="649"/>
      <c r="M1870" s="643"/>
      <c r="N1870" s="643"/>
      <c r="O1870" s="731"/>
      <c r="P1870" s="643"/>
      <c r="Q1870" s="643"/>
      <c r="R1870" s="737"/>
    </row>
    <row r="1871" spans="1:18" s="761" customFormat="1" ht="13.5" hidden="1" thickBot="1">
      <c r="A1871" s="829">
        <v>4129</v>
      </c>
      <c r="B1871" s="995" t="s">
        <v>847</v>
      </c>
      <c r="C1871" s="697"/>
      <c r="D1871" s="643">
        <f t="shared" si="225"/>
        <v>0</v>
      </c>
      <c r="E1871" s="667">
        <f t="shared" si="230"/>
        <v>0</v>
      </c>
      <c r="F1871" s="644" t="e">
        <f t="shared" si="222"/>
        <v>#DIV/0!</v>
      </c>
      <c r="G1871" s="697"/>
      <c r="H1871" s="643"/>
      <c r="I1871" s="492" t="e">
        <f t="shared" si="231"/>
        <v>#DIV/0!</v>
      </c>
      <c r="J1871" s="948"/>
      <c r="K1871" s="643"/>
      <c r="L1871" s="649"/>
      <c r="M1871" s="643"/>
      <c r="N1871" s="643"/>
      <c r="O1871" s="731"/>
      <c r="P1871" s="643"/>
      <c r="Q1871" s="643"/>
      <c r="R1871" s="737"/>
    </row>
    <row r="1872" spans="1:18" s="761" customFormat="1" ht="24.75" hidden="1" thickBot="1">
      <c r="A1872" s="728">
        <v>4178</v>
      </c>
      <c r="B1872" s="735" t="s">
        <v>156</v>
      </c>
      <c r="C1872" s="697"/>
      <c r="D1872" s="643">
        <f t="shared" si="225"/>
        <v>0</v>
      </c>
      <c r="E1872" s="667">
        <f t="shared" si="230"/>
        <v>0</v>
      </c>
      <c r="F1872" s="644" t="e">
        <f t="shared" si="222"/>
        <v>#DIV/0!</v>
      </c>
      <c r="G1872" s="697"/>
      <c r="H1872" s="643"/>
      <c r="I1872" s="492" t="e">
        <f t="shared" si="231"/>
        <v>#DIV/0!</v>
      </c>
      <c r="J1872" s="948"/>
      <c r="K1872" s="643"/>
      <c r="L1872" s="649"/>
      <c r="M1872" s="643"/>
      <c r="N1872" s="643"/>
      <c r="O1872" s="731"/>
      <c r="P1872" s="643"/>
      <c r="Q1872" s="643"/>
      <c r="R1872" s="737"/>
    </row>
    <row r="1873" spans="1:18" s="761" customFormat="1" ht="24.75" hidden="1" thickBot="1">
      <c r="A1873" s="829">
        <v>4179</v>
      </c>
      <c r="B1873" s="735" t="s">
        <v>156</v>
      </c>
      <c r="C1873" s="697"/>
      <c r="D1873" s="643">
        <f t="shared" si="225"/>
        <v>0</v>
      </c>
      <c r="E1873" s="667">
        <f t="shared" si="230"/>
        <v>0</v>
      </c>
      <c r="F1873" s="644" t="e">
        <f aca="true" t="shared" si="232" ref="F1873:F1880">E1873/D1873*100</f>
        <v>#DIV/0!</v>
      </c>
      <c r="G1873" s="697"/>
      <c r="H1873" s="643"/>
      <c r="I1873" s="492" t="e">
        <f t="shared" si="231"/>
        <v>#DIV/0!</v>
      </c>
      <c r="J1873" s="948"/>
      <c r="K1873" s="643"/>
      <c r="L1873" s="649"/>
      <c r="M1873" s="643"/>
      <c r="N1873" s="643"/>
      <c r="O1873" s="731"/>
      <c r="P1873" s="643"/>
      <c r="Q1873" s="643"/>
      <c r="R1873" s="737"/>
    </row>
    <row r="1874" spans="1:18" s="761" customFormat="1" ht="24.75" hidden="1" thickBot="1">
      <c r="A1874" s="829">
        <v>4218</v>
      </c>
      <c r="B1874" s="735" t="s">
        <v>960</v>
      </c>
      <c r="C1874" s="697"/>
      <c r="D1874" s="643">
        <f t="shared" si="225"/>
        <v>0</v>
      </c>
      <c r="E1874" s="667">
        <f t="shared" si="230"/>
        <v>0</v>
      </c>
      <c r="F1874" s="644" t="e">
        <f t="shared" si="232"/>
        <v>#DIV/0!</v>
      </c>
      <c r="G1874" s="697"/>
      <c r="H1874" s="643"/>
      <c r="I1874" s="492" t="e">
        <f t="shared" si="231"/>
        <v>#DIV/0!</v>
      </c>
      <c r="J1874" s="948"/>
      <c r="K1874" s="643"/>
      <c r="L1874" s="649"/>
      <c r="M1874" s="643"/>
      <c r="N1874" s="643"/>
      <c r="O1874" s="731"/>
      <c r="P1874" s="643"/>
      <c r="Q1874" s="643"/>
      <c r="R1874" s="737"/>
    </row>
    <row r="1875" spans="1:18" s="761" customFormat="1" ht="24.75" hidden="1" thickBot="1">
      <c r="A1875" s="829">
        <v>4219</v>
      </c>
      <c r="B1875" s="735" t="s">
        <v>960</v>
      </c>
      <c r="C1875" s="697"/>
      <c r="D1875" s="643">
        <f t="shared" si="225"/>
        <v>0</v>
      </c>
      <c r="E1875" s="667">
        <f t="shared" si="230"/>
        <v>0</v>
      </c>
      <c r="F1875" s="644" t="e">
        <f t="shared" si="232"/>
        <v>#DIV/0!</v>
      </c>
      <c r="G1875" s="697"/>
      <c r="H1875" s="643"/>
      <c r="I1875" s="492" t="e">
        <f t="shared" si="231"/>
        <v>#DIV/0!</v>
      </c>
      <c r="J1875" s="948"/>
      <c r="K1875" s="643"/>
      <c r="L1875" s="649"/>
      <c r="M1875" s="643"/>
      <c r="N1875" s="643"/>
      <c r="O1875" s="731"/>
      <c r="P1875" s="643"/>
      <c r="Q1875" s="643"/>
      <c r="R1875" s="737"/>
    </row>
    <row r="1876" spans="1:18" s="761" customFormat="1" ht="24.75" hidden="1" thickBot="1">
      <c r="A1876" s="829">
        <v>4300</v>
      </c>
      <c r="B1876" s="735" t="s">
        <v>715</v>
      </c>
      <c r="C1876" s="697"/>
      <c r="D1876" s="643">
        <f>G1876+J1876+P1876+M1876</f>
        <v>0</v>
      </c>
      <c r="E1876" s="667">
        <f>SUM(H1876+K1876+N1876+Q1876)</f>
        <v>0</v>
      </c>
      <c r="F1876" s="644" t="e">
        <f>E1876/D1876*100</f>
        <v>#DIV/0!</v>
      </c>
      <c r="G1876" s="697"/>
      <c r="H1876" s="643"/>
      <c r="I1876" s="492" t="e">
        <f t="shared" si="231"/>
        <v>#DIV/0!</v>
      </c>
      <c r="J1876" s="948"/>
      <c r="K1876" s="643"/>
      <c r="L1876" s="649"/>
      <c r="M1876" s="643"/>
      <c r="N1876" s="643"/>
      <c r="O1876" s="731"/>
      <c r="P1876" s="643"/>
      <c r="Q1876" s="643"/>
      <c r="R1876" s="737"/>
    </row>
    <row r="1877" spans="1:18" s="761" customFormat="1" ht="24.75" hidden="1" thickBot="1">
      <c r="A1877" s="829">
        <v>4308</v>
      </c>
      <c r="B1877" s="735" t="s">
        <v>715</v>
      </c>
      <c r="C1877" s="697"/>
      <c r="D1877" s="643">
        <f t="shared" si="225"/>
        <v>0</v>
      </c>
      <c r="E1877" s="667">
        <f t="shared" si="230"/>
        <v>0</v>
      </c>
      <c r="F1877" s="644" t="e">
        <f t="shared" si="232"/>
        <v>#DIV/0!</v>
      </c>
      <c r="G1877" s="697"/>
      <c r="H1877" s="643"/>
      <c r="I1877" s="492" t="e">
        <f t="shared" si="231"/>
        <v>#DIV/0!</v>
      </c>
      <c r="J1877" s="948"/>
      <c r="K1877" s="643"/>
      <c r="L1877" s="649"/>
      <c r="M1877" s="643"/>
      <c r="N1877" s="643"/>
      <c r="O1877" s="731"/>
      <c r="P1877" s="643"/>
      <c r="Q1877" s="643"/>
      <c r="R1877" s="737"/>
    </row>
    <row r="1878" spans="1:18" s="761" customFormat="1" ht="24.75" hidden="1" thickBot="1">
      <c r="A1878" s="829">
        <v>4309</v>
      </c>
      <c r="B1878" s="735" t="s">
        <v>715</v>
      </c>
      <c r="C1878" s="697"/>
      <c r="D1878" s="643">
        <f t="shared" si="225"/>
        <v>0</v>
      </c>
      <c r="E1878" s="667">
        <f t="shared" si="230"/>
        <v>0</v>
      </c>
      <c r="F1878" s="644" t="e">
        <f t="shared" si="232"/>
        <v>#DIV/0!</v>
      </c>
      <c r="G1878" s="697"/>
      <c r="H1878" s="643"/>
      <c r="I1878" s="492" t="e">
        <f t="shared" si="231"/>
        <v>#DIV/0!</v>
      </c>
      <c r="J1878" s="948"/>
      <c r="K1878" s="643"/>
      <c r="L1878" s="649"/>
      <c r="M1878" s="643"/>
      <c r="N1878" s="643"/>
      <c r="O1878" s="731"/>
      <c r="P1878" s="643"/>
      <c r="Q1878" s="643"/>
      <c r="R1878" s="737"/>
    </row>
    <row r="1879" spans="1:18" s="761" customFormat="1" ht="36.75" hidden="1" thickBot="1">
      <c r="A1879" s="728">
        <v>4380</v>
      </c>
      <c r="B1879" s="735" t="s">
        <v>1022</v>
      </c>
      <c r="C1879" s="697"/>
      <c r="D1879" s="643">
        <f>G1879+J1879+P1879+M1879</f>
        <v>0</v>
      </c>
      <c r="E1879" s="667">
        <f>SUM(H1879+K1879+N1879+Q1879)</f>
        <v>0</v>
      </c>
      <c r="F1879" s="644" t="e">
        <f>E1879/D1879*100</f>
        <v>#DIV/0!</v>
      </c>
      <c r="G1879" s="697"/>
      <c r="H1879" s="643"/>
      <c r="I1879" s="492" t="e">
        <f t="shared" si="231"/>
        <v>#DIV/0!</v>
      </c>
      <c r="J1879" s="948"/>
      <c r="K1879" s="643"/>
      <c r="L1879" s="649"/>
      <c r="M1879" s="643"/>
      <c r="N1879" s="643"/>
      <c r="O1879" s="731"/>
      <c r="P1879" s="643"/>
      <c r="Q1879" s="643"/>
      <c r="R1879" s="737"/>
    </row>
    <row r="1880" spans="1:18" s="723" customFormat="1" ht="36.75" hidden="1" thickBot="1">
      <c r="A1880" s="728">
        <v>4388</v>
      </c>
      <c r="B1880" s="735" t="s">
        <v>1022</v>
      </c>
      <c r="C1880" s="666"/>
      <c r="D1880" s="643">
        <f t="shared" si="225"/>
        <v>0</v>
      </c>
      <c r="E1880" s="667">
        <f t="shared" si="230"/>
        <v>0</v>
      </c>
      <c r="F1880" s="644" t="e">
        <f t="shared" si="232"/>
        <v>#DIV/0!</v>
      </c>
      <c r="G1880" s="666"/>
      <c r="H1880" s="667"/>
      <c r="I1880" s="492" t="e">
        <f t="shared" si="231"/>
        <v>#DIV/0!</v>
      </c>
      <c r="J1880" s="900"/>
      <c r="K1880" s="667"/>
      <c r="L1880" s="649"/>
      <c r="M1880" s="667"/>
      <c r="N1880" s="667"/>
      <c r="O1880" s="731"/>
      <c r="P1880" s="667"/>
      <c r="Q1880" s="667"/>
      <c r="R1880" s="737"/>
    </row>
    <row r="1881" spans="1:18" s="723" customFormat="1" ht="36.75" hidden="1" thickBot="1">
      <c r="A1881" s="728">
        <v>4389</v>
      </c>
      <c r="B1881" s="735" t="s">
        <v>1022</v>
      </c>
      <c r="C1881" s="666"/>
      <c r="D1881" s="643">
        <f>G1881+J1881+P1881+M1881</f>
        <v>0</v>
      </c>
      <c r="E1881" s="667">
        <f>SUM(H1881+K1881+N1881+Q1881)</f>
        <v>0</v>
      </c>
      <c r="F1881" s="644" t="e">
        <f>E1881/D1881*100</f>
        <v>#DIV/0!</v>
      </c>
      <c r="G1881" s="666"/>
      <c r="H1881" s="667"/>
      <c r="I1881" s="492" t="e">
        <f t="shared" si="231"/>
        <v>#DIV/0!</v>
      </c>
      <c r="J1881" s="900"/>
      <c r="K1881" s="667"/>
      <c r="L1881" s="649"/>
      <c r="M1881" s="667"/>
      <c r="N1881" s="667"/>
      <c r="O1881" s="731"/>
      <c r="P1881" s="667"/>
      <c r="Q1881" s="667"/>
      <c r="R1881" s="737"/>
    </row>
    <row r="1882" spans="1:18" s="723" customFormat="1" ht="13.5" hidden="1" thickBot="1">
      <c r="A1882" s="728">
        <v>4430</v>
      </c>
      <c r="B1882" s="735" t="s">
        <v>717</v>
      </c>
      <c r="C1882" s="666"/>
      <c r="D1882" s="643">
        <f>G1882+J1882+P1882+M1882</f>
        <v>0</v>
      </c>
      <c r="E1882" s="667">
        <f>SUM(H1882+K1882+N1882+Q1882)</f>
        <v>0</v>
      </c>
      <c r="F1882" s="644" t="e">
        <f>E1882/D1882*100</f>
        <v>#DIV/0!</v>
      </c>
      <c r="G1882" s="666"/>
      <c r="H1882" s="667"/>
      <c r="I1882" s="492" t="e">
        <f t="shared" si="231"/>
        <v>#DIV/0!</v>
      </c>
      <c r="J1882" s="900"/>
      <c r="K1882" s="667"/>
      <c r="L1882" s="649"/>
      <c r="M1882" s="667"/>
      <c r="N1882" s="667"/>
      <c r="O1882" s="731"/>
      <c r="P1882" s="667"/>
      <c r="Q1882" s="667"/>
      <c r="R1882" s="737"/>
    </row>
    <row r="1883" spans="1:18" s="723" customFormat="1" ht="13.5" hidden="1" thickBot="1">
      <c r="A1883" s="728">
        <v>4438</v>
      </c>
      <c r="B1883" s="735" t="s">
        <v>717</v>
      </c>
      <c r="C1883" s="666"/>
      <c r="D1883" s="643">
        <f>G1883+J1883+P1883+M1883</f>
        <v>0</v>
      </c>
      <c r="E1883" s="667">
        <f>SUM(H1883+K1883+N1883+Q1883)</f>
        <v>0</v>
      </c>
      <c r="F1883" s="644" t="e">
        <f>E1883/D1883*100</f>
        <v>#DIV/0!</v>
      </c>
      <c r="G1883" s="666"/>
      <c r="H1883" s="667"/>
      <c r="I1883" s="492" t="e">
        <f t="shared" si="231"/>
        <v>#DIV/0!</v>
      </c>
      <c r="J1883" s="900"/>
      <c r="K1883" s="667"/>
      <c r="L1883" s="649"/>
      <c r="M1883" s="667"/>
      <c r="N1883" s="667"/>
      <c r="O1883" s="731"/>
      <c r="P1883" s="667"/>
      <c r="Q1883" s="667"/>
      <c r="R1883" s="737"/>
    </row>
    <row r="1884" spans="1:18" s="723" customFormat="1" ht="13.5" hidden="1" thickBot="1">
      <c r="A1884" s="728">
        <v>4439</v>
      </c>
      <c r="B1884" s="735" t="s">
        <v>717</v>
      </c>
      <c r="C1884" s="666"/>
      <c r="D1884" s="643">
        <f t="shared" si="225"/>
        <v>0</v>
      </c>
      <c r="E1884" s="667">
        <f t="shared" si="230"/>
        <v>0</v>
      </c>
      <c r="F1884" s="644" t="e">
        <f aca="true" t="shared" si="233" ref="F1884:F1902">E1884/D1884*100</f>
        <v>#DIV/0!</v>
      </c>
      <c r="G1884" s="666"/>
      <c r="H1884" s="667"/>
      <c r="I1884" s="492" t="e">
        <f t="shared" si="231"/>
        <v>#DIV/0!</v>
      </c>
      <c r="J1884" s="900"/>
      <c r="K1884" s="667"/>
      <c r="L1884" s="649"/>
      <c r="M1884" s="667"/>
      <c r="N1884" s="667"/>
      <c r="O1884" s="731"/>
      <c r="P1884" s="667"/>
      <c r="Q1884" s="667"/>
      <c r="R1884" s="737"/>
    </row>
    <row r="1885" spans="1:18" s="1028" customFormat="1" ht="39" customHeight="1" thickBot="1" thickTop="1">
      <c r="A1885" s="1026">
        <v>926</v>
      </c>
      <c r="B1885" s="1027" t="s">
        <v>651</v>
      </c>
      <c r="C1885" s="740">
        <f>SUM(C1886+C1903+C1900)</f>
        <v>6631300</v>
      </c>
      <c r="D1885" s="618">
        <f t="shared" si="225"/>
        <v>8297800</v>
      </c>
      <c r="E1885" s="618">
        <f>H1885+K1885+Q1885+N1885</f>
        <v>3729351</v>
      </c>
      <c r="F1885" s="619">
        <f t="shared" si="233"/>
        <v>44.943852587432815</v>
      </c>
      <c r="G1885" s="740">
        <f>SUM(G1886+G1903+G1900)</f>
        <v>8297800</v>
      </c>
      <c r="H1885" s="618">
        <f>SUM(H1886+H1903+H1900)</f>
        <v>3729351</v>
      </c>
      <c r="I1885" s="621">
        <f t="shared" si="231"/>
        <v>44.943852587432815</v>
      </c>
      <c r="J1885" s="1128"/>
      <c r="K1885" s="618"/>
      <c r="L1885" s="721"/>
      <c r="M1885" s="618"/>
      <c r="N1885" s="618"/>
      <c r="O1885" s="722"/>
      <c r="P1885" s="618"/>
      <c r="Q1885" s="618"/>
      <c r="R1885" s="853"/>
    </row>
    <row r="1886" spans="1:18" ht="21.75" customHeight="1" thickTop="1">
      <c r="A1886" s="724">
        <v>92601</v>
      </c>
      <c r="B1886" s="854" t="s">
        <v>653</v>
      </c>
      <c r="C1886" s="726">
        <f>SUM(C1887:C1891)+C1896</f>
        <v>3150000</v>
      </c>
      <c r="D1886" s="631">
        <f t="shared" si="225"/>
        <v>4176500</v>
      </c>
      <c r="E1886" s="637">
        <f>H1886+K1886+Q1886+N1886</f>
        <v>564576</v>
      </c>
      <c r="F1886" s="705">
        <f t="shared" si="233"/>
        <v>13.517921704776729</v>
      </c>
      <c r="G1886" s="726">
        <f>SUM(G1887:G1891)+G1896</f>
        <v>4176500</v>
      </c>
      <c r="H1886" s="657">
        <f>SUM(H1887:H1891)+H1896</f>
        <v>564576</v>
      </c>
      <c r="I1886" s="665">
        <f t="shared" si="231"/>
        <v>13.517921704776729</v>
      </c>
      <c r="J1886" s="662"/>
      <c r="K1886" s="657"/>
      <c r="L1886" s="663"/>
      <c r="M1886" s="657"/>
      <c r="N1886" s="657"/>
      <c r="O1886" s="317"/>
      <c r="P1886" s="657"/>
      <c r="Q1886" s="657"/>
      <c r="R1886" s="842"/>
    </row>
    <row r="1887" spans="1:18" ht="61.5" customHeight="1" hidden="1">
      <c r="A1887" s="709">
        <v>2820</v>
      </c>
      <c r="B1887" s="776" t="s">
        <v>918</v>
      </c>
      <c r="C1887" s="666"/>
      <c r="D1887" s="643">
        <f t="shared" si="225"/>
        <v>0</v>
      </c>
      <c r="E1887" s="667">
        <f>H1887+K1887+Q1887+N1887</f>
        <v>0</v>
      </c>
      <c r="F1887" s="644" t="e">
        <f t="shared" si="233"/>
        <v>#DIV/0!</v>
      </c>
      <c r="G1887" s="666"/>
      <c r="H1887" s="686"/>
      <c r="I1887" s="647" t="e">
        <f t="shared" si="231"/>
        <v>#DIV/0!</v>
      </c>
      <c r="J1887" s="777"/>
      <c r="K1887" s="686"/>
      <c r="L1887" s="690"/>
      <c r="M1887" s="686"/>
      <c r="N1887" s="686"/>
      <c r="O1887" s="779"/>
      <c r="P1887" s="686"/>
      <c r="Q1887" s="686"/>
      <c r="R1887" s="760"/>
    </row>
    <row r="1888" spans="1:18" ht="36">
      <c r="A1888" s="728">
        <v>4300</v>
      </c>
      <c r="B1888" s="735" t="s">
        <v>242</v>
      </c>
      <c r="C1888" s="666"/>
      <c r="D1888" s="643">
        <f t="shared" si="225"/>
        <v>215000</v>
      </c>
      <c r="E1888" s="667">
        <f>H1888+K1888+Q1888+N1888</f>
        <v>84590</v>
      </c>
      <c r="F1888" s="644">
        <f t="shared" si="233"/>
        <v>39.34418604651162</v>
      </c>
      <c r="G1888" s="666">
        <f>45000+170000-25000+25000</f>
        <v>215000</v>
      </c>
      <c r="H1888" s="667">
        <v>84590</v>
      </c>
      <c r="I1888" s="647">
        <f t="shared" si="231"/>
        <v>39.34418604651162</v>
      </c>
      <c r="J1888" s="730"/>
      <c r="K1888" s="667"/>
      <c r="L1888" s="649"/>
      <c r="M1888" s="667"/>
      <c r="N1888" s="667"/>
      <c r="O1888" s="731"/>
      <c r="P1888" s="667"/>
      <c r="Q1888" s="667"/>
      <c r="R1888" s="737"/>
    </row>
    <row r="1889" spans="1:18" ht="24" hidden="1">
      <c r="A1889" s="728">
        <v>4270</v>
      </c>
      <c r="B1889" s="735" t="s">
        <v>713</v>
      </c>
      <c r="C1889" s="666"/>
      <c r="D1889" s="643">
        <f t="shared" si="225"/>
        <v>0</v>
      </c>
      <c r="E1889" s="667">
        <f aca="true" t="shared" si="234" ref="E1889:E1895">SUM(H1889+K1889+N1889+Q1889)</f>
        <v>0</v>
      </c>
      <c r="F1889" s="644" t="e">
        <f t="shared" si="233"/>
        <v>#DIV/0!</v>
      </c>
      <c r="G1889" s="666"/>
      <c r="H1889" s="643"/>
      <c r="I1889" s="647" t="e">
        <f t="shared" si="231"/>
        <v>#DIV/0!</v>
      </c>
      <c r="J1889" s="730"/>
      <c r="K1889" s="667"/>
      <c r="L1889" s="649"/>
      <c r="M1889" s="667"/>
      <c r="N1889" s="667"/>
      <c r="O1889" s="731"/>
      <c r="P1889" s="667"/>
      <c r="Q1889" s="667"/>
      <c r="R1889" s="737"/>
    </row>
    <row r="1890" spans="1:18" ht="60">
      <c r="A1890" s="728">
        <v>6010</v>
      </c>
      <c r="B1890" s="735" t="s">
        <v>243</v>
      </c>
      <c r="C1890" s="666">
        <v>2000000</v>
      </c>
      <c r="D1890" s="643">
        <f t="shared" si="225"/>
        <v>2540000</v>
      </c>
      <c r="E1890" s="667">
        <f t="shared" si="234"/>
        <v>0</v>
      </c>
      <c r="F1890" s="644">
        <f t="shared" si="233"/>
        <v>0</v>
      </c>
      <c r="G1890" s="666">
        <f>2000000+540000</f>
        <v>2540000</v>
      </c>
      <c r="H1890" s="643"/>
      <c r="I1890" s="647">
        <f t="shared" si="231"/>
        <v>0</v>
      </c>
      <c r="J1890" s="730"/>
      <c r="K1890" s="667"/>
      <c r="L1890" s="649"/>
      <c r="M1890" s="667"/>
      <c r="N1890" s="667"/>
      <c r="O1890" s="731"/>
      <c r="P1890" s="667"/>
      <c r="Q1890" s="667"/>
      <c r="R1890" s="737"/>
    </row>
    <row r="1891" spans="1:18" ht="27.75" customHeight="1">
      <c r="A1891" s="709">
        <v>6050</v>
      </c>
      <c r="B1891" s="776" t="s">
        <v>739</v>
      </c>
      <c r="C1891" s="670">
        <f>SUM(C1892:C1895)</f>
        <v>1150000</v>
      </c>
      <c r="D1891" s="685">
        <f t="shared" si="225"/>
        <v>1421500</v>
      </c>
      <c r="E1891" s="686">
        <f t="shared" si="234"/>
        <v>479986</v>
      </c>
      <c r="F1891" s="668">
        <f t="shared" si="233"/>
        <v>33.76616250439676</v>
      </c>
      <c r="G1891" s="670">
        <f>SUM(G1892:G1895)</f>
        <v>1421500</v>
      </c>
      <c r="H1891" s="686">
        <f>SUM(H1892:H1895)</f>
        <v>479986</v>
      </c>
      <c r="I1891" s="652">
        <f t="shared" si="231"/>
        <v>33.76616250439676</v>
      </c>
      <c r="J1891" s="777"/>
      <c r="K1891" s="686"/>
      <c r="L1891" s="690"/>
      <c r="M1891" s="686"/>
      <c r="N1891" s="686"/>
      <c r="O1891" s="779"/>
      <c r="P1891" s="686"/>
      <c r="Q1891" s="686"/>
      <c r="R1891" s="760"/>
    </row>
    <row r="1892" spans="1:18" s="801" customFormat="1" ht="13.5" customHeight="1">
      <c r="A1892" s="795"/>
      <c r="B1892" s="796" t="s">
        <v>244</v>
      </c>
      <c r="C1892" s="392">
        <v>1000000</v>
      </c>
      <c r="D1892" s="393">
        <f t="shared" si="225"/>
        <v>1000000</v>
      </c>
      <c r="E1892" s="393">
        <f t="shared" si="234"/>
        <v>479986</v>
      </c>
      <c r="F1892" s="644">
        <f t="shared" si="233"/>
        <v>47.9986</v>
      </c>
      <c r="G1892" s="392">
        <v>1000000</v>
      </c>
      <c r="H1892" s="393">
        <f>98+57340+140567+108219+55578+118184</f>
        <v>479986</v>
      </c>
      <c r="I1892" s="492">
        <f t="shared" si="231"/>
        <v>47.9986</v>
      </c>
      <c r="J1892" s="914"/>
      <c r="K1892" s="393"/>
      <c r="L1892" s="649"/>
      <c r="M1892" s="393"/>
      <c r="N1892" s="393"/>
      <c r="O1892" s="649"/>
      <c r="P1892" s="393"/>
      <c r="Q1892" s="393"/>
      <c r="R1892" s="821"/>
    </row>
    <row r="1893" spans="1:18" s="801" customFormat="1" ht="36">
      <c r="A1893" s="795"/>
      <c r="B1893" s="796" t="s">
        <v>245</v>
      </c>
      <c r="C1893" s="392">
        <v>50000</v>
      </c>
      <c r="D1893" s="393">
        <f>G1893+J1893+P1893+M1893</f>
        <v>50000</v>
      </c>
      <c r="E1893" s="393">
        <f>SUM(H1893+K1893+N1893+Q1893)</f>
        <v>0</v>
      </c>
      <c r="F1893" s="644">
        <f t="shared" si="233"/>
        <v>0</v>
      </c>
      <c r="G1893" s="392">
        <v>50000</v>
      </c>
      <c r="H1893" s="393"/>
      <c r="I1893" s="492"/>
      <c r="J1893" s="914"/>
      <c r="K1893" s="393"/>
      <c r="L1893" s="649"/>
      <c r="M1893" s="393"/>
      <c r="N1893" s="393"/>
      <c r="O1893" s="649"/>
      <c r="P1893" s="393"/>
      <c r="Q1893" s="393"/>
      <c r="R1893" s="821"/>
    </row>
    <row r="1894" spans="1:18" s="801" customFormat="1" ht="36" hidden="1">
      <c r="A1894" s="795"/>
      <c r="B1894" s="796" t="s">
        <v>246</v>
      </c>
      <c r="C1894" s="392"/>
      <c r="D1894" s="393">
        <f>G1894+J1894+P1894+M1894</f>
        <v>0</v>
      </c>
      <c r="E1894" s="393">
        <f>SUM(H1894+K1894+N1894+Q1894)</f>
        <v>0</v>
      </c>
      <c r="F1894" s="644" t="e">
        <f>E1894/D1894*100</f>
        <v>#DIV/0!</v>
      </c>
      <c r="G1894" s="392"/>
      <c r="H1894" s="393"/>
      <c r="I1894" s="492" t="e">
        <f t="shared" si="231"/>
        <v>#DIV/0!</v>
      </c>
      <c r="J1894" s="914"/>
      <c r="K1894" s="393"/>
      <c r="L1894" s="649"/>
      <c r="M1894" s="393"/>
      <c r="N1894" s="393"/>
      <c r="O1894" s="649"/>
      <c r="P1894" s="393"/>
      <c r="Q1894" s="393"/>
      <c r="R1894" s="821"/>
    </row>
    <row r="1895" spans="1:18" s="801" customFormat="1" ht="36">
      <c r="A1895" s="795"/>
      <c r="B1895" s="796" t="s">
        <v>247</v>
      </c>
      <c r="C1895" s="392">
        <v>100000</v>
      </c>
      <c r="D1895" s="393">
        <f t="shared" si="225"/>
        <v>371500</v>
      </c>
      <c r="E1895" s="393">
        <f t="shared" si="234"/>
        <v>0</v>
      </c>
      <c r="F1895" s="644">
        <f t="shared" si="233"/>
        <v>0</v>
      </c>
      <c r="G1895" s="392">
        <f>100000+271500</f>
        <v>371500</v>
      </c>
      <c r="H1895" s="393"/>
      <c r="I1895" s="492">
        <f t="shared" si="231"/>
        <v>0</v>
      </c>
      <c r="J1895" s="914"/>
      <c r="K1895" s="393"/>
      <c r="L1895" s="649"/>
      <c r="M1895" s="393"/>
      <c r="N1895" s="393"/>
      <c r="O1895" s="649"/>
      <c r="P1895" s="393"/>
      <c r="Q1895" s="393"/>
      <c r="R1895" s="821"/>
    </row>
    <row r="1896" spans="1:18" s="775" customFormat="1" ht="48" hidden="1">
      <c r="A1896" s="746"/>
      <c r="B1896" s="926" t="s">
        <v>248</v>
      </c>
      <c r="C1896" s="748">
        <f>SUM(C1897:C1899)</f>
        <v>0</v>
      </c>
      <c r="D1896" s="749">
        <f aca="true" t="shared" si="235" ref="D1896:E1900">G1896+J1896+P1896+M1896</f>
        <v>0</v>
      </c>
      <c r="E1896" s="749">
        <f t="shared" si="235"/>
        <v>0</v>
      </c>
      <c r="F1896" s="644" t="e">
        <f t="shared" si="233"/>
        <v>#DIV/0!</v>
      </c>
      <c r="G1896" s="748">
        <f>SUM(G1897:G1899)</f>
        <v>0</v>
      </c>
      <c r="H1896" s="749">
        <f>SUM(H1897:H1899)</f>
        <v>0</v>
      </c>
      <c r="I1896" s="492" t="e">
        <f t="shared" si="231"/>
        <v>#DIV/0!</v>
      </c>
      <c r="J1896" s="750"/>
      <c r="K1896" s="749"/>
      <c r="L1896" s="751"/>
      <c r="M1896" s="749"/>
      <c r="N1896" s="749"/>
      <c r="O1896" s="774"/>
      <c r="P1896" s="749"/>
      <c r="Q1896" s="749"/>
      <c r="R1896" s="755"/>
    </row>
    <row r="1897" spans="1:18" s="775" customFormat="1" ht="24" hidden="1">
      <c r="A1897" s="728">
        <v>6050</v>
      </c>
      <c r="B1897" s="735" t="s">
        <v>739</v>
      </c>
      <c r="C1897" s="697"/>
      <c r="D1897" s="643">
        <f t="shared" si="235"/>
        <v>0</v>
      </c>
      <c r="E1897" s="643">
        <f t="shared" si="235"/>
        <v>0</v>
      </c>
      <c r="F1897" s="644" t="e">
        <f t="shared" si="233"/>
        <v>#DIV/0!</v>
      </c>
      <c r="G1897" s="697"/>
      <c r="H1897" s="643"/>
      <c r="I1897" s="492" t="e">
        <f t="shared" si="231"/>
        <v>#DIV/0!</v>
      </c>
      <c r="J1897" s="750"/>
      <c r="K1897" s="749"/>
      <c r="L1897" s="751"/>
      <c r="M1897" s="749"/>
      <c r="N1897" s="749"/>
      <c r="O1897" s="774"/>
      <c r="P1897" s="749"/>
      <c r="Q1897" s="749"/>
      <c r="R1897" s="755"/>
    </row>
    <row r="1898" spans="1:18" ht="24" hidden="1">
      <c r="A1898" s="728">
        <v>6058</v>
      </c>
      <c r="B1898" s="735" t="s">
        <v>739</v>
      </c>
      <c r="C1898" s="697"/>
      <c r="D1898" s="643">
        <f t="shared" si="235"/>
        <v>0</v>
      </c>
      <c r="E1898" s="643">
        <f t="shared" si="235"/>
        <v>0</v>
      </c>
      <c r="F1898" s="644" t="e">
        <f t="shared" si="233"/>
        <v>#DIV/0!</v>
      </c>
      <c r="G1898" s="666"/>
      <c r="H1898" s="667"/>
      <c r="I1898" s="492" t="e">
        <f t="shared" si="231"/>
        <v>#DIV/0!</v>
      </c>
      <c r="J1898" s="730"/>
      <c r="K1898" s="667"/>
      <c r="L1898" s="649"/>
      <c r="M1898" s="667"/>
      <c r="N1898" s="667"/>
      <c r="O1898" s="731"/>
      <c r="P1898" s="667"/>
      <c r="Q1898" s="667"/>
      <c r="R1898" s="737"/>
    </row>
    <row r="1899" spans="1:18" ht="24" hidden="1">
      <c r="A1899" s="728">
        <v>6059</v>
      </c>
      <c r="B1899" s="735" t="s">
        <v>739</v>
      </c>
      <c r="C1899" s="697"/>
      <c r="D1899" s="643">
        <f t="shared" si="235"/>
        <v>0</v>
      </c>
      <c r="E1899" s="643">
        <f t="shared" si="235"/>
        <v>0</v>
      </c>
      <c r="F1899" s="644" t="e">
        <f t="shared" si="233"/>
        <v>#DIV/0!</v>
      </c>
      <c r="G1899" s="666"/>
      <c r="H1899" s="667"/>
      <c r="I1899" s="492" t="e">
        <f t="shared" si="231"/>
        <v>#DIV/0!</v>
      </c>
      <c r="J1899" s="730"/>
      <c r="K1899" s="667"/>
      <c r="L1899" s="649"/>
      <c r="M1899" s="667"/>
      <c r="N1899" s="667"/>
      <c r="O1899" s="731"/>
      <c r="P1899" s="667"/>
      <c r="Q1899" s="667"/>
      <c r="R1899" s="737"/>
    </row>
    <row r="1900" spans="1:18" s="723" customFormat="1" ht="36">
      <c r="A1900" s="724">
        <v>92605</v>
      </c>
      <c r="B1900" s="854" t="s">
        <v>249</v>
      </c>
      <c r="C1900" s="726">
        <f>SUM(C1901:C1901)</f>
        <v>3300000</v>
      </c>
      <c r="D1900" s="674">
        <f t="shared" si="235"/>
        <v>3640000</v>
      </c>
      <c r="E1900" s="657">
        <f t="shared" si="235"/>
        <v>2870287</v>
      </c>
      <c r="F1900" s="658">
        <f t="shared" si="233"/>
        <v>78.85403846153847</v>
      </c>
      <c r="G1900" s="726">
        <f>SUM(G1901:G1902)</f>
        <v>3640000</v>
      </c>
      <c r="H1900" s="657">
        <f>SUM(H1901:H1902)</f>
        <v>2870287</v>
      </c>
      <c r="I1900" s="890">
        <f>H1900/G1900*100</f>
        <v>78.85403846153847</v>
      </c>
      <c r="J1900" s="662"/>
      <c r="K1900" s="657"/>
      <c r="L1900" s="663"/>
      <c r="M1900" s="657"/>
      <c r="N1900" s="657"/>
      <c r="O1900" s="317"/>
      <c r="P1900" s="657"/>
      <c r="Q1900" s="657"/>
      <c r="R1900" s="842"/>
    </row>
    <row r="1901" spans="1:18" ht="63.75" customHeight="1">
      <c r="A1901" s="728">
        <v>2820</v>
      </c>
      <c r="B1901" s="735" t="s">
        <v>818</v>
      </c>
      <c r="C1901" s="666">
        <v>3300000</v>
      </c>
      <c r="D1901" s="643">
        <f>G1901+J1901+P1901+M1901</f>
        <v>3640000</v>
      </c>
      <c r="E1901" s="667">
        <f aca="true" t="shared" si="236" ref="E1901:E1915">SUM(H1901+K1901+N1901+Q1901)</f>
        <v>2870287</v>
      </c>
      <c r="F1901" s="644">
        <f t="shared" si="233"/>
        <v>78.85403846153847</v>
      </c>
      <c r="G1901" s="666">
        <f>3300000+70000+30000+240000</f>
        <v>3640000</v>
      </c>
      <c r="H1901" s="667">
        <v>2870287</v>
      </c>
      <c r="I1901" s="758">
        <f>H1901/G1901*100</f>
        <v>78.85403846153847</v>
      </c>
      <c r="J1901" s="730"/>
      <c r="K1901" s="667"/>
      <c r="L1901" s="649"/>
      <c r="M1901" s="667"/>
      <c r="N1901" s="667"/>
      <c r="O1901" s="731"/>
      <c r="P1901" s="667"/>
      <c r="Q1901" s="667"/>
      <c r="R1901" s="737"/>
    </row>
    <row r="1902" spans="1:18" ht="27.75" customHeight="1" hidden="1">
      <c r="A1902" s="728">
        <v>4300</v>
      </c>
      <c r="B1902" s="735" t="s">
        <v>715</v>
      </c>
      <c r="C1902" s="666"/>
      <c r="D1902" s="643">
        <f>G1902+J1902+P1902+M1902</f>
        <v>0</v>
      </c>
      <c r="E1902" s="667">
        <f t="shared" si="236"/>
        <v>0</v>
      </c>
      <c r="F1902" s="644" t="e">
        <f t="shared" si="233"/>
        <v>#DIV/0!</v>
      </c>
      <c r="G1902" s="666"/>
      <c r="H1902" s="667"/>
      <c r="I1902" s="492" t="e">
        <f>H1902/G1902*100</f>
        <v>#DIV/0!</v>
      </c>
      <c r="J1902" s="730"/>
      <c r="K1902" s="667"/>
      <c r="L1902" s="649"/>
      <c r="M1902" s="667"/>
      <c r="N1902" s="667"/>
      <c r="O1902" s="731"/>
      <c r="P1902" s="667"/>
      <c r="Q1902" s="667"/>
      <c r="R1902" s="737"/>
    </row>
    <row r="1903" spans="1:18" ht="15.75" customHeight="1">
      <c r="A1903" s="724">
        <v>92695</v>
      </c>
      <c r="B1903" s="854" t="s">
        <v>250</v>
      </c>
      <c r="C1903" s="726">
        <f>SUM(C1905:C1915)</f>
        <v>181300</v>
      </c>
      <c r="D1903" s="674">
        <f>G1903+J1903+P1903+M1903</f>
        <v>481300</v>
      </c>
      <c r="E1903" s="657">
        <f>H1903+K1903+Q1903+N1903</f>
        <v>294488</v>
      </c>
      <c r="F1903" s="658">
        <f>E1903/D1903*100</f>
        <v>61.18595470600457</v>
      </c>
      <c r="G1903" s="726">
        <f>SUM(G1904:G1915)</f>
        <v>481300</v>
      </c>
      <c r="H1903" s="657">
        <f>SUM(H1904:H1915)</f>
        <v>294488</v>
      </c>
      <c r="I1903" s="890">
        <f>H1903/G1903*100</f>
        <v>61.18595470600457</v>
      </c>
      <c r="J1903" s="662"/>
      <c r="K1903" s="657"/>
      <c r="L1903" s="663"/>
      <c r="M1903" s="657"/>
      <c r="N1903" s="657"/>
      <c r="O1903" s="317"/>
      <c r="P1903" s="657"/>
      <c r="Q1903" s="657"/>
      <c r="R1903" s="842"/>
    </row>
    <row r="1904" spans="1:18" s="761" customFormat="1" ht="72">
      <c r="A1904" s="829">
        <v>2820</v>
      </c>
      <c r="B1904" s="735" t="s">
        <v>818</v>
      </c>
      <c r="C1904" s="697"/>
      <c r="D1904" s="643">
        <f>G1904+J1904+P1904+M1904</f>
        <v>250000</v>
      </c>
      <c r="E1904" s="667">
        <f>SUM(H1904+K1904+N1904+Q1904)</f>
        <v>150000</v>
      </c>
      <c r="F1904" s="644">
        <f aca="true" t="shared" si="237" ref="F1904:F1921">E1904/D1904*100</f>
        <v>60</v>
      </c>
      <c r="G1904" s="697">
        <v>250000</v>
      </c>
      <c r="H1904" s="643">
        <v>150000</v>
      </c>
      <c r="I1904" s="492">
        <f aca="true" t="shared" si="238" ref="I1904:I1915">H1904/G1904*100</f>
        <v>60</v>
      </c>
      <c r="J1904" s="648"/>
      <c r="K1904" s="643"/>
      <c r="L1904" s="649"/>
      <c r="M1904" s="643"/>
      <c r="N1904" s="643"/>
      <c r="O1904" s="731"/>
      <c r="P1904" s="643"/>
      <c r="Q1904" s="643"/>
      <c r="R1904" s="737"/>
    </row>
    <row r="1905" spans="1:18" ht="27.75" customHeight="1" hidden="1">
      <c r="A1905" s="728">
        <v>3020</v>
      </c>
      <c r="B1905" s="735" t="s">
        <v>159</v>
      </c>
      <c r="C1905" s="666"/>
      <c r="D1905" s="643">
        <f aca="true" t="shared" si="239" ref="D1905:D1915">G1905+J1905+P1905+M1905</f>
        <v>0</v>
      </c>
      <c r="E1905" s="667">
        <f t="shared" si="236"/>
        <v>0</v>
      </c>
      <c r="F1905" s="644" t="e">
        <f t="shared" si="237"/>
        <v>#DIV/0!</v>
      </c>
      <c r="G1905" s="666"/>
      <c r="H1905" s="667"/>
      <c r="I1905" s="492" t="e">
        <f t="shared" si="238"/>
        <v>#DIV/0!</v>
      </c>
      <c r="J1905" s="730"/>
      <c r="K1905" s="667"/>
      <c r="L1905" s="649"/>
      <c r="M1905" s="667"/>
      <c r="N1905" s="667"/>
      <c r="O1905" s="731"/>
      <c r="P1905" s="667"/>
      <c r="Q1905" s="667"/>
      <c r="R1905" s="737"/>
    </row>
    <row r="1906" spans="1:18" ht="39.75" customHeight="1">
      <c r="A1906" s="728">
        <v>3040</v>
      </c>
      <c r="B1906" s="735" t="s">
        <v>43</v>
      </c>
      <c r="C1906" s="666">
        <v>36000</v>
      </c>
      <c r="D1906" s="643">
        <f t="shared" si="239"/>
        <v>61000</v>
      </c>
      <c r="E1906" s="667">
        <f t="shared" si="236"/>
        <v>25300</v>
      </c>
      <c r="F1906" s="644">
        <f t="shared" si="237"/>
        <v>41.47540983606557</v>
      </c>
      <c r="G1906" s="666">
        <f>36000+25000</f>
        <v>61000</v>
      </c>
      <c r="H1906" s="667">
        <v>25300</v>
      </c>
      <c r="I1906" s="492">
        <f t="shared" si="238"/>
        <v>41.47540983606557</v>
      </c>
      <c r="J1906" s="730"/>
      <c r="K1906" s="667"/>
      <c r="L1906" s="649"/>
      <c r="M1906" s="667"/>
      <c r="N1906" s="667"/>
      <c r="O1906" s="731"/>
      <c r="P1906" s="667"/>
      <c r="Q1906" s="667"/>
      <c r="R1906" s="737"/>
    </row>
    <row r="1907" spans="1:18" ht="12.75">
      <c r="A1907" s="728">
        <v>3250</v>
      </c>
      <c r="B1907" s="735" t="s">
        <v>40</v>
      </c>
      <c r="C1907" s="666">
        <v>61000</v>
      </c>
      <c r="D1907" s="643">
        <f>G1907+J1907+P1907+M1907</f>
        <v>61000</v>
      </c>
      <c r="E1907" s="667">
        <f>SUM(H1907+K1907+N1907+Q1907)</f>
        <v>44659</v>
      </c>
      <c r="F1907" s="644">
        <f>E1907/D1907*100</f>
        <v>73.21147540983607</v>
      </c>
      <c r="G1907" s="666">
        <v>61000</v>
      </c>
      <c r="H1907" s="667">
        <v>44659</v>
      </c>
      <c r="I1907" s="492">
        <f t="shared" si="238"/>
        <v>73.21147540983607</v>
      </c>
      <c r="J1907" s="730"/>
      <c r="K1907" s="667"/>
      <c r="L1907" s="649"/>
      <c r="M1907" s="667"/>
      <c r="N1907" s="667"/>
      <c r="O1907" s="731"/>
      <c r="P1907" s="667"/>
      <c r="Q1907" s="667"/>
      <c r="R1907" s="737"/>
    </row>
    <row r="1908" spans="1:18" ht="24">
      <c r="A1908" s="728">
        <v>4110</v>
      </c>
      <c r="B1908" s="995" t="s">
        <v>703</v>
      </c>
      <c r="C1908" s="666">
        <v>10700</v>
      </c>
      <c r="D1908" s="643">
        <f>G1908+J1908+P1908+M1908</f>
        <v>10700</v>
      </c>
      <c r="E1908" s="667">
        <f>SUM(H1908+K1908+N1908+Q1908)</f>
        <v>608</v>
      </c>
      <c r="F1908" s="644">
        <f>E1908/D1908*100</f>
        <v>5.682242990654205</v>
      </c>
      <c r="G1908" s="666">
        <v>10700</v>
      </c>
      <c r="H1908" s="667">
        <v>608</v>
      </c>
      <c r="I1908" s="492">
        <f t="shared" si="238"/>
        <v>5.682242990654205</v>
      </c>
      <c r="J1908" s="730"/>
      <c r="K1908" s="667"/>
      <c r="L1908" s="649"/>
      <c r="M1908" s="667"/>
      <c r="N1908" s="667"/>
      <c r="O1908" s="731"/>
      <c r="P1908" s="667"/>
      <c r="Q1908" s="667"/>
      <c r="R1908" s="737"/>
    </row>
    <row r="1909" spans="1:18" ht="12.75">
      <c r="A1909" s="728">
        <v>4120</v>
      </c>
      <c r="B1909" s="995" t="s">
        <v>847</v>
      </c>
      <c r="C1909" s="666">
        <v>1500</v>
      </c>
      <c r="D1909" s="643">
        <f>G1909+J1909+P1909+M1909</f>
        <v>1500</v>
      </c>
      <c r="E1909" s="667">
        <f>SUM(H1909+K1909+N1909+Q1909)</f>
        <v>98</v>
      </c>
      <c r="F1909" s="644">
        <f>E1909/D1909*100</f>
        <v>6.533333333333332</v>
      </c>
      <c r="G1909" s="666">
        <v>1500</v>
      </c>
      <c r="H1909" s="667">
        <v>98</v>
      </c>
      <c r="I1909" s="492">
        <f t="shared" si="238"/>
        <v>6.533333333333332</v>
      </c>
      <c r="J1909" s="730"/>
      <c r="K1909" s="667"/>
      <c r="L1909" s="649"/>
      <c r="M1909" s="667"/>
      <c r="N1909" s="667"/>
      <c r="O1909" s="731"/>
      <c r="P1909" s="667"/>
      <c r="Q1909" s="667"/>
      <c r="R1909" s="737"/>
    </row>
    <row r="1910" spans="1:18" ht="27" customHeight="1">
      <c r="A1910" s="728">
        <v>4210</v>
      </c>
      <c r="B1910" s="735" t="s">
        <v>960</v>
      </c>
      <c r="C1910" s="666">
        <v>26000</v>
      </c>
      <c r="D1910" s="643">
        <f t="shared" si="239"/>
        <v>26000</v>
      </c>
      <c r="E1910" s="667">
        <f t="shared" si="236"/>
        <v>19355</v>
      </c>
      <c r="F1910" s="644">
        <f t="shared" si="237"/>
        <v>74.4423076923077</v>
      </c>
      <c r="G1910" s="666">
        <v>26000</v>
      </c>
      <c r="H1910" s="667">
        <v>19355</v>
      </c>
      <c r="I1910" s="492">
        <f t="shared" si="238"/>
        <v>74.4423076923077</v>
      </c>
      <c r="J1910" s="730"/>
      <c r="K1910" s="667"/>
      <c r="L1910" s="649"/>
      <c r="M1910" s="667"/>
      <c r="N1910" s="667"/>
      <c r="O1910" s="731"/>
      <c r="P1910" s="667"/>
      <c r="Q1910" s="667"/>
      <c r="R1910" s="737"/>
    </row>
    <row r="1911" spans="1:18" ht="28.5" customHeight="1">
      <c r="A1911" s="728">
        <v>4210</v>
      </c>
      <c r="B1911" s="735" t="s">
        <v>251</v>
      </c>
      <c r="C1911" s="666">
        <v>24500</v>
      </c>
      <c r="D1911" s="643">
        <f t="shared" si="239"/>
        <v>17200</v>
      </c>
      <c r="E1911" s="667">
        <f t="shared" si="236"/>
        <v>13490</v>
      </c>
      <c r="F1911" s="644">
        <f t="shared" si="237"/>
        <v>78.43023255813954</v>
      </c>
      <c r="G1911" s="666">
        <f>24500-3400-300-700+300-1600-1600</f>
        <v>17200</v>
      </c>
      <c r="H1911" s="667">
        <v>13490</v>
      </c>
      <c r="I1911" s="492">
        <f t="shared" si="238"/>
        <v>78.43023255813954</v>
      </c>
      <c r="J1911" s="730"/>
      <c r="K1911" s="667"/>
      <c r="L1911" s="649"/>
      <c r="M1911" s="667"/>
      <c r="N1911" s="667"/>
      <c r="O1911" s="731"/>
      <c r="P1911" s="667"/>
      <c r="Q1911" s="667"/>
      <c r="R1911" s="737"/>
    </row>
    <row r="1912" spans="1:18" ht="28.5" customHeight="1">
      <c r="A1912" s="728">
        <v>4300</v>
      </c>
      <c r="B1912" s="735" t="s">
        <v>252</v>
      </c>
      <c r="C1912" s="666">
        <v>10340</v>
      </c>
      <c r="D1912" s="643">
        <f>G1912+J1912+P1912+M1912</f>
        <v>17640</v>
      </c>
      <c r="E1912" s="667">
        <f>SUM(H1912+K1912+N1912+Q1912)</f>
        <v>14250</v>
      </c>
      <c r="F1912" s="644">
        <f>E1912/D1912*100</f>
        <v>80.78231292517006</v>
      </c>
      <c r="G1912" s="666">
        <f>10340+3400+300+700-300+1600+1600</f>
        <v>17640</v>
      </c>
      <c r="H1912" s="667">
        <v>14250</v>
      </c>
      <c r="I1912" s="492">
        <f t="shared" si="238"/>
        <v>80.78231292517006</v>
      </c>
      <c r="J1912" s="730"/>
      <c r="K1912" s="667"/>
      <c r="L1912" s="649"/>
      <c r="M1912" s="667"/>
      <c r="N1912" s="667"/>
      <c r="O1912" s="731"/>
      <c r="P1912" s="667"/>
      <c r="Q1912" s="667"/>
      <c r="R1912" s="737"/>
    </row>
    <row r="1913" spans="1:18" ht="24">
      <c r="A1913" s="762">
        <v>4300</v>
      </c>
      <c r="B1913" s="780" t="s">
        <v>715</v>
      </c>
      <c r="C1913" s="781">
        <v>11000</v>
      </c>
      <c r="D1913" s="765">
        <f t="shared" si="239"/>
        <v>36000</v>
      </c>
      <c r="E1913" s="785">
        <f t="shared" si="236"/>
        <v>26684</v>
      </c>
      <c r="F1913" s="705">
        <f t="shared" si="237"/>
        <v>74.12222222222222</v>
      </c>
      <c r="G1913" s="781">
        <f>11000+20000+5000</f>
        <v>36000</v>
      </c>
      <c r="H1913" s="785">
        <v>26684</v>
      </c>
      <c r="I1913" s="766">
        <f t="shared" si="238"/>
        <v>74.12222222222222</v>
      </c>
      <c r="J1913" s="782"/>
      <c r="K1913" s="785"/>
      <c r="L1913" s="768"/>
      <c r="M1913" s="785"/>
      <c r="N1913" s="785"/>
      <c r="O1913" s="786"/>
      <c r="P1913" s="785"/>
      <c r="Q1913" s="785"/>
      <c r="R1913" s="770"/>
    </row>
    <row r="1914" spans="1:18" ht="60" hidden="1">
      <c r="A1914" s="829">
        <v>4740</v>
      </c>
      <c r="B1914" s="850" t="s">
        <v>253</v>
      </c>
      <c r="C1914" s="666"/>
      <c r="D1914" s="643">
        <f>G1914+J1914+P1914+M1914</f>
        <v>0</v>
      </c>
      <c r="E1914" s="667">
        <f>SUM(H1914+K1914+N1914+Q1914)</f>
        <v>0</v>
      </c>
      <c r="F1914" s="644" t="e">
        <f>E1914/D1914*100</f>
        <v>#DIV/0!</v>
      </c>
      <c r="G1914" s="666"/>
      <c r="H1914" s="667"/>
      <c r="I1914" s="492" t="e">
        <f t="shared" si="238"/>
        <v>#DIV/0!</v>
      </c>
      <c r="J1914" s="730"/>
      <c r="K1914" s="667"/>
      <c r="L1914" s="649"/>
      <c r="M1914" s="667"/>
      <c r="N1914" s="667"/>
      <c r="O1914" s="731"/>
      <c r="P1914" s="667"/>
      <c r="Q1914" s="667"/>
      <c r="R1914" s="737"/>
    </row>
    <row r="1915" spans="1:18" ht="24" customHeight="1" thickBot="1">
      <c r="A1915" s="728">
        <v>4430</v>
      </c>
      <c r="B1915" s="735" t="s">
        <v>254</v>
      </c>
      <c r="C1915" s="666">
        <v>260</v>
      </c>
      <c r="D1915" s="643">
        <f t="shared" si="239"/>
        <v>260</v>
      </c>
      <c r="E1915" s="667">
        <f t="shared" si="236"/>
        <v>44</v>
      </c>
      <c r="F1915" s="644">
        <f t="shared" si="237"/>
        <v>16.923076923076923</v>
      </c>
      <c r="G1915" s="666">
        <v>260</v>
      </c>
      <c r="H1915" s="667">
        <v>44</v>
      </c>
      <c r="I1915" s="492">
        <f t="shared" si="238"/>
        <v>16.923076923076923</v>
      </c>
      <c r="J1915" s="730"/>
      <c r="K1915" s="667"/>
      <c r="L1915" s="649"/>
      <c r="M1915" s="667"/>
      <c r="N1915" s="667"/>
      <c r="O1915" s="731"/>
      <c r="P1915" s="667"/>
      <c r="Q1915" s="667"/>
      <c r="R1915" s="737"/>
    </row>
    <row r="1916" spans="1:18" s="1133" customFormat="1" ht="15" customHeight="1" thickTop="1">
      <c r="A1916" s="1129"/>
      <c r="B1916" s="1130" t="s">
        <v>298</v>
      </c>
      <c r="C1916" s="885">
        <f>C8+C35+C45+C38+C230+C1668+C193+C587+C960+C1725+C975+C1035+C1885+C165+C266+C461+C500+C574+C579+C1454+C554+C1394+C494</f>
        <v>329931255</v>
      </c>
      <c r="D1916" s="631">
        <f>G1916+J1916+P1916+M1916</f>
        <v>359629669.07</v>
      </c>
      <c r="E1916" s="631">
        <f>E8+E35+E45+E38+E230+E1668+E193+E587+E960+E1725+E975+E1035+E1885+E165+E266+E461+E500+E574+E579+E1454+E554+E1394+E494</f>
        <v>241426792.07</v>
      </c>
      <c r="F1916" s="1131">
        <f t="shared" si="237"/>
        <v>67.13205634405196</v>
      </c>
      <c r="G1916" s="885">
        <f>G8+G35+G45+G38+G230+G1668+G193+G587+G960+G1725+G975+G1035+G1885+G165+G266+G461+G500+G574+G579+G1454+G1394+G554+G494</f>
        <v>225141591</v>
      </c>
      <c r="H1916" s="631">
        <f>H8+H35+H45+H38+H230+H1668+H193+H587+H960+H1725+H975+H1035+H1885+H165+H266+H461+H500+H574+H579+H1454+H554+H1394+H494</f>
        <v>143454088</v>
      </c>
      <c r="I1916" s="952">
        <f>H1916/G1916*100</f>
        <v>63.71727558769894</v>
      </c>
      <c r="J1916" s="886">
        <f>J8+J35+J45+J38+J230+J1668+J193+J587+J960+J1725+J975+J1035+J1885+J165+J266+J461+J500+J574+J579+J1454+J1394+J554+J494</f>
        <v>21761155.07</v>
      </c>
      <c r="K1916" s="631">
        <f>K8+K35+K45+K38+K230+K1668+K193+K587+K960+K1725+K975+K1035+K1885+K165+K266+K461+K500+K574+K579+K1454+K1394+K554+K494</f>
        <v>14968953.07</v>
      </c>
      <c r="L1916" s="1132">
        <f>K1916/J1916*100</f>
        <v>68.7874932274907</v>
      </c>
      <c r="M1916" s="885">
        <f>M8+M35+M45+M38+M230+M1668+M193+M587+M960+M1725+M975+M1035+M1885+M165+M266+M461+M500+M574+M579+M1454+M1394+M554+M494</f>
        <v>102592955</v>
      </c>
      <c r="N1916" s="192">
        <f>N8+N35+N45+N38+N230+N1668+N193+N587+N960+N1725+N975+N1035+N1885+N165+N266+N461+N500+N574+N579+N1454+N554+N1394+N494</f>
        <v>75865405</v>
      </c>
      <c r="O1916" s="1132">
        <f>N1916/M1916*100</f>
        <v>73.94796747983328</v>
      </c>
      <c r="P1916" s="887">
        <f>P8+P35+P45+P38+P230+P1668+P193+P587+P960+P1725+P975+P1035+P1885+P165+P266+P461+P500+P574+P579+P1454+P1394+P554+P494</f>
        <v>10133968</v>
      </c>
      <c r="Q1916" s="631">
        <f>Q8+Q35+Q45+Q38+Q230+Q1668+Q193+Q587+Q960+Q1725+Q975+Q1035+Q1885+Q165+Q266+Q461+Q500+Q574+Q579+Q1454+Q1394+Q554+Q494</f>
        <v>7138346</v>
      </c>
      <c r="R1916" s="635">
        <f>Q1916/P1916*100</f>
        <v>70.43979219196271</v>
      </c>
    </row>
    <row r="1917" spans="1:18" s="1137" customFormat="1" ht="15" customHeight="1">
      <c r="A1917" s="1134"/>
      <c r="B1917" s="1135" t="s">
        <v>255</v>
      </c>
      <c r="C1917" s="860">
        <f>301369145+24600-24600</f>
        <v>301369145</v>
      </c>
      <c r="D1917" s="861">
        <f>G1917+M1917</f>
        <v>327734546</v>
      </c>
      <c r="E1917" s="861">
        <f>H1917+N1917</f>
        <v>219319493</v>
      </c>
      <c r="F1917" s="700">
        <f t="shared" si="237"/>
        <v>66.91985806098086</v>
      </c>
      <c r="G1917" s="860">
        <f>G1916</f>
        <v>225141591</v>
      </c>
      <c r="H1917" s="861">
        <f>H1916</f>
        <v>143454088</v>
      </c>
      <c r="I1917" s="492">
        <f>H1917/G1917*100</f>
        <v>63.71727558769894</v>
      </c>
      <c r="J1917" s="1084"/>
      <c r="K1917" s="861"/>
      <c r="L1917" s="1136"/>
      <c r="M1917" s="860">
        <f>M1916</f>
        <v>102592955</v>
      </c>
      <c r="N1917" s="861">
        <f>N1916</f>
        <v>75865405</v>
      </c>
      <c r="O1917" s="647">
        <f>N1917/M1917*100</f>
        <v>73.94796747983328</v>
      </c>
      <c r="P1917" s="862"/>
      <c r="Q1917" s="861"/>
      <c r="R1917" s="754"/>
    </row>
    <row r="1918" spans="1:18" s="801" customFormat="1" ht="12">
      <c r="A1918" s="1138"/>
      <c r="B1918" s="1139" t="s">
        <v>256</v>
      </c>
      <c r="C1918" s="392"/>
      <c r="D1918" s="393"/>
      <c r="E1918" s="393"/>
      <c r="F1918" s="644"/>
      <c r="G1918" s="1140"/>
      <c r="H1918" s="393"/>
      <c r="I1918" s="492"/>
      <c r="J1918" s="1140"/>
      <c r="K1918" s="393"/>
      <c r="L1918" s="1141"/>
      <c r="M1918" s="1140"/>
      <c r="N1918" s="393"/>
      <c r="O1918" s="699"/>
      <c r="P1918" s="914"/>
      <c r="Q1918" s="393"/>
      <c r="R1918" s="647"/>
    </row>
    <row r="1919" spans="1:18" s="801" customFormat="1" ht="48">
      <c r="A1919" s="1138"/>
      <c r="B1919" s="1142" t="s">
        <v>257</v>
      </c>
      <c r="C1919" s="392"/>
      <c r="D1919" s="393">
        <f>G1919+J1919+M1919+P1919</f>
        <v>2559368</v>
      </c>
      <c r="E1919" s="393">
        <f>H1919+K1919+N1919+Q1919</f>
        <v>1858817</v>
      </c>
      <c r="F1919" s="700">
        <f t="shared" si="237"/>
        <v>72.62796909236968</v>
      </c>
      <c r="G1919" s="1140">
        <f>G47+G192+G1672+G1904</f>
        <v>350000</v>
      </c>
      <c r="H1919" s="393">
        <f>H47+H192+H1672+H1904</f>
        <v>175000</v>
      </c>
      <c r="I1919" s="492">
        <f>H1919/G1919*100</f>
        <v>50</v>
      </c>
      <c r="J1919" s="1140"/>
      <c r="K1919" s="393"/>
      <c r="L1919" s="1141"/>
      <c r="M1919" s="1140">
        <f>M279+M1037+M1188+M1812+M1400</f>
        <v>2209368</v>
      </c>
      <c r="N1919" s="393">
        <f>N279+N1037+N1188+N1812+N1400</f>
        <v>1683817</v>
      </c>
      <c r="O1919" s="647">
        <f>N1919/M1919*100</f>
        <v>76.21260921675339</v>
      </c>
      <c r="P1919" s="914"/>
      <c r="Q1919" s="393"/>
      <c r="R1919" s="647"/>
    </row>
    <row r="1920" spans="1:18" s="1062" customFormat="1" ht="13.5">
      <c r="A1920" s="1134"/>
      <c r="B1920" s="1143" t="s">
        <v>258</v>
      </c>
      <c r="C1920" s="860">
        <v>28537510</v>
      </c>
      <c r="D1920" s="861">
        <f>G1920+J1920+M1920+P1920</f>
        <v>30753878.07</v>
      </c>
      <c r="E1920" s="861">
        <f>H1920+K1920+N1920+Q1920</f>
        <v>21070256.07</v>
      </c>
      <c r="F1920" s="700">
        <f t="shared" si="237"/>
        <v>68.51251741988844</v>
      </c>
      <c r="G1920" s="1084"/>
      <c r="H1920" s="861"/>
      <c r="I1920" s="1144"/>
      <c r="J1920" s="1084">
        <f>J1916-J1921</f>
        <v>21709375.07</v>
      </c>
      <c r="K1920" s="861">
        <f>K1916-K1921</f>
        <v>14955500.07</v>
      </c>
      <c r="L1920" s="1136">
        <f>K1920/J1920*100</f>
        <v>68.889592730225</v>
      </c>
      <c r="M1920" s="1084"/>
      <c r="N1920" s="861"/>
      <c r="O1920" s="1059"/>
      <c r="P1920" s="862">
        <f>P1916-P1921</f>
        <v>9044503</v>
      </c>
      <c r="Q1920" s="861">
        <f>Q1916-Q1921</f>
        <v>6114756</v>
      </c>
      <c r="R1920" s="754">
        <f>Q1920/P1920*100</f>
        <v>67.60742961774683</v>
      </c>
    </row>
    <row r="1921" spans="1:18" s="1137" customFormat="1" ht="44.25" customHeight="1" thickBot="1">
      <c r="A1921" s="1145"/>
      <c r="B1921" s="1146" t="s">
        <v>259</v>
      </c>
      <c r="C1921" s="1147">
        <v>24600</v>
      </c>
      <c r="D1921" s="1148">
        <f>J1921+P1921</f>
        <v>1141245</v>
      </c>
      <c r="E1921" s="1148">
        <f>K1921+Q1921</f>
        <v>1037043</v>
      </c>
      <c r="F1921" s="987">
        <f t="shared" si="237"/>
        <v>90.86944521115097</v>
      </c>
      <c r="G1921" s="1147"/>
      <c r="H1921" s="1148"/>
      <c r="I1921" s="1149"/>
      <c r="J1921" s="1150">
        <f>J261+J919+J1772+J1278+J906+J1379+J1385</f>
        <v>51780</v>
      </c>
      <c r="K1921" s="1148">
        <f>K261+K919+K1772+K1278+K906+K1379+K1385</f>
        <v>13453</v>
      </c>
      <c r="L1921" s="1047">
        <f>K1921/J1921*100</f>
        <v>25.98107377365778</v>
      </c>
      <c r="M1921" s="1147"/>
      <c r="N1921" s="1151"/>
      <c r="O1921" s="1152"/>
      <c r="P1921" s="1147">
        <f>P380+P377+P73+P1314+P1839</f>
        <v>1089465</v>
      </c>
      <c r="Q1921" s="1148">
        <f>Q380+Q377+Q73+Q1314+Q1839</f>
        <v>1023590</v>
      </c>
      <c r="R1921" s="1153">
        <f>Q1921/P1921*100</f>
        <v>93.95345421835488</v>
      </c>
    </row>
    <row r="1922" spans="1:18" s="1137" customFormat="1" ht="15" customHeight="1" thickTop="1">
      <c r="A1922" s="1154"/>
      <c r="B1922" s="1135"/>
      <c r="C1922" s="1081"/>
      <c r="D1922" s="1155"/>
      <c r="E1922" s="1081"/>
      <c r="F1922" s="1001"/>
      <c r="G1922" s="1081"/>
      <c r="H1922" s="1081"/>
      <c r="I1922" s="1141"/>
      <c r="J1922" s="1155"/>
      <c r="K1922" s="1081"/>
      <c r="L1922" s="1141"/>
      <c r="M1922" s="1081"/>
      <c r="N1922" s="1156"/>
      <c r="O1922" s="1136"/>
      <c r="P1922" s="1081"/>
      <c r="Q1922" s="1081"/>
      <c r="R1922" s="1136"/>
    </row>
    <row r="1923" spans="1:14" ht="12.75">
      <c r="A1923" s="1189" t="s">
        <v>290</v>
      </c>
      <c r="M1923" s="551"/>
      <c r="N1923" s="551"/>
    </row>
    <row r="1924" spans="1:18" s="537" customFormat="1" ht="13.5" customHeight="1">
      <c r="A1924" s="1189" t="s">
        <v>292</v>
      </c>
      <c r="F1924" s="17"/>
      <c r="I1924" s="18"/>
      <c r="L1924" s="19"/>
      <c r="O1924" s="18"/>
      <c r="R1924" s="18"/>
    </row>
    <row r="1925" spans="1:12" s="330" customFormat="1" ht="14.25" customHeight="1">
      <c r="A1925" s="1189" t="s">
        <v>293</v>
      </c>
      <c r="F1925" s="538"/>
      <c r="L1925" s="53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 topLeftCell="A25">
      <selection activeCell="B39" sqref="B39"/>
    </sheetView>
  </sheetViews>
  <sheetFormatPr defaultColWidth="9.00390625" defaultRowHeight="12.75"/>
  <cols>
    <col min="1" max="1" width="38.25390625" style="1190" customWidth="1"/>
    <col min="2" max="3" width="19.75390625" style="1158" customWidth="1"/>
    <col min="4" max="16384" width="9.125" style="1159" customWidth="1"/>
  </cols>
  <sheetData>
    <row r="1" ht="15.75">
      <c r="A1" s="1157" t="s">
        <v>260</v>
      </c>
    </row>
    <row r="2" ht="15">
      <c r="A2" s="1160" t="s">
        <v>289</v>
      </c>
    </row>
    <row r="3" ht="13.5" thickBot="1">
      <c r="A3" s="1159"/>
    </row>
    <row r="4" spans="1:3" s="1164" customFormat="1" ht="27.75" customHeight="1">
      <c r="A4" s="1161" t="s">
        <v>297</v>
      </c>
      <c r="B4" s="1162" t="s">
        <v>307</v>
      </c>
      <c r="C4" s="1163" t="s">
        <v>305</v>
      </c>
    </row>
    <row r="5" spans="1:3" s="1168" customFormat="1" ht="10.5" customHeight="1" thickBot="1">
      <c r="A5" s="1165">
        <v>1</v>
      </c>
      <c r="B5" s="1166">
        <v>2</v>
      </c>
      <c r="C5" s="1167">
        <v>3</v>
      </c>
    </row>
    <row r="6" spans="1:3" s="1157" customFormat="1" ht="21" customHeight="1">
      <c r="A6" s="1169" t="s">
        <v>261</v>
      </c>
      <c r="B6" s="1170">
        <v>315856699.07</v>
      </c>
      <c r="C6" s="1171">
        <v>244962335.61</v>
      </c>
    </row>
    <row r="7" spans="1:3" s="1157" customFormat="1" ht="21" customHeight="1">
      <c r="A7" s="1172" t="s">
        <v>262</v>
      </c>
      <c r="B7" s="1173">
        <f>SUM(B8:B9)</f>
        <v>359629669.07</v>
      </c>
      <c r="C7" s="1174">
        <f>SUM(C8:C9)</f>
        <v>241426792.4</v>
      </c>
    </row>
    <row r="8" spans="1:3" ht="15" customHeight="1">
      <c r="A8" s="1175" t="s">
        <v>263</v>
      </c>
      <c r="B8" s="1176">
        <v>275689678.07</v>
      </c>
      <c r="C8" s="1177">
        <v>198617535.55</v>
      </c>
    </row>
    <row r="9" spans="1:3" ht="15" customHeight="1">
      <c r="A9" s="1175" t="s">
        <v>264</v>
      </c>
      <c r="B9" s="1176">
        <v>83939991</v>
      </c>
      <c r="C9" s="1177">
        <v>42809256.85</v>
      </c>
    </row>
    <row r="10" spans="1:3" s="1157" customFormat="1" ht="21" customHeight="1">
      <c r="A10" s="1172" t="s">
        <v>265</v>
      </c>
      <c r="B10" s="1173">
        <f>B6-B7</f>
        <v>-43772970</v>
      </c>
      <c r="C10" s="1174">
        <f>C6-C7</f>
        <v>3535543.2100000083</v>
      </c>
    </row>
    <row r="11" spans="1:3" s="1157" customFormat="1" ht="21" customHeight="1">
      <c r="A11" s="1172" t="s">
        <v>266</v>
      </c>
      <c r="B11" s="1173">
        <f>B12-B25</f>
        <v>43772970</v>
      </c>
      <c r="C11" s="1174">
        <f>C12-C25</f>
        <v>24893560.060000002</v>
      </c>
    </row>
    <row r="12" spans="1:3" s="1181" customFormat="1" ht="15" customHeight="1">
      <c r="A12" s="1178" t="s">
        <v>267</v>
      </c>
      <c r="B12" s="1179">
        <f>B13+B15+B16+B18+B20+B22+B23</f>
        <v>53834170</v>
      </c>
      <c r="C12" s="1180">
        <f>C13+C23</f>
        <v>30887014.76</v>
      </c>
    </row>
    <row r="13" spans="1:3" ht="15" customHeight="1">
      <c r="A13" s="1175" t="s">
        <v>268</v>
      </c>
      <c r="B13" s="1176">
        <v>25984800</v>
      </c>
      <c r="C13" s="1177">
        <v>984800</v>
      </c>
    </row>
    <row r="14" spans="1:3" ht="51">
      <c r="A14" s="1182" t="s">
        <v>269</v>
      </c>
      <c r="B14" s="1176"/>
      <c r="C14" s="1177"/>
    </row>
    <row r="15" spans="1:3" ht="15" customHeight="1">
      <c r="A15" s="1183" t="s">
        <v>270</v>
      </c>
      <c r="B15" s="1184">
        <v>0</v>
      </c>
      <c r="C15" s="1185">
        <v>0</v>
      </c>
    </row>
    <row r="16" spans="1:3" ht="15" customHeight="1">
      <c r="A16" s="1183" t="s">
        <v>271</v>
      </c>
      <c r="B16" s="1184">
        <v>0</v>
      </c>
      <c r="C16" s="1185">
        <v>0</v>
      </c>
    </row>
    <row r="17" spans="1:3" ht="15" customHeight="1">
      <c r="A17" s="1175" t="s">
        <v>272</v>
      </c>
      <c r="B17" s="1184">
        <v>0</v>
      </c>
      <c r="C17" s="1185">
        <v>0</v>
      </c>
    </row>
    <row r="18" spans="1:3" ht="15" customHeight="1">
      <c r="A18" s="1175" t="s">
        <v>273</v>
      </c>
      <c r="B18" s="1184">
        <v>0</v>
      </c>
      <c r="C18" s="1185">
        <v>0</v>
      </c>
    </row>
    <row r="19" spans="1:3" ht="51">
      <c r="A19" s="1182" t="s">
        <v>274</v>
      </c>
      <c r="B19" s="1184">
        <v>0</v>
      </c>
      <c r="C19" s="1185">
        <v>0</v>
      </c>
    </row>
    <row r="20" spans="1:3" ht="25.5">
      <c r="A20" s="1175" t="s">
        <v>275</v>
      </c>
      <c r="B20" s="1184">
        <v>0</v>
      </c>
      <c r="C20" s="1185">
        <v>0</v>
      </c>
    </row>
    <row r="21" spans="1:3" ht="51">
      <c r="A21" s="1182" t="s">
        <v>276</v>
      </c>
      <c r="B21" s="1184">
        <v>0</v>
      </c>
      <c r="C21" s="1185">
        <v>0</v>
      </c>
    </row>
    <row r="22" spans="1:3" ht="15" customHeight="1">
      <c r="A22" s="1175" t="s">
        <v>277</v>
      </c>
      <c r="B22" s="1184">
        <v>0</v>
      </c>
      <c r="C22" s="1185">
        <v>0</v>
      </c>
    </row>
    <row r="23" spans="1:3" ht="15" customHeight="1">
      <c r="A23" s="1175" t="s">
        <v>278</v>
      </c>
      <c r="B23" s="1176">
        <f>B24</f>
        <v>27849370</v>
      </c>
      <c r="C23" s="1177">
        <v>29902214.76</v>
      </c>
    </row>
    <row r="24" spans="1:3" ht="15" customHeight="1">
      <c r="A24" s="1175" t="s">
        <v>279</v>
      </c>
      <c r="B24" s="1176">
        <v>27849370</v>
      </c>
      <c r="C24" s="1177"/>
    </row>
    <row r="25" spans="1:3" s="1181" customFormat="1" ht="15" customHeight="1">
      <c r="A25" s="1178" t="s">
        <v>280</v>
      </c>
      <c r="B25" s="1179">
        <f>B26</f>
        <v>10061200</v>
      </c>
      <c r="C25" s="1180">
        <f>C26+C33</f>
        <v>5993454.7</v>
      </c>
    </row>
    <row r="26" spans="1:3" ht="15" customHeight="1">
      <c r="A26" s="1175" t="s">
        <v>281</v>
      </c>
      <c r="B26" s="1176">
        <v>10061200</v>
      </c>
      <c r="C26" s="1177">
        <v>5993454.7</v>
      </c>
    </row>
    <row r="27" spans="1:3" ht="51">
      <c r="A27" s="1182" t="s">
        <v>282</v>
      </c>
      <c r="B27" s="1176"/>
      <c r="C27" s="1177">
        <v>256376.42</v>
      </c>
    </row>
    <row r="28" spans="1:3" ht="15" customHeight="1">
      <c r="A28" s="1175" t="s">
        <v>283</v>
      </c>
      <c r="B28" s="1184">
        <v>0</v>
      </c>
      <c r="C28" s="1185">
        <v>0</v>
      </c>
    </row>
    <row r="29" spans="1:3" ht="15" customHeight="1">
      <c r="A29" s="1175" t="s">
        <v>284</v>
      </c>
      <c r="B29" s="1184">
        <v>0</v>
      </c>
      <c r="C29" s="1185">
        <v>0</v>
      </c>
    </row>
    <row r="30" spans="1:3" ht="51">
      <c r="A30" s="1182" t="s">
        <v>285</v>
      </c>
      <c r="B30" s="1184">
        <v>0</v>
      </c>
      <c r="C30" s="1185">
        <v>0</v>
      </c>
    </row>
    <row r="31" spans="1:3" ht="15" customHeight="1">
      <c r="A31" s="1175" t="s">
        <v>286</v>
      </c>
      <c r="B31" s="1184">
        <v>0</v>
      </c>
      <c r="C31" s="1185">
        <v>0</v>
      </c>
    </row>
    <row r="32" spans="1:3" ht="51">
      <c r="A32" s="1182" t="s">
        <v>287</v>
      </c>
      <c r="B32" s="1184">
        <v>0</v>
      </c>
      <c r="C32" s="1185">
        <v>0</v>
      </c>
    </row>
    <row r="33" spans="1:3" ht="15" customHeight="1" thickBot="1">
      <c r="A33" s="1186" t="s">
        <v>288</v>
      </c>
      <c r="B33" s="1187">
        <v>0</v>
      </c>
      <c r="C33" s="1188"/>
    </row>
    <row r="34" ht="12.75">
      <c r="A34" s="1189" t="s">
        <v>294</v>
      </c>
    </row>
    <row r="35" spans="1:18" s="537" customFormat="1" ht="13.5" customHeight="1">
      <c r="A35" s="1189" t="s">
        <v>292</v>
      </c>
      <c r="F35" s="17"/>
      <c r="I35" s="18"/>
      <c r="L35" s="19"/>
      <c r="O35" s="18"/>
      <c r="R35" s="18"/>
    </row>
    <row r="36" spans="1:12" s="330" customFormat="1" ht="14.25" customHeight="1">
      <c r="A36" s="1189" t="s">
        <v>293</v>
      </c>
      <c r="F36" s="538"/>
      <c r="L36" s="53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dcterms:created xsi:type="dcterms:W3CDTF">2008-10-30T09:58:38Z</dcterms:created>
  <dcterms:modified xsi:type="dcterms:W3CDTF">2008-10-30T11:06:09Z</dcterms:modified>
  <cp:category/>
  <cp:version/>
  <cp:contentType/>
  <cp:contentStatus/>
</cp:coreProperties>
</file>